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624"/>
  <workbookPr codeName="ThisWorkbook" autoCompressPictures="0"/>
  <bookViews>
    <workbookView xWindow="0" yWindow="0" windowWidth="25600" windowHeight="15540" tabRatio="672"/>
  </bookViews>
  <sheets>
    <sheet name="Value Analysis" sheetId="23" r:id="rId1"/>
    <sheet name="EPMs" sheetId="25" r:id="rId2"/>
    <sheet name="Payback Calc" sheetId="24" r:id="rId3"/>
  </sheets>
  <externalReferences>
    <externalReference r:id="rId4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25" l="1"/>
  <c r="G4" i="25"/>
  <c r="G5" i="25"/>
  <c r="G6" i="25"/>
  <c r="G7" i="25"/>
  <c r="G2" i="25"/>
  <c r="D3" i="25"/>
  <c r="D4" i="25"/>
  <c r="D5" i="25"/>
  <c r="D6" i="25"/>
  <c r="D7" i="25"/>
  <c r="D2" i="25"/>
  <c r="E4" i="23"/>
  <c r="B2" i="24"/>
  <c r="B3" i="24"/>
  <c r="A3" i="24"/>
  <c r="B4" i="24"/>
  <c r="A4" i="24"/>
  <c r="B5" i="24"/>
  <c r="A5" i="24"/>
  <c r="B6" i="24"/>
  <c r="A6" i="24"/>
  <c r="B7" i="24"/>
  <c r="A7" i="24"/>
  <c r="B8" i="24"/>
  <c r="A8" i="24"/>
  <c r="B9" i="24"/>
  <c r="A9" i="24"/>
  <c r="B10" i="24"/>
  <c r="A10" i="24"/>
  <c r="B11" i="24"/>
  <c r="A11" i="24"/>
  <c r="B12" i="24"/>
  <c r="A12" i="24"/>
  <c r="B13" i="24"/>
  <c r="A13" i="24"/>
  <c r="B14" i="24"/>
  <c r="A14" i="24"/>
  <c r="B15" i="24"/>
  <c r="A15" i="24"/>
  <c r="B16" i="24"/>
  <c r="A16" i="24"/>
  <c r="B17" i="24"/>
  <c r="A17" i="24"/>
  <c r="B18" i="24"/>
  <c r="A18" i="24"/>
  <c r="B19" i="24"/>
  <c r="A19" i="24"/>
  <c r="B20" i="24"/>
  <c r="A20" i="24"/>
  <c r="B21" i="24"/>
  <c r="A21" i="24"/>
  <c r="B22" i="24"/>
  <c r="A22" i="24"/>
  <c r="B23" i="24"/>
  <c r="A23" i="24"/>
  <c r="B24" i="24"/>
  <c r="A24" i="24"/>
  <c r="B25" i="24"/>
  <c r="A25" i="24"/>
  <c r="B26" i="24"/>
  <c r="A26" i="24"/>
  <c r="B27" i="24"/>
  <c r="E12" i="23"/>
  <c r="E8" i="23"/>
  <c r="E10" i="23"/>
  <c r="C2" i="24"/>
  <c r="C3" i="24"/>
  <c r="D3" i="24"/>
  <c r="C4" i="24"/>
  <c r="D4" i="24"/>
  <c r="C5" i="24"/>
  <c r="D5" i="24"/>
  <c r="C6" i="24"/>
  <c r="D6" i="24"/>
  <c r="C7" i="24"/>
  <c r="D7" i="24"/>
  <c r="C8" i="24"/>
  <c r="D8" i="24"/>
  <c r="C9" i="24"/>
  <c r="D9" i="24"/>
  <c r="C10" i="24"/>
  <c r="D10" i="24"/>
  <c r="C11" i="24"/>
  <c r="D11" i="24"/>
  <c r="C12" i="24"/>
  <c r="D12" i="24"/>
  <c r="C13" i="24"/>
  <c r="D13" i="24"/>
  <c r="C14" i="24"/>
  <c r="D14" i="24"/>
  <c r="C15" i="24"/>
  <c r="D15" i="24"/>
  <c r="C16" i="24"/>
  <c r="D16" i="24"/>
  <c r="C17" i="24"/>
  <c r="D17" i="24"/>
  <c r="C18" i="24"/>
  <c r="D18" i="24"/>
  <c r="C19" i="24"/>
  <c r="D19" i="24"/>
  <c r="C20" i="24"/>
  <c r="D20" i="24"/>
  <c r="C21" i="24"/>
  <c r="D21" i="24"/>
  <c r="C22" i="24"/>
  <c r="D22" i="24"/>
  <c r="C23" i="24"/>
  <c r="D23" i="24"/>
  <c r="C24" i="24"/>
  <c r="D24" i="24"/>
  <c r="C25" i="24"/>
  <c r="D25" i="24"/>
  <c r="C26" i="24"/>
  <c r="D26" i="24"/>
  <c r="C27" i="24"/>
  <c r="D27" i="24"/>
  <c r="E6" i="23"/>
  <c r="A27" i="24"/>
  <c r="E2" i="23"/>
</calcChain>
</file>

<file path=xl/sharedStrings.xml><?xml version="1.0" encoding="utf-8"?>
<sst xmlns="http://schemas.openxmlformats.org/spreadsheetml/2006/main" count="38" uniqueCount="33">
  <si>
    <t>Return on Investment</t>
  </si>
  <si>
    <t>Discount Rate</t>
  </si>
  <si>
    <t>Payback</t>
  </si>
  <si>
    <t>Cash Flow</t>
  </si>
  <si>
    <t>Year</t>
  </si>
  <si>
    <t>Internal Rate of Return (IRR)</t>
  </si>
  <si>
    <t>Energy Efficiency Incentives</t>
  </si>
  <si>
    <t>Modeled Energy Reduction</t>
  </si>
  <si>
    <t>Lease Period</t>
  </si>
  <si>
    <t>Utility Base Rate</t>
  </si>
  <si>
    <t>Utility Escalation Rate</t>
  </si>
  <si>
    <t>Adjusted Incremental First Cost</t>
  </si>
  <si>
    <t>Net Present Value (NPV)</t>
  </si>
  <si>
    <t>Value Analysis</t>
  </si>
  <si>
    <t>User Inputs</t>
  </si>
  <si>
    <t>Balance</t>
  </si>
  <si>
    <r>
      <rPr>
        <sz val="12"/>
        <color theme="1"/>
        <rFont val="Calibri"/>
        <family val="2"/>
        <scheme val="minor"/>
      </rPr>
      <t>Lease Period</t>
    </r>
    <r>
      <rPr>
        <sz val="12"/>
        <color theme="1"/>
        <rFont val="Calibri"/>
        <family val="2"/>
        <scheme val="minor"/>
      </rPr>
      <t xml:space="preserve"> Energy Savings</t>
    </r>
  </si>
  <si>
    <r>
      <rPr>
        <sz val="12"/>
        <color theme="1"/>
        <rFont val="Calibri"/>
        <family val="2"/>
        <scheme val="minor"/>
      </rPr>
      <t>Baseline</t>
    </r>
    <r>
      <rPr>
        <sz val="12"/>
        <color theme="1"/>
        <rFont val="Calibri"/>
        <family val="2"/>
        <scheme val="minor"/>
      </rPr>
      <t xml:space="preserve"> Energy Consumption</t>
    </r>
  </si>
  <si>
    <r>
      <rPr>
        <sz val="12"/>
        <color theme="1"/>
        <rFont val="Calibri"/>
        <family val="2"/>
        <scheme val="minor"/>
      </rPr>
      <t>Total</t>
    </r>
    <r>
      <rPr>
        <sz val="12"/>
        <color theme="1"/>
        <rFont val="Calibri"/>
        <family val="2"/>
        <scheme val="minor"/>
      </rPr>
      <t xml:space="preserve"> Area</t>
    </r>
    <r>
      <rPr>
        <sz val="12"/>
        <color theme="1"/>
        <rFont val="Calibri"/>
        <family val="2"/>
        <scheme val="minor"/>
      </rPr>
      <t>, Tenant Space</t>
    </r>
  </si>
  <si>
    <r>
      <t>Incremental First Cost</t>
    </r>
    <r>
      <rPr>
        <sz val="12"/>
        <color theme="1"/>
        <rFont val="Calibri"/>
        <family val="2"/>
        <scheme val="minor"/>
      </rPr>
      <t xml:space="preserve"> of EPMs</t>
    </r>
  </si>
  <si>
    <r>
      <t>Adjusted Payback</t>
    </r>
    <r>
      <rPr>
        <sz val="12"/>
        <color theme="1"/>
        <rFont val="Calibri"/>
        <family val="2"/>
        <scheme val="minor"/>
      </rPr>
      <t xml:space="preserve"> Period</t>
    </r>
  </si>
  <si>
    <t>Simple Payback</t>
  </si>
  <si>
    <t>Envelope</t>
  </si>
  <si>
    <t>Lighting</t>
  </si>
  <si>
    <t>Equipment</t>
  </si>
  <si>
    <t>Heating</t>
  </si>
  <si>
    <t>Incremental First Cost</t>
  </si>
  <si>
    <t>Cooling</t>
  </si>
  <si>
    <t>Ventilation</t>
  </si>
  <si>
    <t>Energy Performance Measure</t>
  </si>
  <si>
    <t>Annual Energy Use Reduction</t>
  </si>
  <si>
    <t>kWh</t>
  </si>
  <si>
    <t>Annual Energy Cost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</si>
</sst>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164" formatCode="0.0%"/>
    <numFmt numFmtId="165" formatCode="0.0&quot; yrs&quot;"/>
    <numFmt numFmtId="166" formatCode="#,##0&quot; s.f.&quot;"/>
    <numFmt numFmtId="167" formatCode="General&quot; yrs&quot;"/>
    <numFmt numFmtId="168" formatCode="#,##0&quot; kWh&quot;"/>
    <numFmt numFmtId="169" formatCode="&quot;$&quot;#,##0.00&quot;/kWh&quot;"/>
    <numFmt numFmtId="170" formatCode="0.0%&quot;/yr&quot;"/>
    <numFmt numFmtId="175" formatCode="[$$-409]#,##0_);\([$$-409]#,##0\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6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Alignment="0" applyProtection="0"/>
    <xf numFmtId="0" fontId="7" fillId="3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0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166" fontId="6" fillId="2" borderId="1" xfId="725" applyNumberFormat="1" applyAlignment="1">
      <alignment vertical="center" shrinkToFit="1"/>
    </xf>
    <xf numFmtId="167" fontId="6" fillId="2" borderId="1" xfId="725" applyNumberFormat="1" applyAlignment="1">
      <alignment vertical="center" shrinkToFit="1"/>
    </xf>
    <xf numFmtId="165" fontId="7" fillId="3" borderId="2" xfId="726" applyNumberFormat="1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/>
    <xf numFmtId="164" fontId="6" fillId="2" borderId="1" xfId="725" applyNumberFormat="1" applyAlignment="1">
      <alignment vertical="center" shrinkToFit="1"/>
    </xf>
    <xf numFmtId="169" fontId="6" fillId="2" borderId="1" xfId="725" applyNumberFormat="1" applyAlignment="1">
      <alignment vertical="center" shrinkToFit="1"/>
    </xf>
    <xf numFmtId="170" fontId="6" fillId="2" borderId="1" xfId="725" applyNumberFormat="1" applyAlignment="1">
      <alignment vertical="center" shrinkToFit="1"/>
    </xf>
    <xf numFmtId="168" fontId="6" fillId="2" borderId="1" xfId="725" applyNumberFormat="1" applyAlignment="1">
      <alignment vertical="center" shrinkToFit="1"/>
    </xf>
    <xf numFmtId="5" fontId="6" fillId="2" borderId="1" xfId="725" applyNumberFormat="1" applyAlignment="1">
      <alignment vertical="center" shrinkToFit="1"/>
    </xf>
    <xf numFmtId="6" fontId="6" fillId="2" borderId="1" xfId="725" applyNumberFormat="1" applyAlignment="1">
      <alignment vertical="center" shrinkToFit="1"/>
    </xf>
    <xf numFmtId="5" fontId="7" fillId="3" borderId="2" xfId="726" applyNumberFormat="1" applyFont="1" applyAlignment="1">
      <alignment vertical="center" shrinkToFit="1"/>
    </xf>
    <xf numFmtId="0" fontId="3" fillId="0" borderId="0" xfId="0" applyFont="1" applyAlignment="1">
      <alignment vertical="center" shrinkToFit="1"/>
    </xf>
    <xf numFmtId="9" fontId="7" fillId="3" borderId="2" xfId="726" applyNumberFormat="1" applyFont="1" applyAlignment="1">
      <alignment vertical="center" shrinkToFit="1"/>
    </xf>
    <xf numFmtId="164" fontId="7" fillId="3" borderId="2" xfId="726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NumberFormat="1" applyFont="1" applyAlignment="1">
      <alignment horizontal="center" vertical="center" shrinkToFit="1"/>
    </xf>
    <xf numFmtId="6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/>
    <xf numFmtId="165" fontId="2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2" fillId="0" borderId="0" xfId="0" applyFont="1" applyFill="1" applyBorder="1" applyAlignment="1">
      <alignment vertical="center"/>
    </xf>
    <xf numFmtId="164" fontId="12" fillId="0" borderId="0" xfId="853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175" fontId="11" fillId="0" borderId="0" xfId="0" applyNumberFormat="1" applyFont="1" applyFill="1" applyBorder="1" applyAlignment="1">
      <alignment horizontal="center" vertical="center" wrapText="1"/>
    </xf>
    <xf numFmtId="175" fontId="12" fillId="0" borderId="0" xfId="0" applyNumberFormat="1" applyFont="1" applyFill="1" applyBorder="1" applyAlignment="1">
      <alignment horizontal="center" vertical="center"/>
    </xf>
    <xf numFmtId="3" fontId="6" fillId="2" borderId="1" xfId="725" applyNumberFormat="1" applyAlignment="1">
      <alignment horizontal="center" vertical="center"/>
    </xf>
    <xf numFmtId="175" fontId="6" fillId="2" borderId="1" xfId="725" applyNumberFormat="1" applyAlignment="1">
      <alignment horizontal="center" vertical="center"/>
    </xf>
    <xf numFmtId="0" fontId="6" fillId="2" borderId="1" xfId="725" applyAlignment="1">
      <alignment vertical="center"/>
    </xf>
    <xf numFmtId="164" fontId="10" fillId="3" borderId="1" xfId="854" applyNumberFormat="1" applyAlignment="1">
      <alignment horizontal="center" vertical="center"/>
    </xf>
    <xf numFmtId="165" fontId="7" fillId="3" borderId="2" xfId="726" applyNumberFormat="1" applyAlignment="1">
      <alignment horizontal="center" vertical="center"/>
    </xf>
  </cellXfs>
  <cellStyles count="865">
    <cellStyle name="Calculation" xfId="854" builtinId="22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Input" xfId="725" builtinId="20"/>
    <cellStyle name="Normal" xfId="0" builtinId="0"/>
    <cellStyle name="Output" xfId="726" builtinId="21"/>
    <cellStyle name="Percent" xfId="85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alue%20Analysis%20Too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e Analysis"/>
      <sheetName val="Payback Calc"/>
      <sheetName val="Menu of Measures"/>
      <sheetName val="Menu Payback"/>
      <sheetName val="Sheet1"/>
    </sheetNames>
    <sheetDataSet>
      <sheetData sheetId="0"/>
      <sheetData sheetId="1"/>
      <sheetData sheetId="2">
        <row r="1">
          <cell r="T1" t="str">
            <v>Code-Compliant</v>
          </cell>
          <cell r="U1" t="str">
            <v>High Performance</v>
          </cell>
        </row>
        <row r="2">
          <cell r="S2" t="str">
            <v>Envelope</v>
          </cell>
          <cell r="T2">
            <v>0.15</v>
          </cell>
          <cell r="U2">
            <v>0.11549999999999999</v>
          </cell>
        </row>
        <row r="3">
          <cell r="S3" t="str">
            <v>Lighting</v>
          </cell>
          <cell r="T3">
            <v>0.21</v>
          </cell>
          <cell r="U3">
            <v>0.13859999999999997</v>
          </cell>
        </row>
        <row r="4">
          <cell r="S4" t="str">
            <v>Equipment</v>
          </cell>
          <cell r="T4">
            <v>0.18</v>
          </cell>
          <cell r="U4">
            <v>0.1386</v>
          </cell>
        </row>
        <row r="5">
          <cell r="S5" t="str">
            <v>Heating</v>
          </cell>
          <cell r="T5">
            <v>0.17</v>
          </cell>
          <cell r="U5">
            <v>0.10540000000000001</v>
          </cell>
        </row>
        <row r="6">
          <cell r="S6" t="str">
            <v>Cooling</v>
          </cell>
          <cell r="T6">
            <v>0.24</v>
          </cell>
          <cell r="U6">
            <v>0.13200000000000001</v>
          </cell>
        </row>
        <row r="7">
          <cell r="S7" t="str">
            <v>Ventilation</v>
          </cell>
          <cell r="T7">
            <v>4.9999999999999933E-2</v>
          </cell>
          <cell r="U7">
            <v>2.9499999999999964E-2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tabSelected="1" workbookViewId="0">
      <selection sqref="A1:B1"/>
    </sheetView>
  </sheetViews>
  <sheetFormatPr baseColWidth="10" defaultColWidth="8.83203125" defaultRowHeight="20" customHeight="1" x14ac:dyDescent="0"/>
  <cols>
    <col min="1" max="1" width="26.33203125" style="5" bestFit="1" customWidth="1"/>
    <col min="2" max="2" width="12" style="5" bestFit="1" customWidth="1"/>
    <col min="3" max="3" width="8.83203125" style="5"/>
    <col min="4" max="4" width="28.5" style="5" bestFit="1" customWidth="1"/>
    <col min="5" max="5" width="10.1640625" style="5" bestFit="1" customWidth="1"/>
    <col min="6" max="6" width="9.33203125" style="5" bestFit="1" customWidth="1"/>
    <col min="7" max="9" width="8.83203125" style="6"/>
    <col min="10" max="16384" width="8.83203125" style="5"/>
  </cols>
  <sheetData>
    <row r="1" spans="1:5" s="4" customFormat="1" ht="20" customHeight="1">
      <c r="A1" s="23" t="s">
        <v>14</v>
      </c>
      <c r="B1" s="23"/>
      <c r="D1" s="23" t="s">
        <v>13</v>
      </c>
      <c r="E1" s="23"/>
    </row>
    <row r="2" spans="1:5" ht="20" customHeight="1">
      <c r="A2" s="17" t="s">
        <v>17</v>
      </c>
      <c r="B2" s="10">
        <v>912000</v>
      </c>
      <c r="D2" s="17" t="s">
        <v>16</v>
      </c>
      <c r="E2" s="13">
        <f>SUM('Payback Calc'!B3:B27)</f>
        <v>487191.23584922077</v>
      </c>
    </row>
    <row r="3" spans="1:5" customFormat="1" ht="3" customHeight="1"/>
    <row r="4" spans="1:5" ht="20" customHeight="1">
      <c r="A4" s="14" t="s">
        <v>7</v>
      </c>
      <c r="B4" s="10">
        <v>310445</v>
      </c>
      <c r="D4" s="5" t="s">
        <v>11</v>
      </c>
      <c r="E4" s="13">
        <f>SUM(B14:B16)</f>
        <v>-171000</v>
      </c>
    </row>
    <row r="5" spans="1:5" customFormat="1" ht="3" customHeight="1"/>
    <row r="6" spans="1:5" ht="20" customHeight="1">
      <c r="A6" s="17" t="s">
        <v>18</v>
      </c>
      <c r="B6" s="1">
        <v>95000</v>
      </c>
      <c r="D6" s="17" t="s">
        <v>20</v>
      </c>
      <c r="E6" s="3">
        <f>MAX('Payback Calc'!D:D)</f>
        <v>3.623165507504623</v>
      </c>
    </row>
    <row r="7" spans="1:5" customFormat="1" ht="3" customHeight="1"/>
    <row r="8" spans="1:5" ht="20" customHeight="1">
      <c r="A8" s="5" t="s">
        <v>8</v>
      </c>
      <c r="B8" s="2">
        <v>10</v>
      </c>
      <c r="D8" s="5" t="s">
        <v>12</v>
      </c>
      <c r="E8" s="13">
        <f>NPV(B18,'Payback Calc'!B:B)</f>
        <v>158223.40189569665</v>
      </c>
    </row>
    <row r="9" spans="1:5" customFormat="1" ht="3" customHeight="1"/>
    <row r="10" spans="1:5" ht="20" customHeight="1">
      <c r="A10" s="5" t="s">
        <v>9</v>
      </c>
      <c r="B10" s="8">
        <v>0.15</v>
      </c>
      <c r="D10" s="14" t="s">
        <v>0</v>
      </c>
      <c r="E10" s="15">
        <f>E8/-E4</f>
        <v>0.92528305202161787</v>
      </c>
    </row>
    <row r="11" spans="1:5" customFormat="1" ht="3" customHeight="1"/>
    <row r="12" spans="1:5" ht="20" customHeight="1">
      <c r="A12" s="5" t="s">
        <v>10</v>
      </c>
      <c r="B12" s="9">
        <v>0.01</v>
      </c>
      <c r="D12" s="14" t="s">
        <v>5</v>
      </c>
      <c r="E12" s="16">
        <f>IRR('Payback Calc'!B:B)</f>
        <v>0.25002811611539344</v>
      </c>
    </row>
    <row r="13" spans="1:5" customFormat="1" ht="3" customHeight="1"/>
    <row r="14" spans="1:5" ht="20" customHeight="1">
      <c r="A14" s="17" t="s">
        <v>19</v>
      </c>
      <c r="B14" s="11">
        <v>-210900</v>
      </c>
    </row>
    <row r="15" spans="1:5" customFormat="1" ht="3" customHeight="1">
      <c r="D15" s="5"/>
      <c r="E15" s="5"/>
    </row>
    <row r="16" spans="1:5" ht="20" customHeight="1">
      <c r="A16" s="14" t="s">
        <v>6</v>
      </c>
      <c r="B16" s="12">
        <v>39900</v>
      </c>
    </row>
    <row r="17" spans="1:5" customFormat="1" ht="3" customHeight="1">
      <c r="A17" s="5"/>
      <c r="B17" s="5"/>
      <c r="D17" s="5"/>
      <c r="E17" s="5"/>
    </row>
    <row r="18" spans="1:5" ht="20" customHeight="1">
      <c r="A18" s="5" t="s">
        <v>1</v>
      </c>
      <c r="B18" s="7">
        <v>7.0000000000000007E-2</v>
      </c>
    </row>
  </sheetData>
  <mergeCells count="2">
    <mergeCell ref="A1:B1"/>
    <mergeCell ref="D1:E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/>
  </sheetViews>
  <sheetFormatPr baseColWidth="10" defaultRowHeight="20" customHeight="1" x14ac:dyDescent="0"/>
  <cols>
    <col min="1" max="1" width="24" style="24" customWidth="1"/>
    <col min="2" max="2" width="10.83203125" style="31" customWidth="1"/>
    <col min="3" max="3" width="5" style="31" bestFit="1" customWidth="1"/>
    <col min="4" max="4" width="6.1640625" style="25" bestFit="1" customWidth="1"/>
    <col min="5" max="6" width="13.1640625" style="34" customWidth="1"/>
    <col min="7" max="7" width="10.83203125" style="32"/>
    <col min="8" max="8" width="10.83203125" style="31" customWidth="1"/>
    <col min="9" max="16384" width="10.83203125" style="31"/>
  </cols>
  <sheetData>
    <row r="1" spans="1:7" s="27" customFormat="1" ht="32" customHeight="1">
      <c r="A1" s="26" t="s">
        <v>29</v>
      </c>
      <c r="B1" s="28" t="s">
        <v>30</v>
      </c>
      <c r="C1" s="28"/>
      <c r="D1" s="29"/>
      <c r="E1" s="33" t="s">
        <v>32</v>
      </c>
      <c r="F1" s="33" t="s">
        <v>26</v>
      </c>
      <c r="G1" s="30" t="s">
        <v>21</v>
      </c>
    </row>
    <row r="2" spans="1:7" ht="20" customHeight="1">
      <c r="A2" s="37" t="s">
        <v>22</v>
      </c>
      <c r="B2" s="35">
        <v>31464</v>
      </c>
      <c r="C2" s="31" t="s">
        <v>31</v>
      </c>
      <c r="D2" s="38">
        <f>B2/'Value Analysis'!$B$2</f>
        <v>3.4500000000000003E-2</v>
      </c>
      <c r="E2" s="36">
        <v>4720</v>
      </c>
      <c r="F2" s="36">
        <v>-21850</v>
      </c>
      <c r="G2" s="39">
        <f>IF(B2&lt;&gt;0,ABS(F2/E2),"")</f>
        <v>4.6292372881355934</v>
      </c>
    </row>
    <row r="3" spans="1:7" ht="20" customHeight="1">
      <c r="A3" s="37" t="s">
        <v>23</v>
      </c>
      <c r="B3" s="35">
        <v>65117</v>
      </c>
      <c r="C3" s="31" t="s">
        <v>31</v>
      </c>
      <c r="D3" s="38">
        <f>B3/'Value Analysis'!$B$2</f>
        <v>7.140021929824561E-2</v>
      </c>
      <c r="E3" s="36">
        <v>9768</v>
      </c>
      <c r="F3" s="36">
        <v>-47500</v>
      </c>
      <c r="G3" s="39">
        <f t="shared" ref="G3:G7" si="0">IF(B3&lt;&gt;0,ABS(F3/E3),"")</f>
        <v>4.8628173628173625</v>
      </c>
    </row>
    <row r="4" spans="1:7" ht="20" customHeight="1">
      <c r="A4" s="37" t="s">
        <v>24</v>
      </c>
      <c r="B4" s="35">
        <v>37757</v>
      </c>
      <c r="C4" s="31" t="s">
        <v>31</v>
      </c>
      <c r="D4" s="38">
        <f>B4/'Value Analysis'!$B$2</f>
        <v>4.1400219298245611E-2</v>
      </c>
      <c r="E4" s="36">
        <v>5664</v>
      </c>
      <c r="F4" s="36">
        <v>-24700</v>
      </c>
      <c r="G4" s="39">
        <f t="shared" si="0"/>
        <v>4.3608757062146895</v>
      </c>
    </row>
    <row r="5" spans="1:7" ht="20" customHeight="1">
      <c r="A5" s="37" t="s">
        <v>25</v>
      </c>
      <c r="B5" s="35">
        <v>58915</v>
      </c>
      <c r="C5" s="31" t="s">
        <v>31</v>
      </c>
      <c r="D5" s="38">
        <f>B5/'Value Analysis'!$B$2</f>
        <v>6.4599780701754386E-2</v>
      </c>
      <c r="E5" s="36">
        <v>8837</v>
      </c>
      <c r="F5" s="36">
        <v>-43700</v>
      </c>
      <c r="G5" s="39">
        <f t="shared" si="0"/>
        <v>4.9451171211949756</v>
      </c>
    </row>
    <row r="6" spans="1:7" ht="20" customHeight="1">
      <c r="A6" s="37" t="s">
        <v>27</v>
      </c>
      <c r="B6" s="35">
        <v>98496</v>
      </c>
      <c r="C6" s="31" t="s">
        <v>31</v>
      </c>
      <c r="D6" s="38">
        <f>B6/'Value Analysis'!$B$2</f>
        <v>0.108</v>
      </c>
      <c r="E6" s="36">
        <v>14774</v>
      </c>
      <c r="F6" s="36">
        <v>-59850</v>
      </c>
      <c r="G6" s="39">
        <f t="shared" si="0"/>
        <v>4.0510356030865031</v>
      </c>
    </row>
    <row r="7" spans="1:7" ht="20" customHeight="1">
      <c r="A7" s="37" t="s">
        <v>28</v>
      </c>
      <c r="B7" s="35">
        <v>18696</v>
      </c>
      <c r="C7" s="31" t="s">
        <v>31</v>
      </c>
      <c r="D7" s="38">
        <f>B7/'Value Analysis'!$B$2</f>
        <v>2.0500000000000001E-2</v>
      </c>
      <c r="E7" s="36">
        <v>2804</v>
      </c>
      <c r="F7" s="36">
        <v>-13300</v>
      </c>
      <c r="G7" s="39">
        <f t="shared" si="0"/>
        <v>4.7432239657631952</v>
      </c>
    </row>
  </sheetData>
  <mergeCells count="1">
    <mergeCell ref="B1:D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/>
  </sheetViews>
  <sheetFormatPr baseColWidth="10" defaultRowHeight="15" x14ac:dyDescent="0"/>
  <cols>
    <col min="1" max="1" width="9" style="18" customWidth="1"/>
    <col min="2" max="3" width="9" style="19" customWidth="1"/>
    <col min="4" max="4" width="9" style="20" customWidth="1"/>
    <col min="5" max="16384" width="10.83203125" style="21"/>
  </cols>
  <sheetData>
    <row r="1" spans="1:4">
      <c r="A1" s="18" t="s">
        <v>4</v>
      </c>
      <c r="B1" s="19" t="s">
        <v>3</v>
      </c>
      <c r="C1" s="19" t="s">
        <v>15</v>
      </c>
      <c r="D1" s="20" t="s">
        <v>2</v>
      </c>
    </row>
    <row r="2" spans="1:4">
      <c r="A2" s="18">
        <v>0</v>
      </c>
      <c r="B2" s="19">
        <f>'Value Analysis'!E4</f>
        <v>-171000</v>
      </c>
      <c r="C2" s="19">
        <f>IF(B2&lt;&gt;"",B2,"")</f>
        <v>-171000</v>
      </c>
    </row>
    <row r="3" spans="1:4">
      <c r="A3" s="18">
        <f>IF(A2&lt;'Value Analysis'!$B$8,A2+1,"")</f>
        <v>1</v>
      </c>
      <c r="B3" s="19">
        <f>IF(A2&lt;'Value Analysis'!$B$8,(1+'Value Analysis'!$B$12)^A2*'Value Analysis'!$B$10*'Value Analysis'!$B$4,"")</f>
        <v>46566.75</v>
      </c>
      <c r="C3" s="19">
        <f t="shared" ref="C3:C27" si="0">IF(B3&lt;&gt;"",C2+B3,"")</f>
        <v>-124433.25</v>
      </c>
      <c r="D3" s="22" t="str">
        <f t="shared" ref="D3:D27" si="1">IF(AND(C3&lt;&gt;"",C3&gt;0,C2&lt;0),$A2+C2/(C2-C3),"")</f>
        <v/>
      </c>
    </row>
    <row r="4" spans="1:4">
      <c r="A4" s="18">
        <f>IF(A3&lt;'Value Analysis'!$B$8,A3+1,"")</f>
        <v>2</v>
      </c>
      <c r="B4" s="19">
        <f>IF(A3&lt;'Value Analysis'!$B$8,(1+'Value Analysis'!$B$12)^A3*'Value Analysis'!$B$10*'Value Analysis'!$B$4,"")</f>
        <v>47032.417499999996</v>
      </c>
      <c r="C4" s="19">
        <f t="shared" si="0"/>
        <v>-77400.832500000004</v>
      </c>
      <c r="D4" s="22" t="str">
        <f t="shared" si="1"/>
        <v/>
      </c>
    </row>
    <row r="5" spans="1:4">
      <c r="A5" s="18">
        <f>IF(A4&lt;'Value Analysis'!$B$8,A4+1,"")</f>
        <v>3</v>
      </c>
      <c r="B5" s="19">
        <f>IF(A4&lt;'Value Analysis'!$B$8,(1+'Value Analysis'!$B$12)^A4*'Value Analysis'!$B$10*'Value Analysis'!$B$4,"")</f>
        <v>47502.741674999997</v>
      </c>
      <c r="C5" s="19">
        <f t="shared" si="0"/>
        <v>-29898.090825000007</v>
      </c>
      <c r="D5" s="22" t="str">
        <f t="shared" si="1"/>
        <v/>
      </c>
    </row>
    <row r="6" spans="1:4">
      <c r="A6" s="18">
        <f>IF(A5&lt;'Value Analysis'!$B$8,A5+1,"")</f>
        <v>4</v>
      </c>
      <c r="B6" s="19">
        <f>IF(A5&lt;'Value Analysis'!$B$8,(1+'Value Analysis'!$B$12)^A5*'Value Analysis'!$B$10*'Value Analysis'!$B$4,"")</f>
        <v>47977.76909175</v>
      </c>
      <c r="C6" s="19">
        <f t="shared" si="0"/>
        <v>18079.678266749994</v>
      </c>
      <c r="D6" s="22">
        <f t="shared" si="1"/>
        <v>3.623165507504623</v>
      </c>
    </row>
    <row r="7" spans="1:4">
      <c r="A7" s="18">
        <f>IF(A6&lt;'Value Analysis'!$B$8,A6+1,"")</f>
        <v>5</v>
      </c>
      <c r="B7" s="19">
        <f>IF(A6&lt;'Value Analysis'!$B$8,(1+'Value Analysis'!$B$12)^A6*'Value Analysis'!$B$10*'Value Analysis'!$B$4,"")</f>
        <v>48457.546782667501</v>
      </c>
      <c r="C7" s="19">
        <f t="shared" si="0"/>
        <v>66537.225049417495</v>
      </c>
      <c r="D7" s="22" t="str">
        <f t="shared" si="1"/>
        <v/>
      </c>
    </row>
    <row r="8" spans="1:4">
      <c r="A8" s="18">
        <f>IF(A7&lt;'Value Analysis'!$B$8,A7+1,"")</f>
        <v>6</v>
      </c>
      <c r="B8" s="19">
        <f>IF(A7&lt;'Value Analysis'!$B$8,(1+'Value Analysis'!$B$12)^A7*'Value Analysis'!$B$10*'Value Analysis'!$B$4,"")</f>
        <v>48942.122250494169</v>
      </c>
      <c r="C8" s="19">
        <f t="shared" si="0"/>
        <v>115479.34729991166</v>
      </c>
      <c r="D8" s="22" t="str">
        <f t="shared" si="1"/>
        <v/>
      </c>
    </row>
    <row r="9" spans="1:4">
      <c r="A9" s="18">
        <f>IF(A8&lt;'Value Analysis'!$B$8,A8+1,"")</f>
        <v>7</v>
      </c>
      <c r="B9" s="19">
        <f>IF(A8&lt;'Value Analysis'!$B$8,(1+'Value Analysis'!$B$12)^A8*'Value Analysis'!$B$10*'Value Analysis'!$B$4,"")</f>
        <v>49431.543472999118</v>
      </c>
      <c r="C9" s="19">
        <f t="shared" si="0"/>
        <v>164910.89077291079</v>
      </c>
      <c r="D9" s="22" t="str">
        <f t="shared" si="1"/>
        <v/>
      </c>
    </row>
    <row r="10" spans="1:4">
      <c r="A10" s="18">
        <f>IF(A9&lt;'Value Analysis'!$B$8,A9+1,"")</f>
        <v>8</v>
      </c>
      <c r="B10" s="19">
        <f>IF(A9&lt;'Value Analysis'!$B$8,(1+'Value Analysis'!$B$12)^A9*'Value Analysis'!$B$10*'Value Analysis'!$B$4,"")</f>
        <v>49925.858907729104</v>
      </c>
      <c r="C10" s="19">
        <f t="shared" si="0"/>
        <v>214836.74968063988</v>
      </c>
      <c r="D10" s="22" t="str">
        <f t="shared" si="1"/>
        <v/>
      </c>
    </row>
    <row r="11" spans="1:4">
      <c r="A11" s="18">
        <f>IF(A10&lt;'Value Analysis'!$B$8,A10+1,"")</f>
        <v>9</v>
      </c>
      <c r="B11" s="19">
        <f>IF(A10&lt;'Value Analysis'!$B$8,(1+'Value Analysis'!$B$12)^A10*'Value Analysis'!$B$10*'Value Analysis'!$B$4,"")</f>
        <v>50425.117496806408</v>
      </c>
      <c r="C11" s="19">
        <f t="shared" si="0"/>
        <v>265261.86717744631</v>
      </c>
      <c r="D11" s="22" t="str">
        <f t="shared" si="1"/>
        <v/>
      </c>
    </row>
    <row r="12" spans="1:4">
      <c r="A12" s="18">
        <f>IF(A11&lt;'Value Analysis'!$B$8,A11+1,"")</f>
        <v>10</v>
      </c>
      <c r="B12" s="19">
        <f>IF(A11&lt;'Value Analysis'!$B$8,(1+'Value Analysis'!$B$12)^A11*'Value Analysis'!$B$10*'Value Analysis'!$B$4,"")</f>
        <v>50929.368671774464</v>
      </c>
      <c r="C12" s="19">
        <f t="shared" si="0"/>
        <v>316191.23584922077</v>
      </c>
      <c r="D12" s="22" t="str">
        <f t="shared" si="1"/>
        <v/>
      </c>
    </row>
    <row r="13" spans="1:4">
      <c r="A13" s="18" t="str">
        <f>IF(A12&lt;'Value Analysis'!$B$8,A12+1,"")</f>
        <v/>
      </c>
      <c r="B13" s="19" t="str">
        <f>IF(A12&lt;'Value Analysis'!$B$8,(1+'Value Analysis'!$B$12)^A12*'Value Analysis'!$B$10*'Value Analysis'!$B$4,"")</f>
        <v/>
      </c>
      <c r="C13" s="19" t="str">
        <f t="shared" si="0"/>
        <v/>
      </c>
      <c r="D13" s="22" t="str">
        <f t="shared" si="1"/>
        <v/>
      </c>
    </row>
    <row r="14" spans="1:4">
      <c r="A14" s="18" t="str">
        <f>IF(A13&lt;'Value Analysis'!$B$8,A13+1,"")</f>
        <v/>
      </c>
      <c r="B14" s="19" t="str">
        <f>IF(A13&lt;'Value Analysis'!$B$8,(1+'Value Analysis'!$B$12)^A13*'Value Analysis'!$B$10*'Value Analysis'!$B$4,"")</f>
        <v/>
      </c>
      <c r="C14" s="19" t="str">
        <f t="shared" si="0"/>
        <v/>
      </c>
      <c r="D14" s="22" t="str">
        <f t="shared" si="1"/>
        <v/>
      </c>
    </row>
    <row r="15" spans="1:4">
      <c r="A15" s="18" t="str">
        <f>IF(A14&lt;'Value Analysis'!$B$8,A14+1,"")</f>
        <v/>
      </c>
      <c r="B15" s="19" t="str">
        <f>IF(A14&lt;'Value Analysis'!$B$8,(1+'Value Analysis'!$B$12)^A14*'Value Analysis'!$B$10*'Value Analysis'!$B$4,"")</f>
        <v/>
      </c>
      <c r="C15" s="19" t="str">
        <f t="shared" si="0"/>
        <v/>
      </c>
      <c r="D15" s="22" t="str">
        <f t="shared" si="1"/>
        <v/>
      </c>
    </row>
    <row r="16" spans="1:4">
      <c r="A16" s="18" t="str">
        <f>IF(A15&lt;'Value Analysis'!$B$8,A15+1,"")</f>
        <v/>
      </c>
      <c r="B16" s="19" t="str">
        <f>IF(A15&lt;'Value Analysis'!$B$8,(1+'Value Analysis'!$B$12)^A15*'Value Analysis'!$B$10*'Value Analysis'!$B$4,"")</f>
        <v/>
      </c>
      <c r="C16" s="19" t="str">
        <f t="shared" si="0"/>
        <v/>
      </c>
      <c r="D16" s="22" t="str">
        <f t="shared" si="1"/>
        <v/>
      </c>
    </row>
    <row r="17" spans="1:4">
      <c r="A17" s="18" t="str">
        <f>IF(A16&lt;'Value Analysis'!$B$8,A16+1,"")</f>
        <v/>
      </c>
      <c r="B17" s="19" t="str">
        <f>IF(A16&lt;'Value Analysis'!$B$8,(1+'Value Analysis'!$B$12)^A16*'Value Analysis'!$B$10*'Value Analysis'!$B$4,"")</f>
        <v/>
      </c>
      <c r="C17" s="19" t="str">
        <f t="shared" si="0"/>
        <v/>
      </c>
      <c r="D17" s="22" t="str">
        <f t="shared" si="1"/>
        <v/>
      </c>
    </row>
    <row r="18" spans="1:4">
      <c r="A18" s="18" t="str">
        <f>IF(A17&lt;'Value Analysis'!$B$8,A17+1,"")</f>
        <v/>
      </c>
      <c r="B18" s="19" t="str">
        <f>IF(A17&lt;'Value Analysis'!$B$8,(1+'Value Analysis'!$B$12)^A17*'Value Analysis'!$B$10*'Value Analysis'!$B$4,"")</f>
        <v/>
      </c>
      <c r="C18" s="19" t="str">
        <f t="shared" si="0"/>
        <v/>
      </c>
      <c r="D18" s="22" t="str">
        <f t="shared" si="1"/>
        <v/>
      </c>
    </row>
    <row r="19" spans="1:4">
      <c r="A19" s="18" t="str">
        <f>IF(A18&lt;'Value Analysis'!$B$8,A18+1,"")</f>
        <v/>
      </c>
      <c r="B19" s="19" t="str">
        <f>IF(A18&lt;'Value Analysis'!$B$8,(1+'Value Analysis'!$B$12)^A18*'Value Analysis'!$B$10*'Value Analysis'!$B$4,"")</f>
        <v/>
      </c>
      <c r="C19" s="19" t="str">
        <f t="shared" si="0"/>
        <v/>
      </c>
      <c r="D19" s="22" t="str">
        <f t="shared" si="1"/>
        <v/>
      </c>
    </row>
    <row r="20" spans="1:4">
      <c r="A20" s="18" t="str">
        <f>IF(A19&lt;'Value Analysis'!$B$8,A19+1,"")</f>
        <v/>
      </c>
      <c r="B20" s="19" t="str">
        <f>IF(A19&lt;'Value Analysis'!$B$8,(1+'Value Analysis'!$B$12)^A19*'Value Analysis'!$B$10*'Value Analysis'!$B$4,"")</f>
        <v/>
      </c>
      <c r="C20" s="19" t="str">
        <f t="shared" si="0"/>
        <v/>
      </c>
      <c r="D20" s="22" t="str">
        <f t="shared" si="1"/>
        <v/>
      </c>
    </row>
    <row r="21" spans="1:4">
      <c r="A21" s="18" t="str">
        <f>IF(A20&lt;'Value Analysis'!$B$8,A20+1,"")</f>
        <v/>
      </c>
      <c r="B21" s="19" t="str">
        <f>IF(A20&lt;'Value Analysis'!$B$8,(1+'Value Analysis'!$B$12)^A20*'Value Analysis'!$B$10*'Value Analysis'!$B$4,"")</f>
        <v/>
      </c>
      <c r="C21" s="19" t="str">
        <f t="shared" si="0"/>
        <v/>
      </c>
      <c r="D21" s="22" t="str">
        <f t="shared" si="1"/>
        <v/>
      </c>
    </row>
    <row r="22" spans="1:4">
      <c r="A22" s="18" t="str">
        <f>IF(A21&lt;'Value Analysis'!$B$8,A21+1,"")</f>
        <v/>
      </c>
      <c r="B22" s="19" t="str">
        <f>IF(A21&lt;'Value Analysis'!$B$8,(1+'Value Analysis'!$B$12)^A21*'Value Analysis'!$B$10*'Value Analysis'!$B$4,"")</f>
        <v/>
      </c>
      <c r="C22" s="19" t="str">
        <f t="shared" si="0"/>
        <v/>
      </c>
      <c r="D22" s="22" t="str">
        <f t="shared" si="1"/>
        <v/>
      </c>
    </row>
    <row r="23" spans="1:4">
      <c r="A23" s="18" t="str">
        <f>IF(A22&lt;'Value Analysis'!$B$8,A22+1,"")</f>
        <v/>
      </c>
      <c r="B23" s="19" t="str">
        <f>IF(A22&lt;'Value Analysis'!$B$8,(1+'Value Analysis'!$B$12)^A22*'Value Analysis'!$B$10*'Value Analysis'!$B$4,"")</f>
        <v/>
      </c>
      <c r="C23" s="19" t="str">
        <f t="shared" si="0"/>
        <v/>
      </c>
      <c r="D23" s="22" t="str">
        <f t="shared" si="1"/>
        <v/>
      </c>
    </row>
    <row r="24" spans="1:4">
      <c r="A24" s="18" t="str">
        <f>IF(A23&lt;'Value Analysis'!$B$8,A23+1,"")</f>
        <v/>
      </c>
      <c r="B24" s="19" t="str">
        <f>IF(A23&lt;'Value Analysis'!$B$8,(1+'Value Analysis'!$B$12)^A23*'Value Analysis'!$B$10*'Value Analysis'!$B$4,"")</f>
        <v/>
      </c>
      <c r="C24" s="19" t="str">
        <f t="shared" si="0"/>
        <v/>
      </c>
      <c r="D24" s="22" t="str">
        <f t="shared" si="1"/>
        <v/>
      </c>
    </row>
    <row r="25" spans="1:4">
      <c r="A25" s="18" t="str">
        <f>IF(A24&lt;'Value Analysis'!$B$8,A24+1,"")</f>
        <v/>
      </c>
      <c r="B25" s="19" t="str">
        <f>IF(A24&lt;'Value Analysis'!$B$8,(1+'Value Analysis'!$B$12)^A24*'Value Analysis'!$B$10*'Value Analysis'!$B$4,"")</f>
        <v/>
      </c>
      <c r="C25" s="19" t="str">
        <f t="shared" si="0"/>
        <v/>
      </c>
      <c r="D25" s="22" t="str">
        <f t="shared" si="1"/>
        <v/>
      </c>
    </row>
    <row r="26" spans="1:4">
      <c r="A26" s="18" t="str">
        <f>IF(A25&lt;'Value Analysis'!$B$8,A25+1,"")</f>
        <v/>
      </c>
      <c r="B26" s="19" t="str">
        <f>IF(A25&lt;'Value Analysis'!$B$8,(1+'Value Analysis'!$B$12)^A25*'Value Analysis'!$B$10*'Value Analysis'!$B$4,"")</f>
        <v/>
      </c>
      <c r="C26" s="19" t="str">
        <f t="shared" si="0"/>
        <v/>
      </c>
      <c r="D26" s="22" t="str">
        <f t="shared" si="1"/>
        <v/>
      </c>
    </row>
    <row r="27" spans="1:4">
      <c r="A27" s="18" t="str">
        <f>IF(A26&lt;'Value Analysis'!$B$8,A26+1,"")</f>
        <v/>
      </c>
      <c r="B27" s="19" t="str">
        <f>IF(A26&lt;'Value Analysis'!$B$8,(1+'Value Analysis'!$B$12)^A26*'Value Analysis'!$B$10*'Value Analysis'!$B$4,"")</f>
        <v/>
      </c>
      <c r="C27" s="19" t="str">
        <f t="shared" si="0"/>
        <v/>
      </c>
      <c r="D27" s="22" t="str">
        <f t="shared" si="1"/>
        <v/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Value Analysis</vt:lpstr>
      <vt:lpstr>EPMs</vt:lpstr>
      <vt:lpstr>Payback Calc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Gisselquist</dc:creator>
  <cp:lastModifiedBy>Jay Orfield</cp:lastModifiedBy>
  <cp:lastPrinted>2012-10-16T19:35:10Z</cp:lastPrinted>
  <dcterms:created xsi:type="dcterms:W3CDTF">2011-08-13T18:44:29Z</dcterms:created>
  <dcterms:modified xsi:type="dcterms:W3CDTF">2012-11-03T19:03:19Z</dcterms:modified>
</cp:coreProperties>
</file>