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624"/>
  <workbookPr autoCompressPictures="0"/>
  <bookViews>
    <workbookView xWindow="0" yWindow="0" windowWidth="25600" windowHeight="15480"/>
  </bookViews>
  <sheets>
    <sheet name="Summary" sheetId="2" r:id="rId1"/>
    <sheet name="EPM 1" sheetId="4" r:id="rId2"/>
    <sheet name="EPM 2" sheetId="40" r:id="rId3"/>
    <sheet name="EPM 3" sheetId="11" r:id="rId4"/>
    <sheet name="EPM 4" sheetId="13" r:id="rId5"/>
    <sheet name="EPM 5" sheetId="15" r:id="rId6"/>
    <sheet name="EPM 6" sheetId="17" r:id="rId7"/>
    <sheet name="EPM 7" sheetId="19" r:id="rId8"/>
    <sheet name="EPM 8" sheetId="21" r:id="rId9"/>
    <sheet name="EPM 9" sheetId="23" r:id="rId10"/>
  </sheets>
  <definedNames>
    <definedName name="_xlnm.Print_Titles" localSheetId="0">Summary!$A:$A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2" l="1"/>
  <c r="C5" i="2"/>
  <c r="C4" i="2"/>
  <c r="C6" i="2"/>
  <c r="C10" i="2"/>
  <c r="D5" i="2"/>
  <c r="D4" i="2"/>
  <c r="D6" i="2"/>
  <c r="D10" i="2"/>
  <c r="E5" i="2"/>
  <c r="E4" i="2"/>
  <c r="E6" i="2"/>
  <c r="E10" i="2"/>
  <c r="F5" i="2"/>
  <c r="F4" i="2"/>
  <c r="F6" i="2"/>
  <c r="F10" i="2"/>
  <c r="G5" i="2"/>
  <c r="G4" i="2"/>
  <c r="G6" i="2"/>
  <c r="G10" i="2"/>
  <c r="H5" i="2"/>
  <c r="H4" i="2"/>
  <c r="H6" i="2"/>
  <c r="H10" i="2"/>
  <c r="I5" i="2"/>
  <c r="I4" i="2"/>
  <c r="I6" i="2"/>
  <c r="I10" i="2"/>
  <c r="J5" i="2"/>
  <c r="J4" i="2"/>
  <c r="J6" i="2"/>
  <c r="J10" i="2"/>
  <c r="K5" i="2"/>
  <c r="K4" i="2"/>
  <c r="K6" i="2"/>
  <c r="K10" i="2"/>
  <c r="C11" i="2"/>
  <c r="D11" i="2"/>
  <c r="E11" i="2"/>
  <c r="F11" i="2"/>
  <c r="G11" i="2"/>
  <c r="H11" i="2"/>
  <c r="I11" i="2"/>
  <c r="J11" i="2"/>
  <c r="K11" i="2"/>
  <c r="D9" i="2"/>
  <c r="E9" i="2"/>
  <c r="F9" i="2"/>
  <c r="G9" i="2"/>
  <c r="H9" i="2"/>
  <c r="I9" i="2"/>
  <c r="J9" i="2"/>
  <c r="K9" i="2"/>
  <c r="C9" i="2"/>
  <c r="J8" i="2"/>
  <c r="K8" i="2"/>
  <c r="I8" i="2"/>
  <c r="G8" i="2"/>
  <c r="F8" i="2"/>
  <c r="E8" i="2"/>
  <c r="D8" i="2"/>
  <c r="C8" i="2"/>
  <c r="C12" i="2"/>
  <c r="K2" i="2"/>
  <c r="K1" i="2"/>
  <c r="J2" i="2"/>
  <c r="J1" i="2"/>
  <c r="I2" i="2"/>
  <c r="I1" i="2"/>
  <c r="H2" i="2"/>
  <c r="H1" i="2"/>
  <c r="G2" i="2"/>
  <c r="G1" i="2"/>
  <c r="F2" i="2"/>
  <c r="F1" i="2"/>
  <c r="E2" i="2"/>
  <c r="E1" i="2"/>
  <c r="K11" i="19"/>
  <c r="K12" i="19"/>
  <c r="K13" i="19"/>
  <c r="K14" i="19"/>
  <c r="K15" i="19"/>
  <c r="H11" i="40"/>
  <c r="K11" i="40"/>
  <c r="H12" i="40"/>
  <c r="K12" i="40"/>
  <c r="H13" i="40"/>
  <c r="K13" i="40"/>
  <c r="H14" i="40"/>
  <c r="K14" i="40"/>
  <c r="H15" i="40"/>
  <c r="K15" i="40"/>
  <c r="H16" i="40"/>
  <c r="K16" i="40"/>
  <c r="H17" i="40"/>
  <c r="K17" i="40"/>
  <c r="H18" i="40"/>
  <c r="K18" i="40"/>
  <c r="H19" i="40"/>
  <c r="K19" i="40"/>
  <c r="H20" i="40"/>
  <c r="K20" i="40"/>
  <c r="H21" i="40"/>
  <c r="K21" i="40"/>
  <c r="H22" i="40"/>
  <c r="K22" i="40"/>
  <c r="K23" i="40"/>
  <c r="H24" i="40"/>
  <c r="K24" i="40"/>
  <c r="K25" i="40"/>
  <c r="H26" i="40"/>
  <c r="K26" i="40"/>
  <c r="H27" i="40"/>
  <c r="K27" i="40"/>
  <c r="H28" i="40"/>
  <c r="K28" i="40"/>
  <c r="H29" i="40"/>
  <c r="K29" i="40"/>
  <c r="H30" i="40"/>
  <c r="K30" i="40"/>
  <c r="H31" i="40"/>
  <c r="K31" i="40"/>
  <c r="E11" i="40"/>
  <c r="B12" i="40"/>
  <c r="E12" i="40"/>
  <c r="B13" i="40"/>
  <c r="E13" i="40"/>
  <c r="B14" i="40"/>
  <c r="E14" i="40"/>
  <c r="B15" i="40"/>
  <c r="E15" i="40"/>
  <c r="B16" i="40"/>
  <c r="E16" i="40"/>
  <c r="B17" i="40"/>
  <c r="E17" i="40"/>
  <c r="E18" i="40"/>
  <c r="B19" i="40"/>
  <c r="E19" i="40"/>
  <c r="B20" i="40"/>
  <c r="E20" i="40"/>
  <c r="B21" i="40"/>
  <c r="E21" i="40"/>
  <c r="B22" i="40"/>
  <c r="E22" i="40"/>
  <c r="E23" i="40"/>
  <c r="E24" i="40"/>
  <c r="E25" i="40"/>
  <c r="E26" i="40"/>
  <c r="E27" i="40"/>
  <c r="E28" i="40"/>
  <c r="E29" i="40"/>
  <c r="B30" i="40"/>
  <c r="E30" i="40"/>
  <c r="B31" i="40"/>
  <c r="E31" i="40"/>
  <c r="D2" i="2"/>
  <c r="D1" i="2"/>
  <c r="C2" i="2"/>
  <c r="C1" i="2"/>
  <c r="E11" i="4"/>
  <c r="E12" i="4"/>
  <c r="E13" i="4"/>
  <c r="E14" i="4"/>
  <c r="E15" i="4"/>
  <c r="E16" i="4"/>
  <c r="E17" i="4"/>
  <c r="H11" i="4"/>
  <c r="K11" i="4"/>
  <c r="H12" i="4"/>
  <c r="K12" i="4"/>
  <c r="K13" i="4"/>
  <c r="K14" i="4"/>
  <c r="K15" i="4"/>
  <c r="K16" i="4"/>
  <c r="K17" i="4"/>
  <c r="H11" i="13"/>
  <c r="D12" i="2"/>
  <c r="B11" i="17"/>
  <c r="B12" i="17"/>
  <c r="H11" i="17"/>
  <c r="B13" i="17"/>
  <c r="H12" i="17"/>
  <c r="H13" i="17"/>
  <c r="K17" i="23"/>
  <c r="E17" i="23"/>
  <c r="K16" i="23"/>
  <c r="E16" i="23"/>
  <c r="K15" i="23"/>
  <c r="E15" i="23"/>
  <c r="K14" i="23"/>
  <c r="E14" i="23"/>
  <c r="K13" i="23"/>
  <c r="E13" i="23"/>
  <c r="K12" i="23"/>
  <c r="K11" i="23"/>
  <c r="E12" i="23"/>
  <c r="E11" i="23"/>
  <c r="K17" i="21"/>
  <c r="E17" i="21"/>
  <c r="K16" i="21"/>
  <c r="E16" i="21"/>
  <c r="K15" i="21"/>
  <c r="E15" i="21"/>
  <c r="K14" i="21"/>
  <c r="E14" i="21"/>
  <c r="K13" i="21"/>
  <c r="E13" i="21"/>
  <c r="K12" i="21"/>
  <c r="E12" i="21"/>
  <c r="K11" i="21"/>
  <c r="E11" i="21"/>
  <c r="K14" i="17"/>
  <c r="E14" i="17"/>
  <c r="K13" i="17"/>
  <c r="E13" i="17"/>
  <c r="K12" i="17"/>
  <c r="E12" i="17"/>
  <c r="K11" i="17"/>
  <c r="E11" i="17"/>
  <c r="K17" i="15"/>
  <c r="E17" i="15"/>
  <c r="K16" i="15"/>
  <c r="E16" i="15"/>
  <c r="K15" i="15"/>
  <c r="E15" i="15"/>
  <c r="K14" i="15"/>
  <c r="E14" i="15"/>
  <c r="K13" i="15"/>
  <c r="E13" i="15"/>
  <c r="K12" i="15"/>
  <c r="K11" i="15"/>
  <c r="E12" i="15"/>
  <c r="E11" i="15"/>
  <c r="G12" i="2"/>
  <c r="K12" i="2"/>
  <c r="J12" i="2"/>
  <c r="K17" i="13"/>
  <c r="E17" i="13"/>
  <c r="K16" i="13"/>
  <c r="E16" i="13"/>
  <c r="K15" i="13"/>
  <c r="E15" i="13"/>
  <c r="K14" i="13"/>
  <c r="E14" i="13"/>
  <c r="K13" i="13"/>
  <c r="E13" i="13"/>
  <c r="K12" i="13"/>
  <c r="E12" i="13"/>
  <c r="K11" i="13"/>
  <c r="E11" i="13"/>
  <c r="K17" i="11"/>
  <c r="E17" i="11"/>
  <c r="K16" i="11"/>
  <c r="E16" i="11"/>
  <c r="K15" i="11"/>
  <c r="E15" i="11"/>
  <c r="K14" i="11"/>
  <c r="E14" i="11"/>
  <c r="K13" i="11"/>
  <c r="E13" i="11"/>
  <c r="K12" i="11"/>
  <c r="E12" i="11"/>
  <c r="K11" i="11"/>
  <c r="E11" i="11"/>
  <c r="H12" i="2"/>
  <c r="I12" i="2"/>
  <c r="E12" i="2"/>
  <c r="F12" i="2"/>
</calcChain>
</file>

<file path=xl/sharedStrings.xml><?xml version="1.0" encoding="utf-8"?>
<sst xmlns="http://schemas.openxmlformats.org/spreadsheetml/2006/main" count="312" uniqueCount="129">
  <si>
    <t>EPM 1</t>
  </si>
  <si>
    <t>EPM 4</t>
  </si>
  <si>
    <t>EPM 5</t>
  </si>
  <si>
    <t>EPM 6</t>
  </si>
  <si>
    <t>Design Contingency</t>
  </si>
  <si>
    <t>Bonds &amp; Insurances</t>
  </si>
  <si>
    <t>Description</t>
  </si>
  <si>
    <t>Quantity</t>
  </si>
  <si>
    <t>Unit</t>
  </si>
  <si>
    <t>Rate</t>
  </si>
  <si>
    <t>Total</t>
  </si>
  <si>
    <t>Local Tax on Material Only *</t>
  </si>
  <si>
    <t>No photo sensors</t>
  </si>
  <si>
    <t>ea</t>
  </si>
  <si>
    <t>LuxSense Ambient light sensors</t>
  </si>
  <si>
    <t>Current lighting energy use 1.3 W/SF</t>
  </si>
  <si>
    <t>No computer energy management in place beyond employee voluntary shutdown.</t>
  </si>
  <si>
    <t>Install Night Watchman software to back up and shut down computers during unoccupied periods.</t>
  </si>
  <si>
    <t>Night watchman software</t>
  </si>
  <si>
    <t>No plug load control</t>
  </si>
  <si>
    <t>Provide outlets with active control that turn off power completely when the space is unoccupied.</t>
  </si>
  <si>
    <t>No change to design</t>
  </si>
  <si>
    <t>Power bar with active plug load kill switch</t>
  </si>
  <si>
    <t>High Efficiency Servers</t>
  </si>
  <si>
    <t>SF</t>
  </si>
  <si>
    <t>Add insulation to interior walls around IDF/MDF rooms on floors 16-21 to increase to R-12.5</t>
  </si>
  <si>
    <t>Demo</t>
  </si>
  <si>
    <t>Paint</t>
  </si>
  <si>
    <t>Apply film to existing glazing to control solar heat gain. Solar heat gain coefficient reduced to 0.5.</t>
  </si>
  <si>
    <t>No change from baseline</t>
  </si>
  <si>
    <t>Installed cost window film</t>
  </si>
  <si>
    <t>SF/Floor</t>
  </si>
  <si>
    <t>No additional software</t>
  </si>
  <si>
    <t>Wall base</t>
  </si>
  <si>
    <t>LF</t>
  </si>
  <si>
    <t>New GB partitions</t>
  </si>
  <si>
    <t>New GB partitions with R-12.5 insulation</t>
  </si>
  <si>
    <t>Remove, Store &amp; Reinstall Door</t>
  </si>
  <si>
    <t>New GB partitions with aerogel insulation</t>
  </si>
  <si>
    <t xml:space="preserve">ea </t>
  </si>
  <si>
    <t>No daylight sensors.</t>
  </si>
  <si>
    <t>Wiring &amp; Install</t>
  </si>
  <si>
    <t>Add insulation (aerogel 'Spaceloft') to the inside of perimeter walls.</t>
  </si>
  <si>
    <t>Walls are complete with standard insulation</t>
  </si>
  <si>
    <t>As designed per M-111.00 dated 06/01/12</t>
  </si>
  <si>
    <t>New Sheet Metal</t>
  </si>
  <si>
    <t>lbs</t>
  </si>
  <si>
    <t>1" Ridig Insulation w/ VB</t>
  </si>
  <si>
    <t>sf</t>
  </si>
  <si>
    <t>Auto Louver Damper 66x14</t>
  </si>
  <si>
    <t>Auto Louver Damper 60x14</t>
  </si>
  <si>
    <t>Wiring</t>
  </si>
  <si>
    <t>Mechanical Duct Bridging</t>
  </si>
  <si>
    <t>EPM 7</t>
  </si>
  <si>
    <t>EPM 8</t>
  </si>
  <si>
    <t>EPM 9</t>
  </si>
  <si>
    <t xml:space="preserve">KS - Low wattage LED strip </t>
  </si>
  <si>
    <t xml:space="preserve">KT-C -Low wattage LED strip </t>
  </si>
  <si>
    <t xml:space="preserve">KT/W - Low wattage LED strip </t>
  </si>
  <si>
    <t xml:space="preserve"> </t>
  </si>
  <si>
    <t>KG-1 - 25W T8 lamp @ 0.85BF</t>
  </si>
  <si>
    <t>KG - 25W T8 lamp @ 0.85BF</t>
  </si>
  <si>
    <t>KA - T5 28W lamp @0.75 BF</t>
  </si>
  <si>
    <t>KE - 10W LED MR16</t>
  </si>
  <si>
    <t>KB - 10W BevelLED 4.5" Sq.</t>
  </si>
  <si>
    <t>KB-2 10W BevelLED 4.5" Sq.</t>
  </si>
  <si>
    <t>KC-10W BevelLED 4.5" Sq.</t>
  </si>
  <si>
    <t>KA -38W, T8 @0.77 BF</t>
  </si>
  <si>
    <t>KA/d - 28W/T5 @0.85BF</t>
  </si>
  <si>
    <t>KB - 14W/LED downlight</t>
  </si>
  <si>
    <t>KB/d - 14W/LED downlight with dimmer</t>
  </si>
  <si>
    <t>KB-2 14W/LED downlight</t>
  </si>
  <si>
    <t>KC - 14W/LED downlight recess mounted adjustable</t>
  </si>
  <si>
    <t>KC/d - 14W LED downlight dimmable</t>
  </si>
  <si>
    <t>KE - 10W LED MR16 downlight dimmable</t>
  </si>
  <si>
    <t>KF - 3W/LF Blue LED Strip</t>
  </si>
  <si>
    <t>KG - T5 29W @0.88BF dimming balast</t>
  </si>
  <si>
    <t>KG-1 - T5 29W @0.88BF recess mounted</t>
  </si>
  <si>
    <t>KL - recessed 2 lamp T5, 29W @ 0.85BF</t>
  </si>
  <si>
    <t>KM - scope says not used</t>
  </si>
  <si>
    <t>KN - Custom RGB LED panels 11W/LF</t>
  </si>
  <si>
    <t>KR - LED linear under cabinet task light</t>
  </si>
  <si>
    <t>KS - Ceiling recessed flourescent slot</t>
  </si>
  <si>
    <t>KT/W - Wall recessed flourescent with energy saving ballast</t>
  </si>
  <si>
    <t>KT/C - Ceiling recessed flourescent (2 lamp) with energy saving ballast</t>
  </si>
  <si>
    <t>KU - Custom LED Occupancy Indicator</t>
  </si>
  <si>
    <t>KV - T8 with dimming, 100W, @0.71 ballast factor</t>
  </si>
  <si>
    <t>KM - 2 lamp ballast at 0.75 BF</t>
  </si>
  <si>
    <t>KA/d - T5 26W @ 0.85BF</t>
  </si>
  <si>
    <t>EPM 2</t>
  </si>
  <si>
    <t>Install high efficiency lighting with occupancy sensors with a lighting density of 0.889 W/SF</t>
  </si>
  <si>
    <t>Ceiling Occupancy Sensors, F/I</t>
  </si>
  <si>
    <t>KB/d 10W BevelLED 4.5" Sq. with Dimming Ballast</t>
  </si>
  <si>
    <t>KC/d -10W BevelLED 4.5" Sq. with Dimming Ballast</t>
  </si>
  <si>
    <t>KL -Recessed Mounted 2 lamp 2' x2' with Electronic Ballast @ 0.75</t>
  </si>
  <si>
    <t>KV -4' x 4' 2 lamp lutron ballast @ 0.7 BF</t>
  </si>
  <si>
    <t>Costing Assumption:</t>
  </si>
  <si>
    <t>High Efficiency Lighting (0.889W/SF)</t>
  </si>
  <si>
    <t>Plug Load Control - Night Watchman</t>
  </si>
  <si>
    <t>Plug Load Control Occupancy Sensors</t>
  </si>
  <si>
    <t>Daylight Harvesting</t>
  </si>
  <si>
    <t>Aerogel Wall Insulation</t>
  </si>
  <si>
    <t>Insulate IDF/MDF Interior Walls</t>
  </si>
  <si>
    <t>Window Film</t>
  </si>
  <si>
    <t>MP supply duct pressure class 3. The static pressure sensor is assumed in the base design, so a new one is not needed for duct bridging.</t>
  </si>
  <si>
    <t>Bridge the duct betweent the two medium pressure supply lines. Supply redundancy helps with air flow and single AHU down time.</t>
  </si>
  <si>
    <t>Applies to floors 16-21 only.
Windows are 8' high. Price shown is per floor.</t>
  </si>
  <si>
    <t>No film on windows. U value of 0.6, Solar heat gain coefficient of 0.7.</t>
  </si>
  <si>
    <t>Assumes only portion in tenant space. Please see second option in Details.</t>
  </si>
  <si>
    <t>Assume standard interior insulation around IDF/MDF rooms. R-2.5</t>
  </si>
  <si>
    <t>Applies on floors 16-21 (each floor insulation area 4220 SF). Price provided is for a single floor.
Please see second option on detail sheet.</t>
  </si>
  <si>
    <t>No information provided about exisiting insulation. No additional cost associated with maintaining this insulation.</t>
  </si>
  <si>
    <t>Although we are not able to price this option without more information, changing servers and/or virtualization has no direct impact on construction cost and is a software decision. It will be important to consider the change in cooling requirements that result when new equipment is introduced. This may require additional cooling/electrical capacity.</t>
  </si>
  <si>
    <t>IT Loads have been estimated in the IDF/MDF rooms as 50W/SF. No information is provided about server make/model or cooling strategy.</t>
  </si>
  <si>
    <t xml:space="preserve">To reduce energy consumption by 50% as described in the EPM a better understading of current equipment and virtualization startegy is necessary. Equipment updating may be required before virtualization is possible. </t>
  </si>
  <si>
    <t>Each workstation received one power bar with active control. Price is per floor and assumes 200 workstations</t>
  </si>
  <si>
    <t>**No estimate can be made at this time. Night watchman may be contacted to set up an assesment of client needs and provide prices.
**Bloomberg already has a license for other software from this company.</t>
  </si>
  <si>
    <t>Prices shown are per floor. Assumes 20 fixtures per occupancy sensor. Price includes installation, materials, conduits and circuits.</t>
  </si>
  <si>
    <t>Each light in daylight zone (within 20 ft of windows) were counted. Assumed 20 lights per control circuit. Added 5% to count.</t>
  </si>
  <si>
    <t>Install daylight sensors/photocells in the perimeter spaces to reduce lighting requirements when there is sufficient natural light. Independent controls for each luminary.</t>
  </si>
  <si>
    <t>Project Baseline</t>
  </si>
  <si>
    <t>Energy Performance Measure</t>
  </si>
  <si>
    <r>
      <t xml:space="preserve">Estimated Direct Cost for Project </t>
    </r>
    <r>
      <rPr>
        <sz val="12"/>
        <color theme="1"/>
        <rFont val="Calibri"/>
        <family val="2"/>
        <scheme val="minor"/>
      </rPr>
      <t>Baseline</t>
    </r>
  </si>
  <si>
    <r>
      <t>General Contractor G</t>
    </r>
    <r>
      <rPr>
        <sz val="12"/>
        <color theme="1"/>
        <rFont val="Calibri"/>
        <family val="2"/>
        <scheme val="minor"/>
      </rPr>
      <t xml:space="preserve">eneral </t>
    </r>
    <r>
      <rPr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>ondition</t>
    </r>
    <r>
      <rPr>
        <sz val="12"/>
        <color theme="1"/>
        <rFont val="Calibri"/>
        <family val="2"/>
        <scheme val="minor"/>
      </rPr>
      <t>s &amp; Fee</t>
    </r>
  </si>
  <si>
    <r>
      <t xml:space="preserve">Estimated Direct Cost </t>
    </r>
    <r>
      <rPr>
        <sz val="12"/>
        <color theme="1"/>
        <rFont val="Calibri"/>
        <family val="2"/>
        <scheme val="minor"/>
      </rPr>
      <t xml:space="preserve">for </t>
    </r>
    <r>
      <rPr>
        <sz val="12"/>
        <color theme="1"/>
        <rFont val="Calibri"/>
        <family val="2"/>
        <scheme val="minor"/>
      </rPr>
      <t>EPM</t>
    </r>
    <r>
      <rPr>
        <sz val="12"/>
        <color theme="1"/>
        <rFont val="Calibri"/>
        <family val="2"/>
        <scheme val="minor"/>
      </rPr>
      <t>s</t>
    </r>
  </si>
  <si>
    <t>EPM 3</t>
  </si>
  <si>
    <r>
      <t>*</t>
    </r>
    <r>
      <rPr>
        <sz val="12"/>
        <color theme="1"/>
        <rFont val="Calibri"/>
        <family val="2"/>
        <scheme val="minor"/>
      </rPr>
      <t xml:space="preserve"> M</t>
    </r>
    <r>
      <rPr>
        <sz val="12"/>
        <color theme="1"/>
        <rFont val="Calibri"/>
        <family val="2"/>
        <scheme val="minor"/>
      </rPr>
      <t>aterial</t>
    </r>
    <r>
      <rPr>
        <sz val="12"/>
        <color theme="1"/>
        <rFont val="Calibri"/>
        <family val="2"/>
        <scheme val="minor"/>
      </rPr>
      <t xml:space="preserve">, as </t>
    </r>
    <r>
      <rPr>
        <sz val="12"/>
        <color theme="1"/>
        <rFont val="Calibri"/>
        <family val="2"/>
        <scheme val="minor"/>
      </rPr>
      <t>% of total cost</t>
    </r>
    <r>
      <rPr>
        <sz val="12"/>
        <color theme="1"/>
        <rFont val="Calibri"/>
        <family val="2"/>
        <scheme val="minor"/>
      </rPr>
      <t xml:space="preserve"> (assumption)</t>
    </r>
  </si>
  <si>
    <r>
      <rPr>
        <sz val="12"/>
        <color theme="1"/>
        <rFont val="Calibri"/>
        <family val="2"/>
        <scheme val="minor"/>
      </rPr>
      <t>Incremental</t>
    </r>
    <r>
      <rPr>
        <sz val="12"/>
        <color theme="1"/>
        <rFont val="Calibri"/>
        <family val="2"/>
        <scheme val="minor"/>
      </rPr>
      <t xml:space="preserve"> Cost </t>
    </r>
    <r>
      <rPr>
        <u/>
        <sz val="12"/>
        <color theme="1"/>
        <rFont val="Calibri"/>
        <scheme val="minor"/>
      </rPr>
      <t>without</t>
    </r>
    <r>
      <rPr>
        <sz val="12"/>
        <color theme="1"/>
        <rFont val="Calibri"/>
        <family val="2"/>
        <scheme val="minor"/>
      </rPr>
      <t xml:space="preserve"> Mark-Ups</t>
    </r>
  </si>
  <si>
    <r>
      <t xml:space="preserve">Incremental Cost </t>
    </r>
    <r>
      <rPr>
        <b/>
        <u/>
        <sz val="12"/>
        <color theme="1"/>
        <rFont val="Calibri"/>
        <scheme val="minor"/>
      </rPr>
      <t>with</t>
    </r>
    <r>
      <rPr>
        <b/>
        <sz val="12"/>
        <color theme="1"/>
        <rFont val="Calibri"/>
        <family val="2"/>
        <scheme val="minor"/>
      </rPr>
      <t xml:space="preserve"> Mark-Ups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</si>
</sst>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u/>
      <sz val="12"/>
      <color theme="1"/>
      <name val="Calibri"/>
      <scheme val="minor"/>
    </font>
    <font>
      <b/>
      <u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auto="1"/>
      </bottom>
      <diagonal/>
    </border>
  </borders>
  <cellStyleXfs count="20">
    <xf numFmtId="0" fontId="0" fillId="0" borderId="0"/>
    <xf numFmtId="44" fontId="4" fillId="0" borderId="0" applyFont="0" applyFill="0" applyBorder="0" applyAlignment="0" applyProtection="0"/>
    <xf numFmtId="0" fontId="6" fillId="2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3" borderId="3" applyNumberFormat="0" applyAlignment="0" applyProtection="0"/>
    <xf numFmtId="0" fontId="12" fillId="3" borderId="2" applyNumberFormat="0" applyAlignment="0" applyProtection="0"/>
    <xf numFmtId="0" fontId="13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/>
    <xf numFmtId="0" fontId="3" fillId="0" borderId="0" xfId="0" applyFont="1"/>
    <xf numFmtId="0" fontId="3" fillId="0" borderId="1" xfId="0" applyFont="1" applyBorder="1"/>
    <xf numFmtId="9" fontId="6" fillId="2" borderId="2" xfId="2" applyNumberFormat="1" applyFont="1"/>
    <xf numFmtId="0" fontId="3" fillId="0" borderId="0" xfId="0" applyFont="1" applyFill="1" applyBorder="1"/>
    <xf numFmtId="0" fontId="7" fillId="0" borderId="0" xfId="0" applyFont="1"/>
    <xf numFmtId="0" fontId="10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>
      <alignment wrapText="1"/>
    </xf>
    <xf numFmtId="164" fontId="3" fillId="0" borderId="0" xfId="1" applyNumberFormat="1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9" fontId="6" fillId="2" borderId="5" xfId="2" applyNumberFormat="1" applyFont="1" applyBorder="1"/>
    <xf numFmtId="0" fontId="7" fillId="0" borderId="0" xfId="0" applyFont="1" applyFill="1" applyBorder="1"/>
    <xf numFmtId="42" fontId="3" fillId="0" borderId="0" xfId="0" applyNumberFormat="1" applyFont="1" applyFill="1" applyAlignment="1">
      <alignment horizontal="left" textRotation="90" wrapText="1"/>
    </xf>
    <xf numFmtId="42" fontId="7" fillId="0" borderId="0" xfId="0" applyNumberFormat="1" applyFont="1" applyFill="1" applyAlignment="1"/>
    <xf numFmtId="42" fontId="3" fillId="0" borderId="0" xfId="0" applyNumberFormat="1" applyFont="1"/>
    <xf numFmtId="42" fontId="3" fillId="0" borderId="0" xfId="1" applyNumberFormat="1" applyFont="1"/>
    <xf numFmtId="42" fontId="11" fillId="3" borderId="3" xfId="13" applyNumberFormat="1"/>
    <xf numFmtId="42" fontId="12" fillId="3" borderId="2" xfId="14" applyNumberFormat="1"/>
    <xf numFmtId="42" fontId="13" fillId="0" borderId="4" xfId="15" applyNumberFormat="1"/>
    <xf numFmtId="42" fontId="3" fillId="0" borderId="0" xfId="1" applyNumberFormat="1" applyFont="1" applyBorder="1" applyAlignment="1">
      <alignment wrapText="1"/>
    </xf>
    <xf numFmtId="42" fontId="3" fillId="0" borderId="0" xfId="1" applyNumberFormat="1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42" fontId="7" fillId="0" borderId="0" xfId="0" applyNumberFormat="1" applyFont="1" applyBorder="1" applyAlignment="1">
      <alignment wrapText="1"/>
    </xf>
    <xf numFmtId="42" fontId="3" fillId="0" borderId="0" xfId="0" applyNumberFormat="1" applyFont="1" applyBorder="1" applyAlignment="1">
      <alignment wrapText="1"/>
    </xf>
    <xf numFmtId="42" fontId="2" fillId="0" borderId="0" xfId="0" applyNumberFormat="1" applyFont="1" applyBorder="1" applyAlignment="1">
      <alignment wrapText="1"/>
    </xf>
    <xf numFmtId="1" fontId="3" fillId="0" borderId="0" xfId="0" applyNumberFormat="1" applyFont="1" applyFill="1" applyBorder="1" applyAlignment="1">
      <alignment wrapText="1"/>
    </xf>
    <xf numFmtId="42" fontId="3" fillId="0" borderId="0" xfId="0" applyNumberFormat="1" applyFont="1" applyFill="1" applyBorder="1" applyAlignment="1">
      <alignment wrapText="1"/>
    </xf>
    <xf numFmtId="10" fontId="6" fillId="2" borderId="2" xfId="2" applyNumberFormat="1" applyFont="1"/>
  </cellXfs>
  <cellStyles count="20">
    <cellStyle name="Calculation" xfId="14" builtinId="22"/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7" builtinId="9" hidden="1"/>
    <cellStyle name="Followed Hyperlink" xfId="19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6" builtinId="8" hidden="1"/>
    <cellStyle name="Hyperlink" xfId="18" builtinId="8" hidden="1"/>
    <cellStyle name="Input" xfId="2" builtinId="20"/>
    <cellStyle name="Linked Cell" xfId="15" builtinId="24"/>
    <cellStyle name="Normal" xfId="0" builtinId="0"/>
    <cellStyle name="Output" xfId="1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0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5"/>
  <sheetViews>
    <sheetView tabSelected="1" workbookViewId="0">
      <selection activeCell="B8" sqref="B8"/>
    </sheetView>
  </sheetViews>
  <sheetFormatPr baseColWidth="10" defaultColWidth="8.83203125" defaultRowHeight="15" x14ac:dyDescent="0"/>
  <cols>
    <col min="1" max="1" width="38.5" style="4" bestFit="1" customWidth="1"/>
    <col min="2" max="2" width="7.6640625" style="4" customWidth="1"/>
    <col min="3" max="11" width="10.83203125" style="23" customWidth="1"/>
    <col min="12" max="16384" width="8.83203125" style="4"/>
  </cols>
  <sheetData>
    <row r="1" spans="1:12" s="1" customFormat="1" ht="188">
      <c r="C1" s="21" t="str">
        <f>'EPM 1'!$A$2</f>
        <v>Daylight Harvesting</v>
      </c>
      <c r="D1" s="21" t="str">
        <f>'EPM 2'!$A$2</f>
        <v>High Efficiency Lighting (0.889W/SF)</v>
      </c>
      <c r="E1" s="21" t="str">
        <f>'EPM 3'!$A$2</f>
        <v>Plug Load Control - Night Watchman</v>
      </c>
      <c r="F1" s="21" t="str">
        <f>'EPM 4'!$A$2</f>
        <v>Plug Load Control Occupancy Sensors</v>
      </c>
      <c r="G1" s="21" t="str">
        <f>'EPM 5'!$A$2</f>
        <v>High Efficiency Servers</v>
      </c>
      <c r="H1" s="21" t="str">
        <f>'EPM 6'!$A$2</f>
        <v>Aerogel Wall Insulation</v>
      </c>
      <c r="I1" s="21" t="str">
        <f>'EPM 7'!$A$2</f>
        <v>Insulate IDF/MDF Interior Walls</v>
      </c>
      <c r="J1" s="21" t="str">
        <f>'EPM 8'!$A$2</f>
        <v>Window Film</v>
      </c>
      <c r="K1" s="21" t="str">
        <f>'EPM 9'!$A$2</f>
        <v>Mechanical Duct Bridging</v>
      </c>
    </row>
    <row r="2" spans="1:12" s="2" customFormat="1">
      <c r="C2" s="22" t="str">
        <f>'EPM 1'!$A$1</f>
        <v>EPM 1</v>
      </c>
      <c r="D2" s="22" t="str">
        <f>'EPM 2'!$A$1</f>
        <v>EPM 2</v>
      </c>
      <c r="E2" s="22" t="str">
        <f>'EPM 3'!$A$1</f>
        <v>EPM 3</v>
      </c>
      <c r="F2" s="22" t="str">
        <f>'EPM 4'!$A$1</f>
        <v>EPM 4</v>
      </c>
      <c r="G2" s="22" t="str">
        <f>'EPM 5'!$A$1</f>
        <v>EPM 5</v>
      </c>
      <c r="H2" s="22" t="str">
        <f>'EPM 6'!$A$1</f>
        <v>EPM 6</v>
      </c>
      <c r="I2" s="22" t="str">
        <f>'EPM 7'!$A$1</f>
        <v>EPM 7</v>
      </c>
      <c r="J2" s="22" t="str">
        <f>'EPM 8'!$A$1</f>
        <v>EPM 8</v>
      </c>
      <c r="K2" s="22" t="str">
        <f>'EPM 9'!$A$1</f>
        <v>EPM 9</v>
      </c>
      <c r="L2" s="3"/>
    </row>
    <row r="4" spans="1:12" ht="16" thickBot="1">
      <c r="A4" s="17" t="s">
        <v>122</v>
      </c>
      <c r="C4" s="27">
        <f>SUM('EPM 1'!$E:$E)</f>
        <v>0</v>
      </c>
      <c r="D4" s="27">
        <f>SUM('EPM 2'!$E:$E)</f>
        <v>699588</v>
      </c>
      <c r="E4" s="27">
        <f>SUM('EPM 3'!$E:$E)</f>
        <v>0</v>
      </c>
      <c r="F4" s="27">
        <f>SUM('EPM 4'!$E:$E)</f>
        <v>0</v>
      </c>
      <c r="G4" s="27">
        <f>SUM('EPM 5'!$E:$E)</f>
        <v>0</v>
      </c>
      <c r="H4" s="27">
        <f>SUM('EPM 6'!$E:$E)</f>
        <v>56159</v>
      </c>
      <c r="I4" s="27">
        <f>SUM('EPM 7'!$E:$E)</f>
        <v>0</v>
      </c>
      <c r="J4" s="27">
        <f>SUM('EPM 8'!$E:$E)</f>
        <v>0</v>
      </c>
      <c r="K4" s="27">
        <f>SUM('EPM 9'!$E:$E)</f>
        <v>0</v>
      </c>
    </row>
    <row r="5" spans="1:12" ht="17" thickTop="1" thickBot="1">
      <c r="A5" s="18" t="s">
        <v>124</v>
      </c>
      <c r="B5" s="5"/>
      <c r="C5" s="27">
        <f>SUM('EPM 1'!$K:$K)</f>
        <v>8700</v>
      </c>
      <c r="D5" s="27">
        <f>SUM('EPM 2'!$K:$K)</f>
        <v>690084.5</v>
      </c>
      <c r="E5" s="27">
        <f>SUM('EPM 3'!$K:$K)</f>
        <v>0</v>
      </c>
      <c r="F5" s="27">
        <f>SUM('EPM 4'!$K:$K)</f>
        <v>20000</v>
      </c>
      <c r="G5" s="27">
        <f>SUM('EPM 5'!$K:$K)</f>
        <v>0</v>
      </c>
      <c r="H5" s="27">
        <f>SUM('EPM 6'!$K:$K)</f>
        <v>73039</v>
      </c>
      <c r="I5" s="27">
        <f>SUM('EPM 7'!$K:$K)</f>
        <v>9542</v>
      </c>
      <c r="J5" s="27">
        <f>SUM('EPM 8'!$K:$K)</f>
        <v>7500</v>
      </c>
      <c r="K5" s="27">
        <f>SUM('EPM 9'!$K:$K)</f>
        <v>23348.05</v>
      </c>
    </row>
    <row r="6" spans="1:12" ht="16" thickTop="1">
      <c r="A6" s="17" t="s">
        <v>127</v>
      </c>
      <c r="C6" s="26">
        <f>C5-C4</f>
        <v>8700</v>
      </c>
      <c r="D6" s="26">
        <f t="shared" ref="D6" si="0">D5-D4</f>
        <v>-9503.5</v>
      </c>
      <c r="E6" s="26">
        <f t="shared" ref="E6:K6" si="1">E5-E4</f>
        <v>0</v>
      </c>
      <c r="F6" s="26">
        <f t="shared" si="1"/>
        <v>20000</v>
      </c>
      <c r="G6" s="26">
        <f t="shared" si="1"/>
        <v>0</v>
      </c>
      <c r="H6" s="26">
        <f t="shared" si="1"/>
        <v>16880</v>
      </c>
      <c r="I6" s="26">
        <f t="shared" si="1"/>
        <v>9542</v>
      </c>
      <c r="J6" s="26">
        <f t="shared" si="1"/>
        <v>7500</v>
      </c>
      <c r="K6" s="26">
        <f t="shared" si="1"/>
        <v>23348.05</v>
      </c>
    </row>
    <row r="8" spans="1:12">
      <c r="A8" s="4" t="s">
        <v>11</v>
      </c>
      <c r="B8" s="36">
        <v>8.7499999999999994E-2</v>
      </c>
      <c r="C8" s="26">
        <f>$B8*C$6*$B$15</f>
        <v>380.625</v>
      </c>
      <c r="D8" s="26">
        <f>$B8*D$6*$B$15</f>
        <v>-415.77812499999999</v>
      </c>
      <c r="E8" s="26">
        <f>$B8*E$6*$B$15</f>
        <v>0</v>
      </c>
      <c r="F8" s="26">
        <f>$B8*F$6*$B$15</f>
        <v>875</v>
      </c>
      <c r="G8" s="26">
        <f>$B8*G$6*$B$15</f>
        <v>0</v>
      </c>
      <c r="H8" s="26">
        <f>$B8*H$6*$B$15</f>
        <v>738.5</v>
      </c>
      <c r="I8" s="26">
        <f>$B8*I$6*$B$15</f>
        <v>417.46249999999998</v>
      </c>
      <c r="J8" s="26">
        <f>$B8*J$6*$B$15</f>
        <v>328.125</v>
      </c>
      <c r="K8" s="26">
        <f>$B8*K$6*$B$15</f>
        <v>1021.4771874999999</v>
      </c>
    </row>
    <row r="9" spans="1:12">
      <c r="A9" s="4" t="s">
        <v>4</v>
      </c>
      <c r="B9" s="6">
        <v>0.08</v>
      </c>
      <c r="C9" s="26">
        <f>$B9*C$6</f>
        <v>696</v>
      </c>
      <c r="D9" s="26">
        <f t="shared" ref="D9:K11" si="2">$B9*D$6</f>
        <v>-760.28</v>
      </c>
      <c r="E9" s="26">
        <f t="shared" si="2"/>
        <v>0</v>
      </c>
      <c r="F9" s="26">
        <f t="shared" si="2"/>
        <v>1600</v>
      </c>
      <c r="G9" s="26">
        <f t="shared" si="2"/>
        <v>0</v>
      </c>
      <c r="H9" s="26">
        <f t="shared" si="2"/>
        <v>1350.4</v>
      </c>
      <c r="I9" s="26">
        <f t="shared" si="2"/>
        <v>763.36</v>
      </c>
      <c r="J9" s="26">
        <f t="shared" si="2"/>
        <v>600</v>
      </c>
      <c r="K9" s="26">
        <f t="shared" si="2"/>
        <v>1867.8440000000001</v>
      </c>
    </row>
    <row r="10" spans="1:12">
      <c r="A10" s="17" t="s">
        <v>123</v>
      </c>
      <c r="B10" s="6">
        <v>0.1</v>
      </c>
      <c r="C10" s="26">
        <f t="shared" ref="C10:C11" si="3">$B10*C$6</f>
        <v>870</v>
      </c>
      <c r="D10" s="26">
        <f t="shared" si="2"/>
        <v>-950.35</v>
      </c>
      <c r="E10" s="26">
        <f t="shared" si="2"/>
        <v>0</v>
      </c>
      <c r="F10" s="26">
        <f t="shared" si="2"/>
        <v>2000</v>
      </c>
      <c r="G10" s="26">
        <f t="shared" si="2"/>
        <v>0</v>
      </c>
      <c r="H10" s="26">
        <f t="shared" si="2"/>
        <v>1688</v>
      </c>
      <c r="I10" s="26">
        <f t="shared" si="2"/>
        <v>954.2</v>
      </c>
      <c r="J10" s="26">
        <f t="shared" si="2"/>
        <v>750</v>
      </c>
      <c r="K10" s="26">
        <f t="shared" si="2"/>
        <v>2334.8049999999998</v>
      </c>
    </row>
    <row r="11" spans="1:12">
      <c r="A11" s="5" t="s">
        <v>5</v>
      </c>
      <c r="B11" s="19">
        <v>0.02</v>
      </c>
      <c r="C11" s="26">
        <f t="shared" si="3"/>
        <v>174</v>
      </c>
      <c r="D11" s="26">
        <f t="shared" si="2"/>
        <v>-190.07</v>
      </c>
      <c r="E11" s="26">
        <f t="shared" si="2"/>
        <v>0</v>
      </c>
      <c r="F11" s="26">
        <f t="shared" si="2"/>
        <v>400</v>
      </c>
      <c r="G11" s="26">
        <f t="shared" si="2"/>
        <v>0</v>
      </c>
      <c r="H11" s="26">
        <f t="shared" si="2"/>
        <v>337.6</v>
      </c>
      <c r="I11" s="26">
        <f t="shared" si="2"/>
        <v>190.84</v>
      </c>
      <c r="J11" s="26">
        <f t="shared" si="2"/>
        <v>150</v>
      </c>
      <c r="K11" s="26">
        <f t="shared" si="2"/>
        <v>466.96100000000001</v>
      </c>
    </row>
    <row r="12" spans="1:12" s="8" customFormat="1">
      <c r="A12" s="20" t="s">
        <v>128</v>
      </c>
      <c r="C12" s="25">
        <f>SUM(C6:C11)</f>
        <v>10820.625</v>
      </c>
      <c r="D12" s="25">
        <f t="shared" ref="D12:J12" si="4">SUM(D6:D11)</f>
        <v>-11819.978125000001</v>
      </c>
      <c r="E12" s="25">
        <f t="shared" si="4"/>
        <v>0</v>
      </c>
      <c r="F12" s="25">
        <f t="shared" si="4"/>
        <v>24875</v>
      </c>
      <c r="G12" s="25">
        <f t="shared" si="4"/>
        <v>0</v>
      </c>
      <c r="H12" s="25">
        <f t="shared" si="4"/>
        <v>20994.5</v>
      </c>
      <c r="I12" s="25">
        <f t="shared" si="4"/>
        <v>11867.862500000001</v>
      </c>
      <c r="J12" s="25">
        <f t="shared" si="4"/>
        <v>9328.125</v>
      </c>
      <c r="K12" s="25">
        <f>SUM(K6:K11)</f>
        <v>29039.1371875</v>
      </c>
    </row>
    <row r="13" spans="1:12">
      <c r="A13" s="7"/>
    </row>
    <row r="14" spans="1:12">
      <c r="A14" s="7"/>
    </row>
    <row r="15" spans="1:12">
      <c r="A15" s="17" t="s">
        <v>126</v>
      </c>
      <c r="B15" s="6">
        <v>0.5</v>
      </c>
      <c r="C15" s="24"/>
      <c r="D15" s="24"/>
      <c r="E15" s="24"/>
      <c r="F15" s="24"/>
      <c r="G15" s="24"/>
      <c r="H15" s="24"/>
      <c r="I15" s="24"/>
      <c r="J15" s="24"/>
      <c r="K15" s="24"/>
    </row>
  </sheetData>
  <phoneticPr fontId="5" type="noConversion"/>
  <pageMargins left="0.7" right="0.7" top="0.75" bottom="0.75" header="0.3" footer="0.3"/>
  <pageSetup scale="63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55</v>
      </c>
      <c r="D1" s="31"/>
      <c r="E1" s="31"/>
      <c r="J1" s="31"/>
      <c r="K1" s="31"/>
    </row>
    <row r="2" spans="1:11">
      <c r="A2" s="10" t="s">
        <v>52</v>
      </c>
    </row>
    <row r="4" spans="1:11">
      <c r="A4" s="9" t="s">
        <v>96</v>
      </c>
    </row>
    <row r="5" spans="1:11" s="9" customFormat="1">
      <c r="A5" s="15" t="s">
        <v>104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44</v>
      </c>
      <c r="B8" s="14"/>
      <c r="C8" s="14"/>
      <c r="D8" s="14"/>
      <c r="E8" s="14"/>
      <c r="G8" s="14" t="s">
        <v>105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>
      <c r="E11" s="28">
        <f>B11*D11</f>
        <v>0</v>
      </c>
      <c r="G11" s="11" t="s">
        <v>45</v>
      </c>
      <c r="H11" s="11">
        <v>720</v>
      </c>
      <c r="I11" s="11" t="s">
        <v>46</v>
      </c>
      <c r="J11" s="28">
        <v>10</v>
      </c>
      <c r="K11" s="28">
        <f>H11*J11</f>
        <v>7200</v>
      </c>
    </row>
    <row r="12" spans="1:11">
      <c r="E12" s="28">
        <f t="shared" ref="E12:E17" si="0">B12*D12</f>
        <v>0</v>
      </c>
      <c r="G12" s="11" t="s">
        <v>47</v>
      </c>
      <c r="H12" s="11">
        <v>455</v>
      </c>
      <c r="I12" s="11" t="s">
        <v>48</v>
      </c>
      <c r="J12" s="28">
        <v>15.71</v>
      </c>
      <c r="K12" s="28">
        <f t="shared" ref="K12:K17" si="1">H12*J12</f>
        <v>7148.05</v>
      </c>
    </row>
    <row r="13" spans="1:11">
      <c r="E13" s="28">
        <f t="shared" si="0"/>
        <v>0</v>
      </c>
      <c r="G13" s="11" t="s">
        <v>49</v>
      </c>
      <c r="H13" s="11">
        <v>2</v>
      </c>
      <c r="I13" s="11" t="s">
        <v>13</v>
      </c>
      <c r="J13" s="28">
        <v>2887.5</v>
      </c>
      <c r="K13" s="28">
        <f t="shared" si="1"/>
        <v>5775</v>
      </c>
    </row>
    <row r="14" spans="1:11">
      <c r="E14" s="28">
        <f t="shared" si="0"/>
        <v>0</v>
      </c>
      <c r="G14" s="11" t="s">
        <v>50</v>
      </c>
      <c r="H14" s="11">
        <v>1</v>
      </c>
      <c r="I14" s="11" t="s">
        <v>13</v>
      </c>
      <c r="J14" s="28">
        <v>2625</v>
      </c>
      <c r="K14" s="28">
        <f t="shared" si="1"/>
        <v>2625</v>
      </c>
    </row>
    <row r="15" spans="1:11">
      <c r="E15" s="28">
        <f t="shared" si="0"/>
        <v>0</v>
      </c>
      <c r="G15" s="11" t="s">
        <v>51</v>
      </c>
      <c r="H15" s="11">
        <v>3</v>
      </c>
      <c r="I15" s="11" t="s">
        <v>13</v>
      </c>
      <c r="J15" s="28">
        <v>200</v>
      </c>
      <c r="K15" s="28">
        <f t="shared" si="1"/>
        <v>600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0</v>
      </c>
      <c r="D1" s="31"/>
      <c r="E1" s="31"/>
      <c r="J1" s="31"/>
      <c r="K1" s="31"/>
    </row>
    <row r="2" spans="1:11">
      <c r="A2" s="10" t="s">
        <v>100</v>
      </c>
    </row>
    <row r="4" spans="1:11">
      <c r="A4" s="9" t="s">
        <v>96</v>
      </c>
    </row>
    <row r="5" spans="1:11" s="9" customFormat="1">
      <c r="A5" s="15" t="s">
        <v>118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40</v>
      </c>
      <c r="B8" s="14"/>
      <c r="C8" s="14"/>
      <c r="D8" s="14"/>
      <c r="E8" s="14"/>
      <c r="G8" s="14" t="s">
        <v>119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 ht="30">
      <c r="A11" s="11" t="s">
        <v>12</v>
      </c>
      <c r="B11" s="11">
        <v>0</v>
      </c>
      <c r="C11" s="11" t="s">
        <v>13</v>
      </c>
      <c r="D11" s="32">
        <v>0</v>
      </c>
      <c r="E11" s="28">
        <f>B11*D11</f>
        <v>0</v>
      </c>
      <c r="G11" s="11" t="s">
        <v>14</v>
      </c>
      <c r="H11" s="11">
        <f>ROUND(287/20+287*0.05,0)</f>
        <v>29</v>
      </c>
      <c r="I11" s="11" t="s">
        <v>13</v>
      </c>
      <c r="J11" s="28">
        <v>100</v>
      </c>
      <c r="K11" s="28">
        <f>H11*J11</f>
        <v>2900</v>
      </c>
    </row>
    <row r="12" spans="1:11">
      <c r="E12" s="28">
        <f t="shared" ref="E12:E17" si="0">B12*D12</f>
        <v>0</v>
      </c>
      <c r="G12" s="11" t="s">
        <v>41</v>
      </c>
      <c r="H12" s="11">
        <f>ROUND(287/20+287*0.05,0)</f>
        <v>29</v>
      </c>
      <c r="I12" s="11" t="s">
        <v>13</v>
      </c>
      <c r="J12" s="28">
        <v>200</v>
      </c>
      <c r="K12" s="28">
        <f t="shared" ref="K12:K17" si="1">H12*J12</f>
        <v>5800</v>
      </c>
    </row>
    <row r="13" spans="1:11">
      <c r="E13" s="28">
        <f t="shared" si="0"/>
        <v>0</v>
      </c>
      <c r="K13" s="28">
        <f t="shared" si="1"/>
        <v>0</v>
      </c>
    </row>
    <row r="14" spans="1:11">
      <c r="E14" s="28">
        <f t="shared" si="0"/>
        <v>0</v>
      </c>
      <c r="K14" s="28">
        <f t="shared" si="1"/>
        <v>0</v>
      </c>
    </row>
    <row r="15" spans="1:11">
      <c r="E15" s="28">
        <f t="shared" si="0"/>
        <v>0</v>
      </c>
      <c r="K15" s="28">
        <f t="shared" si="1"/>
        <v>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6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3" s="30" customFormat="1">
      <c r="A1" s="30" t="s">
        <v>89</v>
      </c>
      <c r="D1" s="31"/>
      <c r="E1" s="31"/>
      <c r="J1" s="31"/>
      <c r="K1" s="31"/>
    </row>
    <row r="2" spans="1:13" ht="30">
      <c r="A2" s="10" t="s">
        <v>97</v>
      </c>
    </row>
    <row r="4" spans="1:13">
      <c r="A4" s="9" t="s">
        <v>96</v>
      </c>
    </row>
    <row r="5" spans="1:13" s="9" customFormat="1">
      <c r="A5" s="15" t="s">
        <v>117</v>
      </c>
      <c r="B5" s="15"/>
      <c r="C5" s="15"/>
      <c r="D5" s="15"/>
      <c r="E5" s="15"/>
      <c r="F5" s="15"/>
      <c r="G5" s="15"/>
      <c r="H5" s="15"/>
      <c r="I5" s="15"/>
      <c r="J5" s="16"/>
      <c r="K5" s="16"/>
    </row>
    <row r="7" spans="1:13">
      <c r="A7" s="30" t="s">
        <v>120</v>
      </c>
      <c r="G7" s="30" t="s">
        <v>121</v>
      </c>
    </row>
    <row r="8" spans="1:13" s="10" customFormat="1" ht="15" customHeight="1">
      <c r="A8" s="14" t="s">
        <v>15</v>
      </c>
      <c r="B8" s="14"/>
      <c r="C8" s="14"/>
      <c r="D8" s="14"/>
      <c r="E8" s="33"/>
      <c r="G8" s="14" t="s">
        <v>90</v>
      </c>
      <c r="H8" s="14"/>
      <c r="I8" s="14"/>
      <c r="J8" s="14"/>
      <c r="K8" s="14"/>
    </row>
    <row r="9" spans="1:13" s="10" customFormat="1">
      <c r="D9" s="33"/>
      <c r="E9" s="33"/>
      <c r="J9" s="33"/>
      <c r="K9" s="33"/>
    </row>
    <row r="10" spans="1:13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3">
      <c r="A11" s="12" t="s">
        <v>67</v>
      </c>
      <c r="B11" s="11">
        <v>186</v>
      </c>
      <c r="C11" s="11" t="s">
        <v>13</v>
      </c>
      <c r="D11" s="29">
        <v>794</v>
      </c>
      <c r="E11" s="28">
        <f t="shared" ref="E11:E19" si="0">B11*D11</f>
        <v>147684</v>
      </c>
      <c r="G11" s="12" t="s">
        <v>62</v>
      </c>
      <c r="H11" s="12">
        <f>190</f>
        <v>190</v>
      </c>
      <c r="I11" s="12" t="s">
        <v>13</v>
      </c>
      <c r="J11" s="29">
        <v>708</v>
      </c>
      <c r="K11" s="28">
        <f t="shared" ref="K11:K30" si="1">H11*J11</f>
        <v>134520</v>
      </c>
      <c r="M11" s="13"/>
    </row>
    <row r="12" spans="1:13">
      <c r="A12" s="11" t="s">
        <v>68</v>
      </c>
      <c r="B12" s="11">
        <f>144/2</f>
        <v>72</v>
      </c>
      <c r="C12" s="11" t="s">
        <v>13</v>
      </c>
      <c r="D12" s="29">
        <v>837</v>
      </c>
      <c r="E12" s="28">
        <f t="shared" si="0"/>
        <v>60264</v>
      </c>
      <c r="G12" s="12" t="s">
        <v>88</v>
      </c>
      <c r="H12" s="12">
        <f>78</f>
        <v>78</v>
      </c>
      <c r="I12" s="12" t="s">
        <v>13</v>
      </c>
      <c r="J12" s="29">
        <v>837</v>
      </c>
      <c r="K12" s="29">
        <f t="shared" si="1"/>
        <v>65286</v>
      </c>
      <c r="M12" s="13"/>
    </row>
    <row r="13" spans="1:13">
      <c r="A13" s="11" t="s">
        <v>69</v>
      </c>
      <c r="B13" s="11">
        <f>70/2</f>
        <v>35</v>
      </c>
      <c r="C13" s="11" t="s">
        <v>13</v>
      </c>
      <c r="D13" s="29">
        <v>1093</v>
      </c>
      <c r="E13" s="28">
        <f t="shared" si="0"/>
        <v>38255</v>
      </c>
      <c r="G13" s="12" t="s">
        <v>64</v>
      </c>
      <c r="H13" s="12">
        <f>13+22</f>
        <v>35</v>
      </c>
      <c r="I13" s="12" t="s">
        <v>13</v>
      </c>
      <c r="J13" s="29">
        <v>1180</v>
      </c>
      <c r="K13" s="28">
        <f t="shared" si="1"/>
        <v>41300</v>
      </c>
      <c r="M13" s="13"/>
    </row>
    <row r="14" spans="1:13" ht="30">
      <c r="A14" s="11" t="s">
        <v>70</v>
      </c>
      <c r="B14" s="11">
        <f>24/2</f>
        <v>12</v>
      </c>
      <c r="C14" s="11" t="s">
        <v>13</v>
      </c>
      <c r="D14" s="29">
        <v>1180</v>
      </c>
      <c r="E14" s="28">
        <f t="shared" si="0"/>
        <v>14160</v>
      </c>
      <c r="G14" s="12" t="s">
        <v>92</v>
      </c>
      <c r="H14" s="12">
        <f>12</f>
        <v>12</v>
      </c>
      <c r="I14" s="12" t="s">
        <v>13</v>
      </c>
      <c r="J14" s="29">
        <v>1287</v>
      </c>
      <c r="K14" s="28">
        <f t="shared" si="1"/>
        <v>15444</v>
      </c>
      <c r="M14" s="13"/>
    </row>
    <row r="15" spans="1:13">
      <c r="A15" s="11" t="s">
        <v>71</v>
      </c>
      <c r="B15" s="11">
        <f>10/2</f>
        <v>5</v>
      </c>
      <c r="C15" s="11" t="s">
        <v>13</v>
      </c>
      <c r="D15" s="29">
        <v>1093</v>
      </c>
      <c r="E15" s="28">
        <f t="shared" si="0"/>
        <v>5465</v>
      </c>
      <c r="G15" s="12" t="s">
        <v>65</v>
      </c>
      <c r="H15" s="12">
        <f>3+2</f>
        <v>5</v>
      </c>
      <c r="I15" s="12" t="s">
        <v>13</v>
      </c>
      <c r="J15" s="29">
        <v>1180</v>
      </c>
      <c r="K15" s="28">
        <f t="shared" si="1"/>
        <v>5900</v>
      </c>
      <c r="M15" s="13"/>
    </row>
    <row r="16" spans="1:13" ht="30">
      <c r="A16" s="11" t="s">
        <v>72</v>
      </c>
      <c r="B16" s="11">
        <f>62/2</f>
        <v>31</v>
      </c>
      <c r="C16" s="11" t="s">
        <v>13</v>
      </c>
      <c r="D16" s="29">
        <v>1136</v>
      </c>
      <c r="E16" s="28">
        <f t="shared" si="0"/>
        <v>35216</v>
      </c>
      <c r="G16" s="12" t="s">
        <v>66</v>
      </c>
      <c r="H16" s="12">
        <f>19+12</f>
        <v>31</v>
      </c>
      <c r="I16" s="12" t="s">
        <v>13</v>
      </c>
      <c r="J16" s="29">
        <v>1180</v>
      </c>
      <c r="K16" s="28">
        <f t="shared" si="1"/>
        <v>36580</v>
      </c>
      <c r="M16" s="13"/>
    </row>
    <row r="17" spans="1:13" ht="30">
      <c r="A17" s="11" t="s">
        <v>73</v>
      </c>
      <c r="B17" s="11">
        <f>42/2</f>
        <v>21</v>
      </c>
      <c r="C17" s="11" t="s">
        <v>13</v>
      </c>
      <c r="D17" s="29">
        <v>1180</v>
      </c>
      <c r="E17" s="28">
        <f t="shared" si="0"/>
        <v>24780</v>
      </c>
      <c r="G17" s="12" t="s">
        <v>93</v>
      </c>
      <c r="H17" s="12">
        <f>4+3+10</f>
        <v>17</v>
      </c>
      <c r="I17" s="12" t="s">
        <v>13</v>
      </c>
      <c r="J17" s="29">
        <v>1287</v>
      </c>
      <c r="K17" s="28">
        <f t="shared" si="1"/>
        <v>21879</v>
      </c>
      <c r="M17" s="13"/>
    </row>
    <row r="18" spans="1:13" ht="30">
      <c r="A18" s="11" t="s">
        <v>74</v>
      </c>
      <c r="B18" s="11">
        <v>34</v>
      </c>
      <c r="C18" s="11" t="s">
        <v>13</v>
      </c>
      <c r="D18" s="29">
        <v>1093</v>
      </c>
      <c r="E18" s="28">
        <f t="shared" si="0"/>
        <v>37162</v>
      </c>
      <c r="G18" s="12" t="s">
        <v>63</v>
      </c>
      <c r="H18" s="12">
        <f>36</f>
        <v>36</v>
      </c>
      <c r="I18" s="12" t="s">
        <v>13</v>
      </c>
      <c r="J18" s="29">
        <v>1093</v>
      </c>
      <c r="K18" s="28">
        <f t="shared" si="1"/>
        <v>39348</v>
      </c>
      <c r="M18" s="13"/>
    </row>
    <row r="19" spans="1:13">
      <c r="A19" s="11" t="s">
        <v>75</v>
      </c>
      <c r="B19" s="11">
        <f>860/2</f>
        <v>430</v>
      </c>
      <c r="C19" s="11" t="s">
        <v>34</v>
      </c>
      <c r="D19" s="29">
        <v>257</v>
      </c>
      <c r="E19" s="28">
        <f t="shared" si="0"/>
        <v>110510</v>
      </c>
      <c r="G19" s="12" t="s">
        <v>75</v>
      </c>
      <c r="H19" s="12">
        <f>360</f>
        <v>360</v>
      </c>
      <c r="I19" s="12" t="s">
        <v>34</v>
      </c>
      <c r="J19" s="29">
        <v>257</v>
      </c>
      <c r="K19" s="28">
        <f t="shared" si="1"/>
        <v>92520</v>
      </c>
      <c r="M19" s="13"/>
    </row>
    <row r="20" spans="1:13" ht="30">
      <c r="A20" s="11" t="s">
        <v>76</v>
      </c>
      <c r="B20" s="11">
        <f>128/2</f>
        <v>64</v>
      </c>
      <c r="C20" s="11" t="s">
        <v>34</v>
      </c>
      <c r="D20" s="29">
        <v>236</v>
      </c>
      <c r="E20" s="28">
        <f t="shared" ref="E20:E30" si="2">B20*D20</f>
        <v>15104</v>
      </c>
      <c r="G20" s="12" t="s">
        <v>61</v>
      </c>
      <c r="H20" s="12">
        <f>36+16+12</f>
        <v>64</v>
      </c>
      <c r="I20" s="12" t="s">
        <v>34</v>
      </c>
      <c r="J20" s="29">
        <v>279</v>
      </c>
      <c r="K20" s="28">
        <f t="shared" si="1"/>
        <v>17856</v>
      </c>
      <c r="M20" s="13"/>
    </row>
    <row r="21" spans="1:13" ht="30">
      <c r="A21" s="11" t="s">
        <v>77</v>
      </c>
      <c r="B21" s="11">
        <f>196/2</f>
        <v>98</v>
      </c>
      <c r="C21" s="11" t="s">
        <v>34</v>
      </c>
      <c r="D21" s="29">
        <v>236</v>
      </c>
      <c r="E21" s="28">
        <f t="shared" si="2"/>
        <v>23128</v>
      </c>
      <c r="G21" s="12" t="s">
        <v>60</v>
      </c>
      <c r="H21" s="12">
        <f>11+10+10+16+16+11+11</f>
        <v>85</v>
      </c>
      <c r="I21" s="12" t="s">
        <v>34</v>
      </c>
      <c r="J21" s="29">
        <v>279</v>
      </c>
      <c r="K21" s="28">
        <f t="shared" si="1"/>
        <v>23715</v>
      </c>
      <c r="M21" s="13"/>
    </row>
    <row r="22" spans="1:13" ht="45">
      <c r="A22" s="11" t="s">
        <v>78</v>
      </c>
      <c r="B22" s="11">
        <f>44/2</f>
        <v>22</v>
      </c>
      <c r="C22" s="11" t="s">
        <v>13</v>
      </c>
      <c r="D22" s="29">
        <v>750</v>
      </c>
      <c r="E22" s="28">
        <f t="shared" si="2"/>
        <v>16500</v>
      </c>
      <c r="G22" s="12" t="s">
        <v>94</v>
      </c>
      <c r="H22" s="12">
        <f>3+8+2+2+9</f>
        <v>24</v>
      </c>
      <c r="I22" s="12" t="s">
        <v>13</v>
      </c>
      <c r="J22" s="29">
        <v>729</v>
      </c>
      <c r="K22" s="28">
        <f t="shared" si="1"/>
        <v>17496</v>
      </c>
      <c r="M22" s="13"/>
    </row>
    <row r="23" spans="1:13">
      <c r="A23" s="12" t="s">
        <v>79</v>
      </c>
      <c r="B23" s="12">
        <v>1</v>
      </c>
      <c r="C23" s="12" t="s">
        <v>13</v>
      </c>
      <c r="D23" s="29">
        <v>558</v>
      </c>
      <c r="E23" s="29">
        <f t="shared" si="2"/>
        <v>558</v>
      </c>
      <c r="F23" s="12"/>
      <c r="G23" s="12" t="s">
        <v>87</v>
      </c>
      <c r="H23" s="12">
        <v>1</v>
      </c>
      <c r="I23" s="12" t="s">
        <v>13</v>
      </c>
      <c r="J23" s="29">
        <v>558</v>
      </c>
      <c r="K23" s="28">
        <f t="shared" si="1"/>
        <v>558</v>
      </c>
      <c r="M23" s="13"/>
    </row>
    <row r="24" spans="1:13" ht="30">
      <c r="A24" s="12" t="s">
        <v>80</v>
      </c>
      <c r="B24" s="12">
        <v>60</v>
      </c>
      <c r="C24" s="12" t="s">
        <v>34</v>
      </c>
      <c r="D24" s="29">
        <v>343</v>
      </c>
      <c r="E24" s="29">
        <f t="shared" si="2"/>
        <v>20580</v>
      </c>
      <c r="F24" s="12"/>
      <c r="G24" s="12" t="s">
        <v>80</v>
      </c>
      <c r="H24" s="12">
        <f>12+12+12+12+12</f>
        <v>60</v>
      </c>
      <c r="I24" s="12" t="s">
        <v>34</v>
      </c>
      <c r="J24" s="29">
        <v>343</v>
      </c>
      <c r="K24" s="28">
        <f t="shared" si="1"/>
        <v>20580</v>
      </c>
      <c r="M24" s="13"/>
    </row>
    <row r="25" spans="1:13" ht="30">
      <c r="A25" s="12" t="s">
        <v>81</v>
      </c>
      <c r="B25" s="12">
        <v>12</v>
      </c>
      <c r="C25" s="12" t="s">
        <v>34</v>
      </c>
      <c r="D25" s="29">
        <v>536</v>
      </c>
      <c r="E25" s="29">
        <f t="shared" si="2"/>
        <v>6432</v>
      </c>
      <c r="F25" s="12"/>
      <c r="G25" s="12" t="s">
        <v>81</v>
      </c>
      <c r="H25" s="12">
        <v>12</v>
      </c>
      <c r="I25" s="12" t="s">
        <v>34</v>
      </c>
      <c r="J25" s="29">
        <v>536</v>
      </c>
      <c r="K25" s="28">
        <f t="shared" si="1"/>
        <v>6432</v>
      </c>
      <c r="M25" s="13"/>
    </row>
    <row r="26" spans="1:13" ht="30">
      <c r="A26" s="12" t="s">
        <v>82</v>
      </c>
      <c r="B26" s="12">
        <v>37</v>
      </c>
      <c r="C26" s="12" t="s">
        <v>34</v>
      </c>
      <c r="D26" s="29">
        <v>215</v>
      </c>
      <c r="E26" s="29">
        <f t="shared" si="2"/>
        <v>7955</v>
      </c>
      <c r="F26" s="12"/>
      <c r="G26" s="12" t="s">
        <v>56</v>
      </c>
      <c r="H26" s="12">
        <f>18</f>
        <v>18</v>
      </c>
      <c r="I26" s="12" t="s">
        <v>34</v>
      </c>
      <c r="J26" s="29">
        <v>322</v>
      </c>
      <c r="K26" s="28">
        <f t="shared" si="1"/>
        <v>5796</v>
      </c>
      <c r="M26" s="13"/>
    </row>
    <row r="27" spans="1:13" ht="45">
      <c r="A27" s="12" t="s">
        <v>84</v>
      </c>
      <c r="B27" s="12">
        <v>57</v>
      </c>
      <c r="C27" s="12" t="s">
        <v>34</v>
      </c>
      <c r="D27" s="29">
        <v>279</v>
      </c>
      <c r="E27" s="29">
        <f t="shared" si="2"/>
        <v>15903</v>
      </c>
      <c r="F27" s="12"/>
      <c r="G27" s="12" t="s">
        <v>57</v>
      </c>
      <c r="H27" s="12">
        <f>30+26.5</f>
        <v>56.5</v>
      </c>
      <c r="I27" s="12" t="s">
        <v>34</v>
      </c>
      <c r="J27" s="29">
        <v>365</v>
      </c>
      <c r="K27" s="28">
        <f t="shared" si="1"/>
        <v>20622.5</v>
      </c>
      <c r="M27" s="13"/>
    </row>
    <row r="28" spans="1:13" ht="45">
      <c r="A28" s="12" t="s">
        <v>83</v>
      </c>
      <c r="B28" s="12">
        <v>40</v>
      </c>
      <c r="C28" s="12" t="s">
        <v>34</v>
      </c>
      <c r="D28" s="29">
        <v>300</v>
      </c>
      <c r="E28" s="29">
        <f t="shared" si="2"/>
        <v>12000</v>
      </c>
      <c r="F28" s="12"/>
      <c r="G28" s="12" t="s">
        <v>58</v>
      </c>
      <c r="H28" s="12">
        <f>20+20</f>
        <v>40</v>
      </c>
      <c r="I28" s="12" t="s">
        <v>34</v>
      </c>
      <c r="J28" s="29">
        <v>408</v>
      </c>
      <c r="K28" s="28">
        <f t="shared" si="1"/>
        <v>16320</v>
      </c>
      <c r="M28" s="13"/>
    </row>
    <row r="29" spans="1:13" ht="30">
      <c r="A29" s="12" t="s">
        <v>85</v>
      </c>
      <c r="B29" s="12">
        <v>8</v>
      </c>
      <c r="C29" s="12" t="s">
        <v>13</v>
      </c>
      <c r="D29" s="29">
        <v>1287</v>
      </c>
      <c r="E29" s="29">
        <f t="shared" si="2"/>
        <v>10296</v>
      </c>
      <c r="F29" s="12"/>
      <c r="G29" s="12" t="s">
        <v>85</v>
      </c>
      <c r="H29" s="12">
        <f>4+1+1+1+1</f>
        <v>8</v>
      </c>
      <c r="I29" s="12" t="s">
        <v>13</v>
      </c>
      <c r="J29" s="29">
        <v>1287</v>
      </c>
      <c r="K29" s="28">
        <f t="shared" si="1"/>
        <v>10296</v>
      </c>
      <c r="M29" s="13"/>
    </row>
    <row r="30" spans="1:13" ht="30">
      <c r="A30" s="12" t="s">
        <v>86</v>
      </c>
      <c r="B30" s="12">
        <f>28/2</f>
        <v>14</v>
      </c>
      <c r="C30" s="12" t="s">
        <v>13</v>
      </c>
      <c r="D30" s="29">
        <v>2574</v>
      </c>
      <c r="E30" s="29">
        <f t="shared" si="2"/>
        <v>36036</v>
      </c>
      <c r="F30" s="12"/>
      <c r="G30" s="12" t="s">
        <v>95</v>
      </c>
      <c r="H30" s="12">
        <f>3+1+1+1+2+2+1+3</f>
        <v>14</v>
      </c>
      <c r="I30" s="12" t="s">
        <v>13</v>
      </c>
      <c r="J30" s="29">
        <v>2574</v>
      </c>
      <c r="K30" s="28">
        <f t="shared" si="1"/>
        <v>36036</v>
      </c>
      <c r="M30" s="13"/>
    </row>
    <row r="31" spans="1:13" ht="30">
      <c r="A31" s="12" t="s">
        <v>91</v>
      </c>
      <c r="B31" s="12">
        <f>ROUND(773/20+773*0.05,0)</f>
        <v>77</v>
      </c>
      <c r="C31" s="12" t="s">
        <v>13</v>
      </c>
      <c r="D31" s="29">
        <v>800</v>
      </c>
      <c r="E31" s="29">
        <f>B31*D31</f>
        <v>61600</v>
      </c>
      <c r="F31" s="12"/>
      <c r="G31" s="12" t="s">
        <v>91</v>
      </c>
      <c r="H31" s="12">
        <f>ROUND(773/20+773*0.05,0)</f>
        <v>77</v>
      </c>
      <c r="I31" s="12" t="s">
        <v>13</v>
      </c>
      <c r="J31" s="29">
        <v>800</v>
      </c>
      <c r="K31" s="28">
        <f t="shared" ref="K31" si="3">H31*J31</f>
        <v>61600</v>
      </c>
      <c r="M31" s="13"/>
    </row>
    <row r="32" spans="1:13">
      <c r="A32" s="12"/>
      <c r="B32" s="12"/>
      <c r="C32" s="12"/>
      <c r="D32" s="35"/>
      <c r="E32" s="35"/>
      <c r="F32" s="12"/>
      <c r="G32" s="12"/>
      <c r="H32" s="12"/>
      <c r="I32" s="12"/>
      <c r="J32" s="35"/>
    </row>
    <row r="33" spans="1:4">
      <c r="D33" s="32" t="s">
        <v>59</v>
      </c>
    </row>
    <row r="36" spans="1:4">
      <c r="A36" s="11" t="s">
        <v>59</v>
      </c>
    </row>
  </sheetData>
  <mergeCells count="3">
    <mergeCell ref="A8:D8"/>
    <mergeCell ref="A5:K5"/>
    <mergeCell ref="G8:K8"/>
  </mergeCells>
  <phoneticPr fontId="5" type="noConversion"/>
  <pageMargins left="0.7" right="0.7" top="0.75" bottom="0.75" header="0.3" footer="0.3"/>
  <pageSetup scale="55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125</v>
      </c>
      <c r="D1" s="31"/>
      <c r="E1" s="31"/>
      <c r="J1" s="31"/>
      <c r="K1" s="31"/>
    </row>
    <row r="2" spans="1:11" ht="30">
      <c r="A2" s="10" t="s">
        <v>98</v>
      </c>
    </row>
    <row r="4" spans="1:11">
      <c r="A4" s="9" t="s">
        <v>96</v>
      </c>
    </row>
    <row r="5" spans="1:11" s="9" customFormat="1">
      <c r="A5" s="15" t="s">
        <v>116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16</v>
      </c>
      <c r="B8" s="14"/>
      <c r="C8" s="14"/>
      <c r="D8" s="14"/>
      <c r="E8" s="14"/>
      <c r="G8" s="14" t="s">
        <v>17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>
      <c r="A11" s="11" t="s">
        <v>32</v>
      </c>
      <c r="B11" s="11">
        <v>0</v>
      </c>
      <c r="C11" s="11" t="s">
        <v>13</v>
      </c>
      <c r="D11" s="32">
        <v>0</v>
      </c>
      <c r="E11" s="28">
        <f>B11*D11</f>
        <v>0</v>
      </c>
      <c r="G11" s="11" t="s">
        <v>18</v>
      </c>
      <c r="H11" s="11">
        <v>0</v>
      </c>
      <c r="I11" s="11" t="s">
        <v>39</v>
      </c>
      <c r="K11" s="28">
        <f>H11*J11</f>
        <v>0</v>
      </c>
    </row>
    <row r="12" spans="1:11">
      <c r="E12" s="28">
        <f t="shared" ref="E12:E17" si="0">B12*D12</f>
        <v>0</v>
      </c>
      <c r="K12" s="28">
        <f t="shared" ref="K12:K17" si="1">H12*J12</f>
        <v>0</v>
      </c>
    </row>
    <row r="13" spans="1:11">
      <c r="E13" s="28">
        <f t="shared" si="0"/>
        <v>0</v>
      </c>
      <c r="K13" s="28">
        <f t="shared" si="1"/>
        <v>0</v>
      </c>
    </row>
    <row r="14" spans="1:11">
      <c r="E14" s="28">
        <f t="shared" si="0"/>
        <v>0</v>
      </c>
      <c r="K14" s="28">
        <f t="shared" si="1"/>
        <v>0</v>
      </c>
    </row>
    <row r="15" spans="1:11">
      <c r="E15" s="28">
        <f t="shared" si="0"/>
        <v>0</v>
      </c>
      <c r="K15" s="28">
        <f t="shared" si="1"/>
        <v>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1</v>
      </c>
      <c r="D1" s="31"/>
      <c r="E1" s="31"/>
      <c r="J1" s="31"/>
      <c r="K1" s="31"/>
    </row>
    <row r="2" spans="1:11" ht="30">
      <c r="A2" s="10" t="s">
        <v>99</v>
      </c>
    </row>
    <row r="4" spans="1:11">
      <c r="A4" s="9" t="s">
        <v>96</v>
      </c>
    </row>
    <row r="5" spans="1:11" s="9" customFormat="1">
      <c r="A5" s="15" t="s">
        <v>115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19</v>
      </c>
      <c r="B8" s="14"/>
      <c r="C8" s="14"/>
      <c r="D8" s="14"/>
      <c r="E8" s="14"/>
      <c r="G8" s="14" t="s">
        <v>20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 ht="30">
      <c r="A11" s="11" t="s">
        <v>21</v>
      </c>
      <c r="B11" s="11">
        <v>0</v>
      </c>
      <c r="C11" s="11" t="s">
        <v>13</v>
      </c>
      <c r="D11" s="32">
        <v>0</v>
      </c>
      <c r="E11" s="28">
        <f>B11*D11</f>
        <v>0</v>
      </c>
      <c r="G11" s="11" t="s">
        <v>22</v>
      </c>
      <c r="H11" s="11">
        <f>200</f>
        <v>200</v>
      </c>
      <c r="I11" s="11" t="s">
        <v>13</v>
      </c>
      <c r="J11" s="28">
        <v>100</v>
      </c>
      <c r="K11" s="28">
        <f>H11*J11</f>
        <v>20000</v>
      </c>
    </row>
    <row r="12" spans="1:11">
      <c r="E12" s="28">
        <f t="shared" ref="E12:E17" si="0">B12*D12</f>
        <v>0</v>
      </c>
      <c r="K12" s="28">
        <f t="shared" ref="K12:K17" si="1">H12*J12</f>
        <v>0</v>
      </c>
    </row>
    <row r="13" spans="1:11">
      <c r="E13" s="28">
        <f t="shared" si="0"/>
        <v>0</v>
      </c>
      <c r="K13" s="28">
        <f t="shared" si="1"/>
        <v>0</v>
      </c>
    </row>
    <row r="14" spans="1:11">
      <c r="E14" s="28">
        <f t="shared" si="0"/>
        <v>0</v>
      </c>
      <c r="K14" s="28">
        <f t="shared" si="1"/>
        <v>0</v>
      </c>
    </row>
    <row r="15" spans="1:11">
      <c r="E15" s="28">
        <f t="shared" si="0"/>
        <v>0</v>
      </c>
      <c r="K15" s="28">
        <f t="shared" si="1"/>
        <v>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2</v>
      </c>
      <c r="D1" s="31"/>
      <c r="E1" s="31"/>
      <c r="J1" s="31"/>
      <c r="K1" s="31"/>
    </row>
    <row r="2" spans="1:11">
      <c r="A2" s="10" t="s">
        <v>23</v>
      </c>
    </row>
    <row r="4" spans="1:11">
      <c r="A4" s="9" t="s">
        <v>96</v>
      </c>
    </row>
    <row r="5" spans="1:11" s="9" customFormat="1">
      <c r="A5" s="15" t="s">
        <v>112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113</v>
      </c>
      <c r="B8" s="14"/>
      <c r="C8" s="14"/>
      <c r="D8" s="14"/>
      <c r="E8" s="14"/>
      <c r="G8" s="14" t="s">
        <v>114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>
      <c r="E11" s="28">
        <f>B11*D11</f>
        <v>0</v>
      </c>
      <c r="K11" s="28">
        <f>H11*J11</f>
        <v>0</v>
      </c>
    </row>
    <row r="12" spans="1:11">
      <c r="E12" s="28">
        <f t="shared" ref="E12:E17" si="0">B12*D12</f>
        <v>0</v>
      </c>
      <c r="K12" s="28">
        <f t="shared" ref="K12:K17" si="1">H12*J12</f>
        <v>0</v>
      </c>
    </row>
    <row r="13" spans="1:11">
      <c r="E13" s="28">
        <f t="shared" si="0"/>
        <v>0</v>
      </c>
      <c r="K13" s="28">
        <f t="shared" si="1"/>
        <v>0</v>
      </c>
    </row>
    <row r="14" spans="1:11">
      <c r="E14" s="28">
        <f t="shared" si="0"/>
        <v>0</v>
      </c>
      <c r="K14" s="28">
        <f t="shared" si="1"/>
        <v>0</v>
      </c>
    </row>
    <row r="15" spans="1:11">
      <c r="E15" s="28">
        <f t="shared" si="0"/>
        <v>0</v>
      </c>
      <c r="K15" s="28">
        <f t="shared" si="1"/>
        <v>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2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3</v>
      </c>
      <c r="D1" s="31"/>
      <c r="E1" s="31"/>
      <c r="J1" s="31"/>
      <c r="K1" s="31"/>
    </row>
    <row r="2" spans="1:11">
      <c r="A2" s="10" t="s">
        <v>101</v>
      </c>
    </row>
    <row r="4" spans="1:11">
      <c r="A4" s="9" t="s">
        <v>96</v>
      </c>
    </row>
    <row r="5" spans="1:11" s="9" customFormat="1">
      <c r="A5" s="15" t="s">
        <v>110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111</v>
      </c>
      <c r="B8" s="14"/>
      <c r="C8" s="14"/>
      <c r="D8" s="14"/>
      <c r="E8" s="14"/>
      <c r="G8" s="14" t="s">
        <v>42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>
      <c r="A11" s="11" t="s">
        <v>26</v>
      </c>
      <c r="B11" s="11">
        <f>4220</f>
        <v>4220</v>
      </c>
      <c r="C11" s="11" t="s">
        <v>24</v>
      </c>
      <c r="D11" s="28">
        <v>2</v>
      </c>
      <c r="E11" s="28">
        <f>B11*D11</f>
        <v>8440</v>
      </c>
      <c r="G11" s="11" t="s">
        <v>26</v>
      </c>
      <c r="H11" s="11">
        <f>6720-2500</f>
        <v>4220</v>
      </c>
      <c r="I11" s="11" t="s">
        <v>24</v>
      </c>
      <c r="J11" s="28">
        <v>2</v>
      </c>
      <c r="K11" s="28">
        <f>H11*J11</f>
        <v>8440</v>
      </c>
    </row>
    <row r="12" spans="1:11" ht="30">
      <c r="A12" s="11" t="s">
        <v>35</v>
      </c>
      <c r="B12" s="11">
        <f>B11</f>
        <v>4220</v>
      </c>
      <c r="C12" s="11" t="s">
        <v>24</v>
      </c>
      <c r="D12" s="28">
        <v>10</v>
      </c>
      <c r="E12" s="28">
        <f t="shared" ref="E12:E14" si="0">B12*D12</f>
        <v>42200</v>
      </c>
      <c r="G12" s="11" t="s">
        <v>38</v>
      </c>
      <c r="H12" s="11">
        <f>H11</f>
        <v>4220</v>
      </c>
      <c r="I12" s="11" t="s">
        <v>24</v>
      </c>
      <c r="J12" s="28">
        <v>14</v>
      </c>
      <c r="K12" s="28">
        <f t="shared" ref="K12:K14" si="1">H12*J12</f>
        <v>59080</v>
      </c>
    </row>
    <row r="13" spans="1:11">
      <c r="A13" s="11" t="s">
        <v>27</v>
      </c>
      <c r="B13" s="11">
        <f>B11</f>
        <v>4220</v>
      </c>
      <c r="C13" s="11" t="s">
        <v>24</v>
      </c>
      <c r="D13" s="28">
        <v>1</v>
      </c>
      <c r="E13" s="28">
        <f t="shared" si="0"/>
        <v>4220</v>
      </c>
      <c r="G13" s="11" t="s">
        <v>27</v>
      </c>
      <c r="H13" s="11">
        <f>H11</f>
        <v>4220</v>
      </c>
      <c r="I13" s="11" t="s">
        <v>24</v>
      </c>
      <c r="J13" s="28">
        <v>1</v>
      </c>
      <c r="K13" s="28">
        <f t="shared" si="1"/>
        <v>4220</v>
      </c>
    </row>
    <row r="14" spans="1:11">
      <c r="A14" s="11" t="s">
        <v>33</v>
      </c>
      <c r="B14" s="12">
        <v>433</v>
      </c>
      <c r="C14" s="11" t="s">
        <v>34</v>
      </c>
      <c r="D14" s="28">
        <v>3</v>
      </c>
      <c r="E14" s="28">
        <f t="shared" si="0"/>
        <v>1299</v>
      </c>
      <c r="G14" s="11" t="s">
        <v>33</v>
      </c>
      <c r="H14" s="34">
        <v>433</v>
      </c>
      <c r="I14" s="11" t="s">
        <v>34</v>
      </c>
      <c r="J14" s="28">
        <v>3</v>
      </c>
      <c r="K14" s="28">
        <f t="shared" si="1"/>
        <v>1299</v>
      </c>
    </row>
    <row r="15" spans="1:11">
      <c r="E15" s="28"/>
      <c r="K15" s="28"/>
    </row>
    <row r="20" spans="8:10">
      <c r="J20" s="28"/>
    </row>
    <row r="21" spans="8:10">
      <c r="J21" s="28"/>
    </row>
    <row r="22" spans="8:10">
      <c r="H22" s="12"/>
      <c r="J22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5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53</v>
      </c>
      <c r="D1" s="31"/>
      <c r="E1" s="31"/>
      <c r="J1" s="31"/>
      <c r="K1" s="31"/>
    </row>
    <row r="2" spans="1:11" ht="30">
      <c r="A2" s="10" t="s">
        <v>102</v>
      </c>
    </row>
    <row r="4" spans="1:11">
      <c r="A4" s="9" t="s">
        <v>96</v>
      </c>
    </row>
    <row r="5" spans="1:11" s="9" customFormat="1">
      <c r="A5" s="15" t="s">
        <v>108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109</v>
      </c>
      <c r="B8" s="14"/>
      <c r="C8" s="14"/>
      <c r="D8" s="14"/>
      <c r="E8" s="14"/>
      <c r="G8" s="14" t="s">
        <v>25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 ht="30">
      <c r="A11" s="11" t="s">
        <v>43</v>
      </c>
      <c r="D11" s="28"/>
      <c r="E11" s="28"/>
      <c r="G11" s="11" t="s">
        <v>26</v>
      </c>
      <c r="H11" s="11">
        <v>605</v>
      </c>
      <c r="I11" s="11" t="s">
        <v>24</v>
      </c>
      <c r="J11" s="28">
        <v>2</v>
      </c>
      <c r="K11" s="28">
        <f>H11*J11</f>
        <v>1210</v>
      </c>
    </row>
    <row r="12" spans="1:11" ht="30">
      <c r="D12" s="28"/>
      <c r="E12" s="28"/>
      <c r="G12" s="11" t="s">
        <v>36</v>
      </c>
      <c r="H12" s="11">
        <v>605</v>
      </c>
      <c r="I12" s="11" t="s">
        <v>24</v>
      </c>
      <c r="J12" s="28">
        <v>12</v>
      </c>
      <c r="K12" s="28">
        <f>H11*J12</f>
        <v>7260</v>
      </c>
    </row>
    <row r="13" spans="1:11">
      <c r="D13" s="28"/>
      <c r="E13" s="28"/>
      <c r="G13" s="11" t="s">
        <v>27</v>
      </c>
      <c r="H13" s="11">
        <v>605</v>
      </c>
      <c r="I13" s="11" t="s">
        <v>24</v>
      </c>
      <c r="J13" s="28">
        <v>1</v>
      </c>
      <c r="K13" s="28">
        <f>H12*J13</f>
        <v>605</v>
      </c>
    </row>
    <row r="14" spans="1:11">
      <c r="D14" s="28"/>
      <c r="E14" s="28"/>
      <c r="G14" s="11" t="s">
        <v>33</v>
      </c>
      <c r="H14" s="11">
        <v>39</v>
      </c>
      <c r="I14" s="11" t="s">
        <v>34</v>
      </c>
      <c r="J14" s="28">
        <v>3</v>
      </c>
      <c r="K14" s="28">
        <f t="shared" ref="K14" si="0">H14*J14</f>
        <v>117</v>
      </c>
    </row>
    <row r="15" spans="1:11" ht="30">
      <c r="D15" s="28"/>
      <c r="E15" s="28"/>
      <c r="G15" s="11" t="s">
        <v>37</v>
      </c>
      <c r="H15" s="11">
        <v>1</v>
      </c>
      <c r="I15" s="11" t="s">
        <v>13</v>
      </c>
      <c r="J15" s="28">
        <v>350</v>
      </c>
      <c r="K15" s="28">
        <f t="shared" ref="K15" si="1">H15*J15</f>
        <v>350</v>
      </c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8"/>
  <sheetViews>
    <sheetView workbookViewId="0"/>
  </sheetViews>
  <sheetFormatPr baseColWidth="10" defaultColWidth="9.1640625" defaultRowHeight="15" x14ac:dyDescent="0"/>
  <cols>
    <col min="1" max="1" width="25.33203125" style="11" customWidth="1"/>
    <col min="2" max="3" width="10" style="11" customWidth="1"/>
    <col min="4" max="5" width="10" style="32" customWidth="1"/>
    <col min="6" max="6" width="7" style="11" customWidth="1"/>
    <col min="7" max="7" width="25.83203125" style="11" customWidth="1"/>
    <col min="8" max="9" width="10.1640625" style="11" customWidth="1"/>
    <col min="10" max="11" width="10.1640625" style="32" customWidth="1"/>
    <col min="12" max="16384" width="9.1640625" style="11"/>
  </cols>
  <sheetData>
    <row r="1" spans="1:11" s="30" customFormat="1">
      <c r="A1" s="30" t="s">
        <v>54</v>
      </c>
      <c r="D1" s="31"/>
      <c r="E1" s="31"/>
      <c r="J1" s="31"/>
      <c r="K1" s="31"/>
    </row>
    <row r="2" spans="1:11">
      <c r="A2" s="10" t="s">
        <v>103</v>
      </c>
    </row>
    <row r="4" spans="1:11">
      <c r="A4" s="9" t="s">
        <v>96</v>
      </c>
    </row>
    <row r="5" spans="1:11" s="9" customFormat="1">
      <c r="A5" s="15" t="s">
        <v>106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>
      <c r="A7" s="30" t="s">
        <v>120</v>
      </c>
      <c r="G7" s="30" t="s">
        <v>121</v>
      </c>
    </row>
    <row r="8" spans="1:11" s="10" customFormat="1">
      <c r="A8" s="14" t="s">
        <v>107</v>
      </c>
      <c r="B8" s="14"/>
      <c r="C8" s="14"/>
      <c r="D8" s="14"/>
      <c r="E8" s="14"/>
      <c r="G8" s="14" t="s">
        <v>28</v>
      </c>
      <c r="H8" s="14"/>
      <c r="I8" s="14"/>
      <c r="J8" s="14"/>
      <c r="K8" s="14"/>
    </row>
    <row r="9" spans="1:11" s="10" customFormat="1">
      <c r="D9" s="33"/>
      <c r="E9" s="33"/>
      <c r="J9" s="33"/>
      <c r="K9" s="33"/>
    </row>
    <row r="10" spans="1:11" s="30" customFormat="1">
      <c r="A10" s="30" t="s">
        <v>6</v>
      </c>
      <c r="B10" s="30" t="s">
        <v>7</v>
      </c>
      <c r="C10" s="30" t="s">
        <v>8</v>
      </c>
      <c r="D10" s="31" t="s">
        <v>9</v>
      </c>
      <c r="E10" s="31" t="s">
        <v>10</v>
      </c>
      <c r="G10" s="30" t="s">
        <v>6</v>
      </c>
      <c r="H10" s="30" t="s">
        <v>7</v>
      </c>
      <c r="I10" s="30" t="s">
        <v>8</v>
      </c>
      <c r="J10" s="31" t="s">
        <v>9</v>
      </c>
      <c r="K10" s="31" t="s">
        <v>10</v>
      </c>
    </row>
    <row r="11" spans="1:11">
      <c r="A11" s="11" t="s">
        <v>29</v>
      </c>
      <c r="B11" s="11">
        <v>0</v>
      </c>
      <c r="C11" s="11" t="s">
        <v>13</v>
      </c>
      <c r="D11" s="32">
        <v>0</v>
      </c>
      <c r="E11" s="28">
        <f>B11*D11</f>
        <v>0</v>
      </c>
      <c r="G11" s="11" t="s">
        <v>30</v>
      </c>
      <c r="H11" s="11">
        <v>2500</v>
      </c>
      <c r="I11" s="11" t="s">
        <v>31</v>
      </c>
      <c r="J11" s="28">
        <v>3</v>
      </c>
      <c r="K11" s="28">
        <f>H11*J11</f>
        <v>7500</v>
      </c>
    </row>
    <row r="12" spans="1:11">
      <c r="E12" s="28">
        <f t="shared" ref="E12:E17" si="0">B12*D12</f>
        <v>0</v>
      </c>
      <c r="K12" s="28">
        <f t="shared" ref="K12:K17" si="1">H12*J12</f>
        <v>0</v>
      </c>
    </row>
    <row r="13" spans="1:11">
      <c r="E13" s="28">
        <f t="shared" si="0"/>
        <v>0</v>
      </c>
      <c r="K13" s="28">
        <f t="shared" si="1"/>
        <v>0</v>
      </c>
    </row>
    <row r="14" spans="1:11">
      <c r="E14" s="28">
        <f t="shared" si="0"/>
        <v>0</v>
      </c>
      <c r="K14" s="28">
        <f t="shared" si="1"/>
        <v>0</v>
      </c>
    </row>
    <row r="15" spans="1:11">
      <c r="E15" s="28">
        <f t="shared" si="0"/>
        <v>0</v>
      </c>
      <c r="K15" s="28">
        <f t="shared" si="1"/>
        <v>0</v>
      </c>
    </row>
    <row r="16" spans="1:11">
      <c r="E16" s="28">
        <f t="shared" si="0"/>
        <v>0</v>
      </c>
      <c r="K16" s="28">
        <f t="shared" si="1"/>
        <v>0</v>
      </c>
    </row>
    <row r="17" spans="5:11">
      <c r="E17" s="28">
        <f t="shared" si="0"/>
        <v>0</v>
      </c>
      <c r="K17" s="28">
        <f t="shared" si="1"/>
        <v>0</v>
      </c>
    </row>
    <row r="18" spans="5:11">
      <c r="E18" s="28"/>
      <c r="K18" s="28"/>
    </row>
  </sheetData>
  <mergeCells count="3">
    <mergeCell ref="A8:E8"/>
    <mergeCell ref="G8:K8"/>
    <mergeCell ref="A5:K5"/>
  </mergeCells>
  <phoneticPr fontId="5" type="noConversion"/>
  <pageMargins left="0.7" right="0.7" top="0.75" bottom="0.75" header="0.3" footer="0.3"/>
  <pageSetup scale="82" orientation="landscape"/>
  <headerFooter>
    <oddFooter>&amp;L&amp;"Calibri,Regular"&amp;K000000&amp;A&amp;R&amp;"Calibri,Regular"&amp;K000000&amp;D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EPM 1</vt:lpstr>
      <vt:lpstr>EPM 2</vt:lpstr>
      <vt:lpstr>EPM 3</vt:lpstr>
      <vt:lpstr>EPM 4</vt:lpstr>
      <vt:lpstr>EPM 5</vt:lpstr>
      <vt:lpstr>EPM 6</vt:lpstr>
      <vt:lpstr>EPM 7</vt:lpstr>
      <vt:lpstr>EPM 8</vt:lpstr>
      <vt:lpstr>EPM 9</vt:lpstr>
    </vt:vector>
  </TitlesOfParts>
  <Company>Skanska USA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local-admin</dc:creator>
  <cp:lastModifiedBy>Jay Orfield</cp:lastModifiedBy>
  <dcterms:created xsi:type="dcterms:W3CDTF">2012-09-20T12:39:24Z</dcterms:created>
  <dcterms:modified xsi:type="dcterms:W3CDTF">2012-11-09T01:56:17Z</dcterms:modified>
</cp:coreProperties>
</file>