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mc:AlternateContent xmlns:mc="http://schemas.openxmlformats.org/markup-compatibility/2006">
    <mc:Choice Requires="x15">
      <x15ac:absPath xmlns:x15ac="http://schemas.microsoft.com/office/spreadsheetml/2010/11/ac" url="C:\Users\HLLC\Dropbox\subjects\NR NRDC (231)\NR-030 BECCS GHG calculator\"/>
    </mc:Choice>
  </mc:AlternateContent>
  <xr:revisionPtr revIDLastSave="0" documentId="13_ncr:1_{20A470E7-78B2-4491-9C06-6CF5E32B3212}" xr6:coauthVersionLast="45" xr6:coauthVersionMax="45" xr10:uidLastSave="{00000000-0000-0000-0000-000000000000}"/>
  <bookViews>
    <workbookView xWindow="14400" yWindow="450" windowWidth="14400" windowHeight="31950" xr2:uid="{99A0C40B-5BB0-45ED-972E-635D3D95F3C6}"/>
  </bookViews>
  <sheets>
    <sheet name="cover" sheetId="6" r:id="rId1"/>
    <sheet name="dashboard" sheetId="23" r:id="rId2"/>
    <sheet name="HERB" sheetId="33" r:id="rId3"/>
    <sheet name="SRWC" sheetId="22" r:id="rId4"/>
    <sheet name="LOG" sheetId="29" r:id="rId5"/>
    <sheet name="THIN" sheetId="46" r:id="rId6"/>
    <sheet name="SLASH" sheetId="34" r:id="rId7"/>
    <sheet name="AG" sheetId="30" r:id="rId8"/>
    <sheet name="MILL" sheetId="35" r:id="rId9"/>
    <sheet name="tsHERB" sheetId="21" r:id="rId10"/>
    <sheet name="tsSRWC" sheetId="51" r:id="rId11"/>
    <sheet name="tsLOG" sheetId="52" r:id="rId12"/>
    <sheet name="tsTHIN" sheetId="53" r:id="rId13"/>
    <sheet name="tsSLASH" sheetId="54" r:id="rId14"/>
    <sheet name="BECCS rollup" sheetId="32" r:id="rId15"/>
    <sheet name="REF rollup" sheetId="50" r:id="rId16"/>
    <sheet name="params" sheetId="20" r:id="rId17"/>
    <sheet name="growth" sheetId="25" r:id="rId18"/>
    <sheet name="decay" sheetId="49" r:id="rId19"/>
    <sheet name="Table 1" sheetId="41" r:id="rId20"/>
    <sheet name="Table 2" sheetId="40" r:id="rId21"/>
    <sheet name="Tables 3-4" sheetId="43" r:id="rId22"/>
    <sheet name="Table 5" sheetId="57" r:id="rId23"/>
    <sheet name="Table 6" sheetId="44" r:id="rId24"/>
    <sheet name="Tables C1-C4" sheetId="48" r:id="rId25"/>
    <sheet name="Figures 3-6" sheetId="37" r:id="rId26"/>
    <sheet name="Figure 7" sheetId="56" r:id="rId27"/>
    <sheet name="Figures B1-B3" sheetId="47" r:id="rId28"/>
    <sheet name="Appendix D" sheetId="26" r:id="rId29"/>
    <sheet name="lookup" sheetId="24" r:id="rId30"/>
    <sheet name="units" sheetId="3" r:id="rId31"/>
    <sheet name="cites" sheetId="4" r:id="rId32"/>
    <sheet name="releases" sheetId="55" r:id="rId33"/>
  </sheets>
  <definedNames>
    <definedName name="_xlnm._FilterDatabase" localSheetId="16" hidden="1">params!$F$188:$I$196</definedName>
    <definedName name="acreftTOgal">units!$E$72</definedName>
    <definedName name="acreftTOm3">units!$E$73</definedName>
    <definedName name="acreinTOgal">units!$E$74</definedName>
    <definedName name="acreTOft2">units!$E$50</definedName>
    <definedName name="acreTOha">units!$E$51</definedName>
    <definedName name="acreTOkm2">units!$E$52</definedName>
    <definedName name="acreTOm2">units!$E$53</definedName>
    <definedName name="acreTOmi2">units!$E$54</definedName>
    <definedName name="atmTObar">units!$E$103</definedName>
    <definedName name="atmTOpsi">units!$E$104</definedName>
    <definedName name="barTOPa">units!$E$105</definedName>
    <definedName name="barTOpsi">units!$E$106</definedName>
    <definedName name="bblTOgal">units!$E$75</definedName>
    <definedName name="bblTOL">units!$E$76</definedName>
    <definedName name="bfTOcm3">units!$E$78</definedName>
    <definedName name="bfTOin3">units!$E$77</definedName>
    <definedName name="bfTOm3">units!$E$79</definedName>
    <definedName name="Btu.ft3TOMJ.m3">units!$E$216</definedName>
    <definedName name="Btu.hphTOmmBtu.MWh">units!$E$184</definedName>
    <definedName name="Btu.lbTOMJ.kg">units!$E$207</definedName>
    <definedName name="Btu.lbTOmmBtu.ton">units!$E$208</definedName>
    <definedName name="BtuTOcal">units!$E$110</definedName>
    <definedName name="BtuTOJ">units!$E$111</definedName>
    <definedName name="BtuTOkJ">units!$E$112</definedName>
    <definedName name="BtuTOkWh">units!$E$113</definedName>
    <definedName name="BtuTOMJ">units!$E$114</definedName>
    <definedName name="BtuTOtherm">units!$E$115</definedName>
    <definedName name="BtuTOWh">units!$E$116</definedName>
    <definedName name="c_CO2.C">params!$F$13</definedName>
    <definedName name="c_efCoal" localSheetId="28">'Appendix D'!#REF!</definedName>
    <definedName name="c_efCoal">params!#REF!</definedName>
    <definedName name="c_efNG" localSheetId="28">'Appendix D'!#REF!</definedName>
    <definedName name="c_efNG" localSheetId="26">'Figure 7'!#REF!</definedName>
    <definedName name="c_efNG" localSheetId="25">'Figures 3-6'!$F$42</definedName>
    <definedName name="c_efNG">params!$F$27</definedName>
    <definedName name="c_GWPCH4">params!$F$15</definedName>
    <definedName name="c_GWPN2O" localSheetId="28">'Appendix D'!#REF!</definedName>
    <definedName name="c_GWPN2O" localSheetId="26">'Figure 7'!#REF!</definedName>
    <definedName name="c_GWPN2O" localSheetId="25">'Figures 3-6'!$F$38</definedName>
    <definedName name="c_GWPN2O">params!$F$16</definedName>
    <definedName name="c_horizon" localSheetId="28">'Appendix D'!#REF!</definedName>
    <definedName name="c_horizon">params!$F$7</definedName>
    <definedName name="calTOBtu">units!$E$117</definedName>
    <definedName name="calTOJ">units!$E$118</definedName>
    <definedName name="cmTOin">units!$E$7</definedName>
    <definedName name="cordTOft3">units!$E$80</definedName>
    <definedName name="cordTOm3">units!$E$81</definedName>
    <definedName name="dayTOmin">units!$E$32</definedName>
    <definedName name="dayTOyr">units!$E$33</definedName>
    <definedName name="EJTOTWh">units!$E$119</definedName>
    <definedName name="ft2TOm2">units!$E$55</definedName>
    <definedName name="ft2TOyd2">units!$E$56</definedName>
    <definedName name="ft3TOgal">units!$E$82</definedName>
    <definedName name="ft3TOL">units!$E$83</definedName>
    <definedName name="ft3TOm3">units!$E$84</definedName>
    <definedName name="ftTOm">units!$E$8</definedName>
    <definedName name="g.hphTOlb.MWh">units!$E$192</definedName>
    <definedName name="g.kWhTOlb.MWh">units!$E$193</definedName>
    <definedName name="galTOacreft">units!$E$85</definedName>
    <definedName name="galTOacrein">units!$E$86</definedName>
    <definedName name="galTObbl">units!$E$87</definedName>
    <definedName name="galTOL">units!$E$88</definedName>
    <definedName name="galTOliter">units!$E$88</definedName>
    <definedName name="galTOm3">units!$E$89</definedName>
    <definedName name="gasolineHHV" localSheetId="7" hidden="1">#REF!</definedName>
    <definedName name="gasolineHHV" localSheetId="28" hidden="1">#REF!</definedName>
    <definedName name="gasolineHHV" localSheetId="14" hidden="1">#REF!</definedName>
    <definedName name="gasolineHHV" localSheetId="1" hidden="1">#REF!</definedName>
    <definedName name="gasolineHHV" localSheetId="18" hidden="1">#REF!</definedName>
    <definedName name="gasolineHHV" localSheetId="26" hidden="1">#REF!</definedName>
    <definedName name="gasolineHHV" localSheetId="25" hidden="1">#REF!</definedName>
    <definedName name="gasolineHHV" localSheetId="27" hidden="1">#REF!</definedName>
    <definedName name="gasolineHHV" localSheetId="17" hidden="1">#REF!</definedName>
    <definedName name="gasolineHHV" localSheetId="2" hidden="1">#REF!</definedName>
    <definedName name="gasolineHHV" localSheetId="4" hidden="1">#REF!</definedName>
    <definedName name="gasolineHHV" localSheetId="8" hidden="1">#REF!</definedName>
    <definedName name="gasolineHHV" localSheetId="16" hidden="1">#REF!</definedName>
    <definedName name="gasolineHHV" localSheetId="15" hidden="1">#REF!</definedName>
    <definedName name="gasolineHHV" localSheetId="6" hidden="1">#REF!</definedName>
    <definedName name="gasolineHHV" localSheetId="3" hidden="1">#REF!</definedName>
    <definedName name="gasolineHHV" localSheetId="19" hidden="1">#REF!</definedName>
    <definedName name="gasolineHHV" localSheetId="20" hidden="1">#REF!</definedName>
    <definedName name="gasolineHHV" localSheetId="22" hidden="1">#REF!</definedName>
    <definedName name="gasolineHHV" localSheetId="23" hidden="1">#REF!</definedName>
    <definedName name="gasolineHHV" localSheetId="21" hidden="1">#REF!</definedName>
    <definedName name="gasolineHHV" localSheetId="24" hidden="1">#REF!</definedName>
    <definedName name="gasolineHHV" localSheetId="5" hidden="1">#REF!</definedName>
    <definedName name="gasolineHHV" localSheetId="9" hidden="1">#REF!</definedName>
    <definedName name="gasolineHHV" localSheetId="11" hidden="1">#REF!</definedName>
    <definedName name="gasolineHHV" localSheetId="13" hidden="1">#REF!</definedName>
    <definedName name="gasolineHHV" localSheetId="10" hidden="1">#REF!</definedName>
    <definedName name="gasolineHHV" localSheetId="12" hidden="1">#REF!</definedName>
    <definedName name="ggeTOkWh">units!$E$120</definedName>
    <definedName name="GJ.hrTOMW">units!$E$166</definedName>
    <definedName name="GJTOmmBtu">units!$E$123</definedName>
    <definedName name="GJTOMWh">units!$E$122</definedName>
    <definedName name="GJTOtherm">units!$E$124</definedName>
    <definedName name="gpmTOliter.s">units!$E$179</definedName>
    <definedName name="gTOlb">units!$E$16</definedName>
    <definedName name="GWTOkW">units!$E$167</definedName>
    <definedName name="GWTOquad.yr">units!$E$168</definedName>
    <definedName name="GWTOTWh.yr">units!$E$169</definedName>
    <definedName name="haTOacre">units!$E$57</definedName>
    <definedName name="haTOkm2">units!$E$58</definedName>
    <definedName name="hpTOkW">units!$E$170</definedName>
    <definedName name="hrTOday">units!$E$34</definedName>
    <definedName name="hrTOmin">units!$E$35</definedName>
    <definedName name="hrTOs">units!$E$36</definedName>
    <definedName name="hrTOyr">units!$E$37</definedName>
    <definedName name="inTOcm">units!$E$9</definedName>
    <definedName name="inTOmm">units!$E$10</definedName>
    <definedName name="JTOBtu">units!$E$125</definedName>
    <definedName name="JTOcal">units!$E$126</definedName>
    <definedName name="JTOWh">units!$E$127</definedName>
    <definedName name="kcalTOMJ">units!$E$128</definedName>
    <definedName name="kg.GJTOlb.MWh">units!$E$194</definedName>
    <definedName name="kgTOg">units!$E$17</definedName>
    <definedName name="kgTOlb">units!$E$18</definedName>
    <definedName name="kJ.kWhTOmmBtu.MWh">units!$E$185</definedName>
    <definedName name="kJTOBtu">units!$E$129</definedName>
    <definedName name="km.lTOmi.gal">units!$E$220</definedName>
    <definedName name="km2TOacre">units!$E$59</definedName>
    <definedName name="km2TOha">units!$E$60</definedName>
    <definedName name="km2TOm2">units!$E$61</definedName>
    <definedName name="km2TOmi2">units!$E$62</definedName>
    <definedName name="kmTOmi">units!$E$11</definedName>
    <definedName name="kWh.tonTOMJ.kg">units!$E$209</definedName>
    <definedName name="kWhTOBtu">units!$E$130</definedName>
    <definedName name="kWhTOgge">units!$E$131</definedName>
    <definedName name="kWhTOMJ">units!$E$132</definedName>
    <definedName name="kWTOhp">units!$E$171</definedName>
    <definedName name="L.sTOgpm">units!$E$180</definedName>
    <definedName name="lb.mmBtuTOMg.mmBtu">units!$E$195</definedName>
    <definedName name="lb.mmBtuTOng.J">units!$E$196</definedName>
    <definedName name="lb.mmBtuTOTg.quad">units!$E$197</definedName>
    <definedName name="lb.MWhTOg.hph">units!$E$198</definedName>
    <definedName name="lb.MWhTOg.kWh">units!$E$199</definedName>
    <definedName name="lb.MWhTOkg.GJ">units!$E$200</definedName>
    <definedName name="lb.MWhTOton.GWh">units!$E$201</definedName>
    <definedName name="lbTOg">units!$E$19</definedName>
    <definedName name="lbTOkg">units!$E$20</definedName>
    <definedName name="lbTOMg">units!$E$21</definedName>
    <definedName name="lbTON">units!$E$100</definedName>
    <definedName name="lbTOoz">units!$E$25</definedName>
    <definedName name="lbTOton">units!$E$22</definedName>
    <definedName name="LTOft3">units!$E$90</definedName>
    <definedName name="LTOgal">units!$E$91</definedName>
    <definedName name="LTOm3">units!$E$92</definedName>
    <definedName name="m2TOacre">units!$E$63</definedName>
    <definedName name="m2TOft2">units!$E$64</definedName>
    <definedName name="m2TOha">units!$E$65</definedName>
    <definedName name="m2TOkm2">units!$E$66</definedName>
    <definedName name="m3.dayTOgpm">units!$E$181</definedName>
    <definedName name="m3TOacreft">units!$E$93</definedName>
    <definedName name="m3TOft3">units!$E$94</definedName>
    <definedName name="m3TOgal">units!$E$95</definedName>
    <definedName name="m3TOliter">units!$E$96</definedName>
    <definedName name="Mg.hayrTOton.acreyr">units!$E$223</definedName>
    <definedName name="MgTOkg">units!$E$23</definedName>
    <definedName name="MgTOton">units!$E$24</definedName>
    <definedName name="mi2TOacre">units!$E$67</definedName>
    <definedName name="mi2TOkm2">units!$E$69</definedName>
    <definedName name="minTOday">units!$E$38</definedName>
    <definedName name="miTOkm">units!$E$12</definedName>
    <definedName name="MJ.hrTOkW">units!$E$172</definedName>
    <definedName name="MJ.kgTOBtu.lb">units!$E$210</definedName>
    <definedName name="MJ.kgTOkWh.ton">units!$E$211</definedName>
    <definedName name="MJ.kgTOmmBtu.ton">units!$E$212</definedName>
    <definedName name="MJ.kWhTOmmBtu.MWh">units!$E$186</definedName>
    <definedName name="MJ.m3TOBtu.ft3">units!$E$217</definedName>
    <definedName name="MJTOBtu">units!$E$133</definedName>
    <definedName name="MJTOkcal">units!$E$135</definedName>
    <definedName name="MJTOkWh">units!$E$134</definedName>
    <definedName name="MJTOmmBtu">units!$E$136</definedName>
    <definedName name="MJTOMWh">units!$E$137</definedName>
    <definedName name="MJTOtherm">units!$E$138</definedName>
    <definedName name="mmBtu.MWhTOBtu.hph">units!$E$187</definedName>
    <definedName name="mmBtu.MWhTOkJ.kWh">units!$E$188</definedName>
    <definedName name="mmBtu.MWhTOMJ.kWh">units!$E$189</definedName>
    <definedName name="mmBtu.tonTOBtu.lb">units!$E$213</definedName>
    <definedName name="mmBtuTOMJ">units!$E$139</definedName>
    <definedName name="mmBtuTOMWh">units!$E$140</definedName>
    <definedName name="mmBtuTOtherm">units!$E$141</definedName>
    <definedName name="mmBtuTOTJ">units!$E$142</definedName>
    <definedName name="mmTOin">units!$E$13</definedName>
    <definedName name="moTOday">units!$E$39</definedName>
    <definedName name="moTOyr">units!$E$40</definedName>
    <definedName name="MtoeTOGWh">units!$E$143</definedName>
    <definedName name="MtoeTOmmBtu">units!$E$144</definedName>
    <definedName name="MtoeTOTJ">units!$E$145</definedName>
    <definedName name="MWaTOMWh">units!$E$146</definedName>
    <definedName name="MWhTOGJ">units!$E$147</definedName>
    <definedName name="MWhTOmmBtu">units!$E$148</definedName>
    <definedName name="MWhTOMWa">units!$E$149</definedName>
    <definedName name="MWhTOTJ">units!$E$150</definedName>
    <definedName name="MWTOGJ.hr">units!$E$173</definedName>
    <definedName name="MWTOkW">units!$E$174</definedName>
    <definedName name="ng.JTOlb.mmBtu">units!$E$202</definedName>
    <definedName name="ozTOkg">units!$E$26</definedName>
    <definedName name="psiTOPa">units!$E$107</definedName>
    <definedName name="quad.yrTOGW">units!$E$175</definedName>
    <definedName name="quadTOEJ">units!$E$151</definedName>
    <definedName name="quadTOTWh">units!$E$152</definedName>
    <definedName name="solver_adj" localSheetId="17" hidden="1">growth!$E$27:$E$29</definedName>
    <definedName name="solver_cvg" localSheetId="17" hidden="1">0.0001</definedName>
    <definedName name="solver_drv" localSheetId="17" hidden="1">1</definedName>
    <definedName name="solver_eng" localSheetId="17" hidden="1">1</definedName>
    <definedName name="solver_est" localSheetId="17" hidden="1">1</definedName>
    <definedName name="solver_itr" localSheetId="17" hidden="1">2147483647</definedName>
    <definedName name="solver_mip" localSheetId="17" hidden="1">2147483647</definedName>
    <definedName name="solver_mni" localSheetId="17" hidden="1">30</definedName>
    <definedName name="solver_mrt" localSheetId="17" hidden="1">0.075</definedName>
    <definedName name="solver_msl" localSheetId="17" hidden="1">2</definedName>
    <definedName name="solver_neg" localSheetId="17" hidden="1">1</definedName>
    <definedName name="solver_nod" localSheetId="17" hidden="1">2147483647</definedName>
    <definedName name="solver_num" localSheetId="17" hidden="1">0</definedName>
    <definedName name="solver_nwt" localSheetId="17" hidden="1">1</definedName>
    <definedName name="solver_opt" localSheetId="17" hidden="1">growth!$E$31</definedName>
    <definedName name="solver_pre" localSheetId="17" hidden="1">0.000001</definedName>
    <definedName name="solver_rbv" localSheetId="17" hidden="1">1</definedName>
    <definedName name="solver_rlx" localSheetId="17" hidden="1">2</definedName>
    <definedName name="solver_rsd" localSheetId="17" hidden="1">0</definedName>
    <definedName name="solver_scl" localSheetId="17" hidden="1">1</definedName>
    <definedName name="solver_sho" localSheetId="17" hidden="1">2</definedName>
    <definedName name="solver_ssz" localSheetId="17" hidden="1">100</definedName>
    <definedName name="solver_tim" localSheetId="17" hidden="1">2147483647</definedName>
    <definedName name="solver_tol" localSheetId="17" hidden="1">0.01</definedName>
    <definedName name="solver_typ" localSheetId="17" hidden="1">2</definedName>
    <definedName name="solver_val" localSheetId="17" hidden="1">0</definedName>
    <definedName name="solver_ver" localSheetId="17" hidden="1">3</definedName>
    <definedName name="sTOday">units!$E$41</definedName>
    <definedName name="sTOhr">units!$E$42</definedName>
    <definedName name="sTOyr">units!$E$43</definedName>
    <definedName name="t_growth">growth!$H$5:$GZ$10</definedName>
    <definedName name="Tg.quadTOlb.mmBtu">units!$E$203</definedName>
    <definedName name="thermTOBtu">units!$E$153</definedName>
    <definedName name="thermTOGJ">units!$E$154</definedName>
    <definedName name="thermTOkWh">units!$E$155</definedName>
    <definedName name="thermTOMJ">units!$E$156</definedName>
    <definedName name="thermTOmmBtu">units!$E$157</definedName>
    <definedName name="thermTOTJ">units!$E$158</definedName>
    <definedName name="TJTOmmBtu">units!$E$159</definedName>
    <definedName name="ton.GWhTOlb.MWh">units!$E$204</definedName>
    <definedName name="tonTOkg">units!$E$28</definedName>
    <definedName name="tonTOlb">units!$E$27</definedName>
    <definedName name="tonTOMg">units!$E$29</definedName>
    <definedName name="TWh.yrTOGW">units!$E$176</definedName>
    <definedName name="TWhTOEJ">units!$E$160</definedName>
    <definedName name="TWhTOquad">units!$E$161</definedName>
    <definedName name="WhTOBtu">units!$E$162</definedName>
    <definedName name="WhTOJ">units!$E$163</definedName>
    <definedName name="yd2TOft2">units!$E$68</definedName>
    <definedName name="yd3TOm3">units!$E$97</definedName>
    <definedName name="yrTOday">units!$E$44</definedName>
    <definedName name="yrTOhr">units!$E$45</definedName>
    <definedName name="yrTOmo">units!$E$46</definedName>
    <definedName name="yrTOs">units!$E$47</definedName>
  </definedNames>
  <calcPr calcId="191029" iterate="1" iterateDelta="1.0000000000000001E-5" calcOnSave="0" concurrentCalc="0"/>
</workbook>
</file>

<file path=xl/calcChain.xml><?xml version="1.0" encoding="utf-8"?>
<calcChain xmlns="http://schemas.openxmlformats.org/spreadsheetml/2006/main">
  <c r="F70" i="20" l="1"/>
  <c r="F72" i="20"/>
  <c r="F73" i="20"/>
  <c r="F74" i="20"/>
  <c r="F152" i="20"/>
  <c r="F157" i="20"/>
  <c r="E18" i="23"/>
  <c r="F24" i="46"/>
  <c r="F16" i="46"/>
  <c r="F44" i="46"/>
  <c r="E132" i="3"/>
  <c r="F318" i="20"/>
  <c r="F295" i="20"/>
  <c r="F320" i="20"/>
  <c r="F321" i="20"/>
  <c r="F322" i="20"/>
  <c r="F45" i="46"/>
  <c r="F46" i="46"/>
  <c r="F47" i="46"/>
  <c r="F25" i="46"/>
  <c r="F23" i="46"/>
  <c r="F26" i="46"/>
  <c r="F15" i="46"/>
  <c r="F27" i="46"/>
  <c r="W30" i="25"/>
  <c r="W8" i="25"/>
  <c r="F28" i="46"/>
  <c r="F29" i="46"/>
  <c r="I339" i="53"/>
  <c r="H7" i="53"/>
  <c r="I7" i="53"/>
  <c r="X30" i="25"/>
  <c r="X8" i="25"/>
  <c r="I48" i="53"/>
  <c r="H48" i="53"/>
  <c r="I89" i="53"/>
  <c r="I129" i="53"/>
  <c r="F13" i="20"/>
  <c r="D12" i="32"/>
  <c r="D29" i="32"/>
  <c r="F52" i="46"/>
  <c r="D85" i="32"/>
  <c r="D86" i="32"/>
  <c r="D87" i="32"/>
  <c r="J7" i="53"/>
  <c r="Y30" i="25"/>
  <c r="Y8" i="25"/>
  <c r="J48" i="53"/>
  <c r="J89" i="53"/>
  <c r="J8" i="53"/>
  <c r="J49" i="53"/>
  <c r="I8" i="53"/>
  <c r="I49" i="53"/>
  <c r="J90" i="53"/>
  <c r="J129" i="53"/>
  <c r="H134" i="53"/>
  <c r="AG30" i="25"/>
  <c r="AG8" i="25"/>
  <c r="F31" i="46"/>
  <c r="AQ30" i="25"/>
  <c r="AQ8" i="25"/>
  <c r="AB342" i="53"/>
  <c r="F36" i="46"/>
  <c r="AB343" i="53"/>
  <c r="AB344" i="53"/>
  <c r="R342" i="53"/>
  <c r="R343" i="53"/>
  <c r="R344" i="53"/>
  <c r="AL30" i="25"/>
  <c r="AL8" i="25"/>
  <c r="W342" i="53"/>
  <c r="W343" i="53"/>
  <c r="W344" i="53"/>
  <c r="I342" i="53"/>
  <c r="I343" i="53"/>
  <c r="I344" i="53"/>
  <c r="J342" i="53"/>
  <c r="J343" i="53"/>
  <c r="J344" i="53"/>
  <c r="Z30" i="25"/>
  <c r="Z8" i="25"/>
  <c r="K342" i="53"/>
  <c r="K343" i="53"/>
  <c r="K344" i="53"/>
  <c r="AA30" i="25"/>
  <c r="AA8" i="25"/>
  <c r="L342" i="53"/>
  <c r="L343" i="53"/>
  <c r="L344" i="53"/>
  <c r="AB30" i="25"/>
  <c r="AB8" i="25"/>
  <c r="M342" i="53"/>
  <c r="M343" i="53"/>
  <c r="M344" i="53"/>
  <c r="AC30" i="25"/>
  <c r="AC8" i="25"/>
  <c r="N342" i="53"/>
  <c r="N343" i="53"/>
  <c r="N344" i="53"/>
  <c r="AD30" i="25"/>
  <c r="AD8" i="25"/>
  <c r="O342" i="53"/>
  <c r="O343" i="53"/>
  <c r="O344" i="53"/>
  <c r="AE30" i="25"/>
  <c r="AE8" i="25"/>
  <c r="P342" i="53"/>
  <c r="P343" i="53"/>
  <c r="P344" i="53"/>
  <c r="AF30" i="25"/>
  <c r="AF8" i="25"/>
  <c r="Q342" i="53"/>
  <c r="Q343" i="53"/>
  <c r="Q344" i="53"/>
  <c r="AH30" i="25"/>
  <c r="AH8" i="25"/>
  <c r="S342" i="53"/>
  <c r="S343" i="53"/>
  <c r="S344" i="53"/>
  <c r="AI30" i="25"/>
  <c r="AI8" i="25"/>
  <c r="T342" i="53"/>
  <c r="T343" i="53"/>
  <c r="T344" i="53"/>
  <c r="AJ30" i="25"/>
  <c r="AJ8" i="25"/>
  <c r="U342" i="53"/>
  <c r="U343" i="53"/>
  <c r="U344" i="53"/>
  <c r="AK30" i="25"/>
  <c r="AK8" i="25"/>
  <c r="V342" i="53"/>
  <c r="V343" i="53"/>
  <c r="V344" i="53"/>
  <c r="AM30" i="25"/>
  <c r="AM8" i="25"/>
  <c r="X342" i="53"/>
  <c r="X343" i="53"/>
  <c r="X344" i="53"/>
  <c r="AN30" i="25"/>
  <c r="AN8" i="25"/>
  <c r="Y342" i="53"/>
  <c r="Y343" i="53"/>
  <c r="Y344" i="53"/>
  <c r="AO30" i="25"/>
  <c r="AO8" i="25"/>
  <c r="Z342" i="53"/>
  <c r="Z343" i="53"/>
  <c r="Z344" i="53"/>
  <c r="AP30" i="25"/>
  <c r="AP8" i="25"/>
  <c r="AA342" i="53"/>
  <c r="AA343" i="53"/>
  <c r="AA344" i="53"/>
  <c r="AR30" i="25"/>
  <c r="AR8" i="25"/>
  <c r="AC342" i="53"/>
  <c r="AC343" i="53"/>
  <c r="AC344" i="53"/>
  <c r="AS30" i="25"/>
  <c r="AS8" i="25"/>
  <c r="AD342" i="53"/>
  <c r="AD343" i="53"/>
  <c r="AD344" i="53"/>
  <c r="AT30" i="25"/>
  <c r="AT8" i="25"/>
  <c r="AE342" i="53"/>
  <c r="AE343" i="53"/>
  <c r="AE344" i="53"/>
  <c r="AU30" i="25"/>
  <c r="AU8" i="25"/>
  <c r="AF342" i="53"/>
  <c r="AF343" i="53"/>
  <c r="AF344" i="53"/>
  <c r="AV30" i="25"/>
  <c r="AV8" i="25"/>
  <c r="AG342" i="53"/>
  <c r="AG343" i="53"/>
  <c r="AG344" i="53"/>
  <c r="AW30" i="25"/>
  <c r="AW8" i="25"/>
  <c r="AH342" i="53"/>
  <c r="AH343" i="53"/>
  <c r="AH344" i="53"/>
  <c r="AX30" i="25"/>
  <c r="AX8" i="25"/>
  <c r="AI342" i="53"/>
  <c r="AI343" i="53"/>
  <c r="AI344" i="53"/>
  <c r="AY30" i="25"/>
  <c r="AY8" i="25"/>
  <c r="AJ342" i="53"/>
  <c r="AJ343" i="53"/>
  <c r="AJ344" i="53"/>
  <c r="AZ30" i="25"/>
  <c r="AZ8" i="25"/>
  <c r="AK342" i="53"/>
  <c r="AK343" i="53"/>
  <c r="AK344" i="53"/>
  <c r="BA30" i="25"/>
  <c r="BA8" i="25"/>
  <c r="AL342" i="53"/>
  <c r="AL343" i="53"/>
  <c r="AL344" i="53"/>
  <c r="BB30" i="25"/>
  <c r="BB8" i="25"/>
  <c r="AM342" i="53"/>
  <c r="AM343" i="53"/>
  <c r="AM344" i="53"/>
  <c r="BC30" i="25"/>
  <c r="BC8" i="25"/>
  <c r="AN342" i="53"/>
  <c r="AN343" i="53"/>
  <c r="AN344" i="53"/>
  <c r="BD30" i="25"/>
  <c r="BD8" i="25"/>
  <c r="AO342" i="53"/>
  <c r="AO343" i="53"/>
  <c r="AO344" i="53"/>
  <c r="BE30" i="25"/>
  <c r="BE8" i="25"/>
  <c r="AP342" i="53"/>
  <c r="AP343" i="53"/>
  <c r="AP344" i="53"/>
  <c r="BF30" i="25"/>
  <c r="BF8" i="25"/>
  <c r="AQ342" i="53"/>
  <c r="AQ343" i="53"/>
  <c r="AQ344" i="53"/>
  <c r="BG30" i="25"/>
  <c r="BG8" i="25"/>
  <c r="AR342" i="53"/>
  <c r="AR343" i="53"/>
  <c r="AR344" i="53"/>
  <c r="BH30" i="25"/>
  <c r="BH8" i="25"/>
  <c r="AS342" i="53"/>
  <c r="AS343" i="53"/>
  <c r="AS344" i="53"/>
  <c r="BI30" i="25"/>
  <c r="BI8" i="25"/>
  <c r="AT342" i="53"/>
  <c r="AT343" i="53"/>
  <c r="AT344" i="53"/>
  <c r="BJ30" i="25"/>
  <c r="BJ8" i="25"/>
  <c r="AU342" i="53"/>
  <c r="AU343" i="53"/>
  <c r="AU344" i="53"/>
  <c r="BK30" i="25"/>
  <c r="BK8" i="25"/>
  <c r="AV342" i="53"/>
  <c r="AV343" i="53"/>
  <c r="AV344" i="53"/>
  <c r="F32" i="46"/>
  <c r="I134" i="53"/>
  <c r="J134" i="53"/>
  <c r="J175" i="53"/>
  <c r="J215" i="53"/>
  <c r="J217" i="53"/>
  <c r="J258" i="53"/>
  <c r="F33" i="46"/>
  <c r="I175" i="53"/>
  <c r="I215" i="53"/>
  <c r="I217" i="53"/>
  <c r="I258" i="53"/>
  <c r="J299" i="53"/>
  <c r="J135" i="53"/>
  <c r="J176" i="53"/>
  <c r="J218" i="53"/>
  <c r="J259" i="53"/>
  <c r="I135" i="53"/>
  <c r="I176" i="53"/>
  <c r="I259" i="53"/>
  <c r="J300" i="53"/>
  <c r="J339" i="53"/>
  <c r="E12" i="32"/>
  <c r="E29" i="32"/>
  <c r="E85" i="32"/>
  <c r="E86" i="32"/>
  <c r="E87" i="32"/>
  <c r="K7" i="53"/>
  <c r="K48" i="53"/>
  <c r="K89" i="53"/>
  <c r="K8" i="53"/>
  <c r="K49" i="53"/>
  <c r="K90" i="53"/>
  <c r="K9" i="53"/>
  <c r="K50" i="53"/>
  <c r="J9" i="53"/>
  <c r="J50" i="53"/>
  <c r="K91" i="53"/>
  <c r="K129" i="53"/>
  <c r="K134" i="53"/>
  <c r="K175" i="53"/>
  <c r="K215" i="53"/>
  <c r="K217" i="53"/>
  <c r="K258" i="53"/>
  <c r="K299" i="53"/>
  <c r="K135" i="53"/>
  <c r="K176" i="53"/>
  <c r="K218" i="53"/>
  <c r="K259" i="53"/>
  <c r="K300" i="53"/>
  <c r="K136" i="53"/>
  <c r="K177" i="53"/>
  <c r="K219" i="53"/>
  <c r="K260" i="53"/>
  <c r="J136" i="53"/>
  <c r="J177" i="53"/>
  <c r="J260" i="53"/>
  <c r="K301" i="53"/>
  <c r="K339" i="53"/>
  <c r="F12" i="32"/>
  <c r="F29" i="32"/>
  <c r="F85" i="32"/>
  <c r="F86" i="32"/>
  <c r="F87" i="32"/>
  <c r="L7" i="53"/>
  <c r="L48" i="53"/>
  <c r="L89" i="53"/>
  <c r="L8" i="53"/>
  <c r="L49" i="53"/>
  <c r="L90" i="53"/>
  <c r="L9" i="53"/>
  <c r="L50" i="53"/>
  <c r="L91" i="53"/>
  <c r="L10" i="53"/>
  <c r="L51" i="53"/>
  <c r="K10" i="53"/>
  <c r="K51" i="53"/>
  <c r="L92" i="53"/>
  <c r="L129" i="53"/>
  <c r="L134" i="53"/>
  <c r="L175" i="53"/>
  <c r="L215" i="53"/>
  <c r="L217" i="53"/>
  <c r="L258" i="53"/>
  <c r="L299" i="53"/>
  <c r="L135" i="53"/>
  <c r="L176" i="53"/>
  <c r="L218" i="53"/>
  <c r="L259" i="53"/>
  <c r="L300" i="53"/>
  <c r="L136" i="53"/>
  <c r="L177" i="53"/>
  <c r="L219" i="53"/>
  <c r="L260" i="53"/>
  <c r="L301" i="53"/>
  <c r="L137" i="53"/>
  <c r="L178" i="53"/>
  <c r="L220" i="53"/>
  <c r="L261" i="53"/>
  <c r="K137" i="53"/>
  <c r="K178" i="53"/>
  <c r="K261" i="53"/>
  <c r="L302" i="53"/>
  <c r="L339" i="53"/>
  <c r="G12" i="32"/>
  <c r="G29" i="32"/>
  <c r="G85" i="32"/>
  <c r="G86" i="32"/>
  <c r="G87" i="32"/>
  <c r="M7" i="53"/>
  <c r="M48" i="53"/>
  <c r="M89" i="53"/>
  <c r="M8" i="53"/>
  <c r="M49" i="53"/>
  <c r="M90" i="53"/>
  <c r="M9" i="53"/>
  <c r="M50" i="53"/>
  <c r="M91" i="53"/>
  <c r="M10" i="53"/>
  <c r="M51" i="53"/>
  <c r="M92" i="53"/>
  <c r="M11" i="53"/>
  <c r="M52" i="53"/>
  <c r="L11" i="53"/>
  <c r="L52" i="53"/>
  <c r="M93" i="53"/>
  <c r="M129" i="53"/>
  <c r="M134" i="53"/>
  <c r="M175" i="53"/>
  <c r="M215" i="53"/>
  <c r="M217" i="53"/>
  <c r="M258" i="53"/>
  <c r="M299" i="53"/>
  <c r="M135" i="53"/>
  <c r="M176" i="53"/>
  <c r="M218" i="53"/>
  <c r="M259" i="53"/>
  <c r="M300" i="53"/>
  <c r="M136" i="53"/>
  <c r="M177" i="53"/>
  <c r="M219" i="53"/>
  <c r="M260" i="53"/>
  <c r="M301" i="53"/>
  <c r="M137" i="53"/>
  <c r="M178" i="53"/>
  <c r="M220" i="53"/>
  <c r="M261" i="53"/>
  <c r="M302" i="53"/>
  <c r="M138" i="53"/>
  <c r="M179" i="53"/>
  <c r="M221" i="53"/>
  <c r="M262" i="53"/>
  <c r="L138" i="53"/>
  <c r="L179" i="53"/>
  <c r="L262" i="53"/>
  <c r="M303" i="53"/>
  <c r="M339" i="53"/>
  <c r="H12" i="32"/>
  <c r="H29" i="32"/>
  <c r="H85" i="32"/>
  <c r="H86" i="32"/>
  <c r="H87" i="32"/>
  <c r="N7" i="53"/>
  <c r="N48" i="53"/>
  <c r="N89" i="53"/>
  <c r="N8" i="53"/>
  <c r="N49" i="53"/>
  <c r="N90" i="53"/>
  <c r="N9" i="53"/>
  <c r="N50" i="53"/>
  <c r="N91" i="53"/>
  <c r="N10" i="53"/>
  <c r="N51" i="53"/>
  <c r="N92" i="53"/>
  <c r="N11" i="53"/>
  <c r="N52" i="53"/>
  <c r="N93" i="53"/>
  <c r="N12" i="53"/>
  <c r="N53" i="53"/>
  <c r="M12" i="53"/>
  <c r="M53" i="53"/>
  <c r="N94" i="53"/>
  <c r="N129" i="53"/>
  <c r="N134" i="53"/>
  <c r="N175" i="53"/>
  <c r="N215" i="53"/>
  <c r="N217" i="53"/>
  <c r="N258" i="53"/>
  <c r="N299" i="53"/>
  <c r="N135" i="53"/>
  <c r="N176" i="53"/>
  <c r="N218" i="53"/>
  <c r="N259" i="53"/>
  <c r="N300" i="53"/>
  <c r="N136" i="53"/>
  <c r="N177" i="53"/>
  <c r="N219" i="53"/>
  <c r="N260" i="53"/>
  <c r="N301" i="53"/>
  <c r="N137" i="53"/>
  <c r="N178" i="53"/>
  <c r="N220" i="53"/>
  <c r="N261" i="53"/>
  <c r="N302" i="53"/>
  <c r="N138" i="53"/>
  <c r="N179" i="53"/>
  <c r="N221" i="53"/>
  <c r="N262" i="53"/>
  <c r="N303" i="53"/>
  <c r="N139" i="53"/>
  <c r="N180" i="53"/>
  <c r="N222" i="53"/>
  <c r="N263" i="53"/>
  <c r="M139" i="53"/>
  <c r="M180" i="53"/>
  <c r="M263" i="53"/>
  <c r="N304" i="53"/>
  <c r="N339" i="53"/>
  <c r="I12" i="32"/>
  <c r="I29" i="32"/>
  <c r="I85" i="32"/>
  <c r="I86" i="32"/>
  <c r="I87" i="32"/>
  <c r="O7" i="53"/>
  <c r="O48" i="53"/>
  <c r="O89" i="53"/>
  <c r="O8" i="53"/>
  <c r="O49" i="53"/>
  <c r="O90" i="53"/>
  <c r="O9" i="53"/>
  <c r="O50" i="53"/>
  <c r="O91" i="53"/>
  <c r="O10" i="53"/>
  <c r="O51" i="53"/>
  <c r="O92" i="53"/>
  <c r="O11" i="53"/>
  <c r="O52" i="53"/>
  <c r="O93" i="53"/>
  <c r="O12" i="53"/>
  <c r="O53" i="53"/>
  <c r="O94" i="53"/>
  <c r="O13" i="53"/>
  <c r="O54" i="53"/>
  <c r="N13" i="53"/>
  <c r="N54" i="53"/>
  <c r="O95" i="53"/>
  <c r="O129" i="53"/>
  <c r="O134" i="53"/>
  <c r="O175" i="53"/>
  <c r="O215" i="53"/>
  <c r="O217" i="53"/>
  <c r="O258" i="53"/>
  <c r="O299" i="53"/>
  <c r="O135" i="53"/>
  <c r="O176" i="53"/>
  <c r="O218" i="53"/>
  <c r="O259" i="53"/>
  <c r="O300" i="53"/>
  <c r="O136" i="53"/>
  <c r="O177" i="53"/>
  <c r="O219" i="53"/>
  <c r="O260" i="53"/>
  <c r="O301" i="53"/>
  <c r="O137" i="53"/>
  <c r="O178" i="53"/>
  <c r="O220" i="53"/>
  <c r="O261" i="53"/>
  <c r="O302" i="53"/>
  <c r="O138" i="53"/>
  <c r="O179" i="53"/>
  <c r="O221" i="53"/>
  <c r="O262" i="53"/>
  <c r="O303" i="53"/>
  <c r="O139" i="53"/>
  <c r="O180" i="53"/>
  <c r="O222" i="53"/>
  <c r="O263" i="53"/>
  <c r="O304" i="53"/>
  <c r="O140" i="53"/>
  <c r="O181" i="53"/>
  <c r="O223" i="53"/>
  <c r="O264" i="53"/>
  <c r="N140" i="53"/>
  <c r="N181" i="53"/>
  <c r="N264" i="53"/>
  <c r="O305" i="53"/>
  <c r="O339" i="53"/>
  <c r="J12" i="32"/>
  <c r="J29" i="32"/>
  <c r="J85" i="32"/>
  <c r="J86" i="32"/>
  <c r="J87" i="32"/>
  <c r="P7" i="53"/>
  <c r="P48" i="53"/>
  <c r="P89" i="53"/>
  <c r="P8" i="53"/>
  <c r="P49" i="53"/>
  <c r="P90" i="53"/>
  <c r="P9" i="53"/>
  <c r="P50" i="53"/>
  <c r="P91" i="53"/>
  <c r="P10" i="53"/>
  <c r="P51" i="53"/>
  <c r="P92" i="53"/>
  <c r="P11" i="53"/>
  <c r="P52" i="53"/>
  <c r="P93" i="53"/>
  <c r="P12" i="53"/>
  <c r="P53" i="53"/>
  <c r="P94" i="53"/>
  <c r="P13" i="53"/>
  <c r="P54" i="53"/>
  <c r="P95" i="53"/>
  <c r="P14" i="53"/>
  <c r="P55" i="53"/>
  <c r="O14" i="53"/>
  <c r="O55" i="53"/>
  <c r="P96" i="53"/>
  <c r="P129" i="53"/>
  <c r="P134" i="53"/>
  <c r="P175" i="53"/>
  <c r="P215" i="53"/>
  <c r="P217" i="53"/>
  <c r="P258" i="53"/>
  <c r="P299" i="53"/>
  <c r="P135" i="53"/>
  <c r="P176" i="53"/>
  <c r="P218" i="53"/>
  <c r="P259" i="53"/>
  <c r="P300" i="53"/>
  <c r="P136" i="53"/>
  <c r="P177" i="53"/>
  <c r="P219" i="53"/>
  <c r="P260" i="53"/>
  <c r="P301" i="53"/>
  <c r="P137" i="53"/>
  <c r="P178" i="53"/>
  <c r="P220" i="53"/>
  <c r="P261" i="53"/>
  <c r="P302" i="53"/>
  <c r="P138" i="53"/>
  <c r="P179" i="53"/>
  <c r="P221" i="53"/>
  <c r="P262" i="53"/>
  <c r="P303" i="53"/>
  <c r="P139" i="53"/>
  <c r="P180" i="53"/>
  <c r="P222" i="53"/>
  <c r="P263" i="53"/>
  <c r="P304" i="53"/>
  <c r="P140" i="53"/>
  <c r="P181" i="53"/>
  <c r="P223" i="53"/>
  <c r="P264" i="53"/>
  <c r="P305" i="53"/>
  <c r="P141" i="53"/>
  <c r="P182" i="53"/>
  <c r="P224" i="53"/>
  <c r="P265" i="53"/>
  <c r="O141" i="53"/>
  <c r="O182" i="53"/>
  <c r="O265" i="53"/>
  <c r="P306" i="53"/>
  <c r="P339" i="53"/>
  <c r="K12" i="32"/>
  <c r="K29" i="32"/>
  <c r="K85" i="32"/>
  <c r="K86" i="32"/>
  <c r="K87" i="32"/>
  <c r="Q7" i="53"/>
  <c r="Q48" i="53"/>
  <c r="Q89" i="53"/>
  <c r="Q8" i="53"/>
  <c r="Q49" i="53"/>
  <c r="Q90" i="53"/>
  <c r="Q9" i="53"/>
  <c r="Q50" i="53"/>
  <c r="Q91" i="53"/>
  <c r="Q10" i="53"/>
  <c r="Q51" i="53"/>
  <c r="Q92" i="53"/>
  <c r="Q11" i="53"/>
  <c r="Q52" i="53"/>
  <c r="Q93" i="53"/>
  <c r="Q12" i="53"/>
  <c r="Q53" i="53"/>
  <c r="Q94" i="53"/>
  <c r="Q13" i="53"/>
  <c r="Q54" i="53"/>
  <c r="Q95" i="53"/>
  <c r="Q14" i="53"/>
  <c r="Q55" i="53"/>
  <c r="Q96" i="53"/>
  <c r="Q15" i="53"/>
  <c r="Q56" i="53"/>
  <c r="P15" i="53"/>
  <c r="P56" i="53"/>
  <c r="Q97" i="53"/>
  <c r="Q129" i="53"/>
  <c r="Q134" i="53"/>
  <c r="Q175" i="53"/>
  <c r="Q215" i="53"/>
  <c r="Q217" i="53"/>
  <c r="Q258" i="53"/>
  <c r="Q299" i="53"/>
  <c r="Q135" i="53"/>
  <c r="Q176" i="53"/>
  <c r="Q218" i="53"/>
  <c r="Q259" i="53"/>
  <c r="Q300" i="53"/>
  <c r="Q136" i="53"/>
  <c r="Q177" i="53"/>
  <c r="Q219" i="53"/>
  <c r="Q260" i="53"/>
  <c r="Q301" i="53"/>
  <c r="Q137" i="53"/>
  <c r="Q178" i="53"/>
  <c r="Q220" i="53"/>
  <c r="Q261" i="53"/>
  <c r="Q302" i="53"/>
  <c r="Q138" i="53"/>
  <c r="Q179" i="53"/>
  <c r="Q221" i="53"/>
  <c r="Q262" i="53"/>
  <c r="Q303" i="53"/>
  <c r="Q139" i="53"/>
  <c r="Q180" i="53"/>
  <c r="Q222" i="53"/>
  <c r="Q263" i="53"/>
  <c r="Q304" i="53"/>
  <c r="Q140" i="53"/>
  <c r="Q181" i="53"/>
  <c r="Q223" i="53"/>
  <c r="Q264" i="53"/>
  <c r="Q305" i="53"/>
  <c r="Q141" i="53"/>
  <c r="Q182" i="53"/>
  <c r="Q224" i="53"/>
  <c r="Q265" i="53"/>
  <c r="Q306" i="53"/>
  <c r="Q142" i="53"/>
  <c r="Q183" i="53"/>
  <c r="Q225" i="53"/>
  <c r="Q266" i="53"/>
  <c r="P142" i="53"/>
  <c r="P183" i="53"/>
  <c r="P266" i="53"/>
  <c r="Q307" i="53"/>
  <c r="Q339" i="53"/>
  <c r="L12" i="32"/>
  <c r="L29" i="32"/>
  <c r="L85" i="32"/>
  <c r="L86" i="32"/>
  <c r="L87" i="32"/>
  <c r="R7" i="53"/>
  <c r="R48" i="53"/>
  <c r="R89" i="53"/>
  <c r="R8" i="53"/>
  <c r="R49" i="53"/>
  <c r="R90" i="53"/>
  <c r="R9" i="53"/>
  <c r="R50" i="53"/>
  <c r="R91" i="53"/>
  <c r="R10" i="53"/>
  <c r="R51" i="53"/>
  <c r="R92" i="53"/>
  <c r="R11" i="53"/>
  <c r="R52" i="53"/>
  <c r="R93" i="53"/>
  <c r="R12" i="53"/>
  <c r="R53" i="53"/>
  <c r="R94" i="53"/>
  <c r="R13" i="53"/>
  <c r="R54" i="53"/>
  <c r="R95" i="53"/>
  <c r="R14" i="53"/>
  <c r="R55" i="53"/>
  <c r="R96" i="53"/>
  <c r="R15" i="53"/>
  <c r="R56" i="53"/>
  <c r="R97" i="53"/>
  <c r="R16" i="53"/>
  <c r="R57" i="53"/>
  <c r="Q16" i="53"/>
  <c r="Q57" i="53"/>
  <c r="R98" i="53"/>
  <c r="R129" i="53"/>
  <c r="R134" i="53"/>
  <c r="R175" i="53"/>
  <c r="R215" i="53"/>
  <c r="R217" i="53"/>
  <c r="R258" i="53"/>
  <c r="R299" i="53"/>
  <c r="R135" i="53"/>
  <c r="R176" i="53"/>
  <c r="R218" i="53"/>
  <c r="R259" i="53"/>
  <c r="R300" i="53"/>
  <c r="R136" i="53"/>
  <c r="R177" i="53"/>
  <c r="R219" i="53"/>
  <c r="R260" i="53"/>
  <c r="R301" i="53"/>
  <c r="R137" i="53"/>
  <c r="R178" i="53"/>
  <c r="R220" i="53"/>
  <c r="R261" i="53"/>
  <c r="R302" i="53"/>
  <c r="R138" i="53"/>
  <c r="R179" i="53"/>
  <c r="R221" i="53"/>
  <c r="R262" i="53"/>
  <c r="R303" i="53"/>
  <c r="R139" i="53"/>
  <c r="R180" i="53"/>
  <c r="R222" i="53"/>
  <c r="R263" i="53"/>
  <c r="R304" i="53"/>
  <c r="R140" i="53"/>
  <c r="R181" i="53"/>
  <c r="R223" i="53"/>
  <c r="R264" i="53"/>
  <c r="R305" i="53"/>
  <c r="R141" i="53"/>
  <c r="R182" i="53"/>
  <c r="R224" i="53"/>
  <c r="R265" i="53"/>
  <c r="R306" i="53"/>
  <c r="R142" i="53"/>
  <c r="R183" i="53"/>
  <c r="R225" i="53"/>
  <c r="R266" i="53"/>
  <c r="R307" i="53"/>
  <c r="R143" i="53"/>
  <c r="R184" i="53"/>
  <c r="R226" i="53"/>
  <c r="R267" i="53"/>
  <c r="Q143" i="53"/>
  <c r="Q184" i="53"/>
  <c r="Q267" i="53"/>
  <c r="R308" i="53"/>
  <c r="R339" i="53"/>
  <c r="M12" i="32"/>
  <c r="M29" i="32"/>
  <c r="M85" i="32"/>
  <c r="M86" i="32"/>
  <c r="M87" i="32"/>
  <c r="S7" i="53"/>
  <c r="I30" i="25"/>
  <c r="I8" i="25"/>
  <c r="S48" i="53"/>
  <c r="S89" i="53"/>
  <c r="S8" i="53"/>
  <c r="S49" i="53"/>
  <c r="S90" i="53"/>
  <c r="S9" i="53"/>
  <c r="S50" i="53"/>
  <c r="S91" i="53"/>
  <c r="S10" i="53"/>
  <c r="S51" i="53"/>
  <c r="S92" i="53"/>
  <c r="S11" i="53"/>
  <c r="S52" i="53"/>
  <c r="S93" i="53"/>
  <c r="S12" i="53"/>
  <c r="S53" i="53"/>
  <c r="S94" i="53"/>
  <c r="S13" i="53"/>
  <c r="S54" i="53"/>
  <c r="S95" i="53"/>
  <c r="S14" i="53"/>
  <c r="S55" i="53"/>
  <c r="S96" i="53"/>
  <c r="S15" i="53"/>
  <c r="S56" i="53"/>
  <c r="S97" i="53"/>
  <c r="S16" i="53"/>
  <c r="S57" i="53"/>
  <c r="S98" i="53"/>
  <c r="S17" i="53"/>
  <c r="S58" i="53"/>
  <c r="R17" i="53"/>
  <c r="R58" i="53"/>
  <c r="S99" i="53"/>
  <c r="S129" i="53"/>
  <c r="S134" i="53"/>
  <c r="S175" i="53"/>
  <c r="S215" i="53"/>
  <c r="S217" i="53"/>
  <c r="S258" i="53"/>
  <c r="S299" i="53"/>
  <c r="S135" i="53"/>
  <c r="S176" i="53"/>
  <c r="S218" i="53"/>
  <c r="S259" i="53"/>
  <c r="S300" i="53"/>
  <c r="S136" i="53"/>
  <c r="S177" i="53"/>
  <c r="S219" i="53"/>
  <c r="S260" i="53"/>
  <c r="S301" i="53"/>
  <c r="S137" i="53"/>
  <c r="S178" i="53"/>
  <c r="S220" i="53"/>
  <c r="S261" i="53"/>
  <c r="S302" i="53"/>
  <c r="S138" i="53"/>
  <c r="S179" i="53"/>
  <c r="S221" i="53"/>
  <c r="S262" i="53"/>
  <c r="S303" i="53"/>
  <c r="S139" i="53"/>
  <c r="S180" i="53"/>
  <c r="S222" i="53"/>
  <c r="S263" i="53"/>
  <c r="S304" i="53"/>
  <c r="S140" i="53"/>
  <c r="S181" i="53"/>
  <c r="S223" i="53"/>
  <c r="S264" i="53"/>
  <c r="S305" i="53"/>
  <c r="S141" i="53"/>
  <c r="S182" i="53"/>
  <c r="S224" i="53"/>
  <c r="S265" i="53"/>
  <c r="S306" i="53"/>
  <c r="S142" i="53"/>
  <c r="S183" i="53"/>
  <c r="S225" i="53"/>
  <c r="S266" i="53"/>
  <c r="S307" i="53"/>
  <c r="S143" i="53"/>
  <c r="S184" i="53"/>
  <c r="S226" i="53"/>
  <c r="S267" i="53"/>
  <c r="S308" i="53"/>
  <c r="S144" i="53"/>
  <c r="S185" i="53"/>
  <c r="S227" i="53"/>
  <c r="S268" i="53"/>
  <c r="R144" i="53"/>
  <c r="R185" i="53"/>
  <c r="R268" i="53"/>
  <c r="S309" i="53"/>
  <c r="S339" i="53"/>
  <c r="N12" i="32"/>
  <c r="N29" i="32"/>
  <c r="N85" i="32"/>
  <c r="N86" i="32"/>
  <c r="N87" i="32"/>
  <c r="T7" i="53"/>
  <c r="J30" i="25"/>
  <c r="J8" i="25"/>
  <c r="T48" i="53"/>
  <c r="T89" i="53"/>
  <c r="T8" i="53"/>
  <c r="T49" i="53"/>
  <c r="T90" i="53"/>
  <c r="T9" i="53"/>
  <c r="T50" i="53"/>
  <c r="T91" i="53"/>
  <c r="T10" i="53"/>
  <c r="T51" i="53"/>
  <c r="T92" i="53"/>
  <c r="T11" i="53"/>
  <c r="T52" i="53"/>
  <c r="T93" i="53"/>
  <c r="T12" i="53"/>
  <c r="T53" i="53"/>
  <c r="T94" i="53"/>
  <c r="T13" i="53"/>
  <c r="T54" i="53"/>
  <c r="T95" i="53"/>
  <c r="T14" i="53"/>
  <c r="T55" i="53"/>
  <c r="T96" i="53"/>
  <c r="T15" i="53"/>
  <c r="T56" i="53"/>
  <c r="T97" i="53"/>
  <c r="T16" i="53"/>
  <c r="T57" i="53"/>
  <c r="T98" i="53"/>
  <c r="T17" i="53"/>
  <c r="T58" i="53"/>
  <c r="T99" i="53"/>
  <c r="T18" i="53"/>
  <c r="T59" i="53"/>
  <c r="S18" i="53"/>
  <c r="S59" i="53"/>
  <c r="T100" i="53"/>
  <c r="T129" i="53"/>
  <c r="T134" i="53"/>
  <c r="T175" i="53"/>
  <c r="T215" i="53"/>
  <c r="T217" i="53"/>
  <c r="T258" i="53"/>
  <c r="T299" i="53"/>
  <c r="T135" i="53"/>
  <c r="T176" i="53"/>
  <c r="T218" i="53"/>
  <c r="T259" i="53"/>
  <c r="T300" i="53"/>
  <c r="T136" i="53"/>
  <c r="T177" i="53"/>
  <c r="T219" i="53"/>
  <c r="T260" i="53"/>
  <c r="T301" i="53"/>
  <c r="T137" i="53"/>
  <c r="T178" i="53"/>
  <c r="T220" i="53"/>
  <c r="T261" i="53"/>
  <c r="T302" i="53"/>
  <c r="T138" i="53"/>
  <c r="T179" i="53"/>
  <c r="T221" i="53"/>
  <c r="T262" i="53"/>
  <c r="T303" i="53"/>
  <c r="T139" i="53"/>
  <c r="T180" i="53"/>
  <c r="T222" i="53"/>
  <c r="T263" i="53"/>
  <c r="T304" i="53"/>
  <c r="T140" i="53"/>
  <c r="T181" i="53"/>
  <c r="T223" i="53"/>
  <c r="T264" i="53"/>
  <c r="T305" i="53"/>
  <c r="T141" i="53"/>
  <c r="T182" i="53"/>
  <c r="T224" i="53"/>
  <c r="T265" i="53"/>
  <c r="T306" i="53"/>
  <c r="T142" i="53"/>
  <c r="T183" i="53"/>
  <c r="T225" i="53"/>
  <c r="T266" i="53"/>
  <c r="T307" i="53"/>
  <c r="T143" i="53"/>
  <c r="T184" i="53"/>
  <c r="T226" i="53"/>
  <c r="T267" i="53"/>
  <c r="T308" i="53"/>
  <c r="T144" i="53"/>
  <c r="T185" i="53"/>
  <c r="T227" i="53"/>
  <c r="T268" i="53"/>
  <c r="T309" i="53"/>
  <c r="T145" i="53"/>
  <c r="T186" i="53"/>
  <c r="T228" i="53"/>
  <c r="T269" i="53"/>
  <c r="S145" i="53"/>
  <c r="S186" i="53"/>
  <c r="S269" i="53"/>
  <c r="T310" i="53"/>
  <c r="T339" i="53"/>
  <c r="O12" i="32"/>
  <c r="O29" i="32"/>
  <c r="O85" i="32"/>
  <c r="O86" i="32"/>
  <c r="O87" i="32"/>
  <c r="U7" i="53"/>
  <c r="K30" i="25"/>
  <c r="K8" i="25"/>
  <c r="U48" i="53"/>
  <c r="U89" i="53"/>
  <c r="U8" i="53"/>
  <c r="U49" i="53"/>
  <c r="U90" i="53"/>
  <c r="U9" i="53"/>
  <c r="U50" i="53"/>
  <c r="U91" i="53"/>
  <c r="U10" i="53"/>
  <c r="U51" i="53"/>
  <c r="U92" i="53"/>
  <c r="U11" i="53"/>
  <c r="U52" i="53"/>
  <c r="U93" i="53"/>
  <c r="U12" i="53"/>
  <c r="U53" i="53"/>
  <c r="U94" i="53"/>
  <c r="U13" i="53"/>
  <c r="U54" i="53"/>
  <c r="U95" i="53"/>
  <c r="U14" i="53"/>
  <c r="U55" i="53"/>
  <c r="U96" i="53"/>
  <c r="U15" i="53"/>
  <c r="U56" i="53"/>
  <c r="U97" i="53"/>
  <c r="U16" i="53"/>
  <c r="U57" i="53"/>
  <c r="U98" i="53"/>
  <c r="U17" i="53"/>
  <c r="U58" i="53"/>
  <c r="U99" i="53"/>
  <c r="U18" i="53"/>
  <c r="U59" i="53"/>
  <c r="U100" i="53"/>
  <c r="U19" i="53"/>
  <c r="U60" i="53"/>
  <c r="T19" i="53"/>
  <c r="T60" i="53"/>
  <c r="U101" i="53"/>
  <c r="U129" i="53"/>
  <c r="U134" i="53"/>
  <c r="U175" i="53"/>
  <c r="U215" i="53"/>
  <c r="U217" i="53"/>
  <c r="U258" i="53"/>
  <c r="U299" i="53"/>
  <c r="U135" i="53"/>
  <c r="U176" i="53"/>
  <c r="U218" i="53"/>
  <c r="U259" i="53"/>
  <c r="U300" i="53"/>
  <c r="U136" i="53"/>
  <c r="U177" i="53"/>
  <c r="U219" i="53"/>
  <c r="U260" i="53"/>
  <c r="U301" i="53"/>
  <c r="U137" i="53"/>
  <c r="U178" i="53"/>
  <c r="U220" i="53"/>
  <c r="U261" i="53"/>
  <c r="U302" i="53"/>
  <c r="U138" i="53"/>
  <c r="U179" i="53"/>
  <c r="U221" i="53"/>
  <c r="U262" i="53"/>
  <c r="U303" i="53"/>
  <c r="U139" i="53"/>
  <c r="U180" i="53"/>
  <c r="U222" i="53"/>
  <c r="U263" i="53"/>
  <c r="U304" i="53"/>
  <c r="U140" i="53"/>
  <c r="U181" i="53"/>
  <c r="U223" i="53"/>
  <c r="U264" i="53"/>
  <c r="U305" i="53"/>
  <c r="U141" i="53"/>
  <c r="U182" i="53"/>
  <c r="U224" i="53"/>
  <c r="U265" i="53"/>
  <c r="U306" i="53"/>
  <c r="U142" i="53"/>
  <c r="U183" i="53"/>
  <c r="U225" i="53"/>
  <c r="U266" i="53"/>
  <c r="U307" i="53"/>
  <c r="U143" i="53"/>
  <c r="U184" i="53"/>
  <c r="U226" i="53"/>
  <c r="U267" i="53"/>
  <c r="U308" i="53"/>
  <c r="U144" i="53"/>
  <c r="U185" i="53"/>
  <c r="U227" i="53"/>
  <c r="U268" i="53"/>
  <c r="U309" i="53"/>
  <c r="U145" i="53"/>
  <c r="U186" i="53"/>
  <c r="U228" i="53"/>
  <c r="U269" i="53"/>
  <c r="U310" i="53"/>
  <c r="U146" i="53"/>
  <c r="U187" i="53"/>
  <c r="U229" i="53"/>
  <c r="U270" i="53"/>
  <c r="T146" i="53"/>
  <c r="T187" i="53"/>
  <c r="T270" i="53"/>
  <c r="U311" i="53"/>
  <c r="U339" i="53"/>
  <c r="P12" i="32"/>
  <c r="P29" i="32"/>
  <c r="P85" i="32"/>
  <c r="P86" i="32"/>
  <c r="P87" i="32"/>
  <c r="V7" i="53"/>
  <c r="L30" i="25"/>
  <c r="L8" i="25"/>
  <c r="V48" i="53"/>
  <c r="V89" i="53"/>
  <c r="V8" i="53"/>
  <c r="V49" i="53"/>
  <c r="V90" i="53"/>
  <c r="V9" i="53"/>
  <c r="V50" i="53"/>
  <c r="V91" i="53"/>
  <c r="V10" i="53"/>
  <c r="V51" i="53"/>
  <c r="V92" i="53"/>
  <c r="V11" i="53"/>
  <c r="V52" i="53"/>
  <c r="V93" i="53"/>
  <c r="V12" i="53"/>
  <c r="V53" i="53"/>
  <c r="V94" i="53"/>
  <c r="V13" i="53"/>
  <c r="V54" i="53"/>
  <c r="V95" i="53"/>
  <c r="V14" i="53"/>
  <c r="V55" i="53"/>
  <c r="V96" i="53"/>
  <c r="V15" i="53"/>
  <c r="V56" i="53"/>
  <c r="V97" i="53"/>
  <c r="V16" i="53"/>
  <c r="V57" i="53"/>
  <c r="V98" i="53"/>
  <c r="V17" i="53"/>
  <c r="V58" i="53"/>
  <c r="V99" i="53"/>
  <c r="V18" i="53"/>
  <c r="V59" i="53"/>
  <c r="V100" i="53"/>
  <c r="V19" i="53"/>
  <c r="V60" i="53"/>
  <c r="V101" i="53"/>
  <c r="V20" i="53"/>
  <c r="V61" i="53"/>
  <c r="U20" i="53"/>
  <c r="U61" i="53"/>
  <c r="V102" i="53"/>
  <c r="V129" i="53"/>
  <c r="V134" i="53"/>
  <c r="V175" i="53"/>
  <c r="V215" i="53"/>
  <c r="V217" i="53"/>
  <c r="V258" i="53"/>
  <c r="V299" i="53"/>
  <c r="V135" i="53"/>
  <c r="V176" i="53"/>
  <c r="V218" i="53"/>
  <c r="V259" i="53"/>
  <c r="V300" i="53"/>
  <c r="V136" i="53"/>
  <c r="V177" i="53"/>
  <c r="V219" i="53"/>
  <c r="V260" i="53"/>
  <c r="V301" i="53"/>
  <c r="V137" i="53"/>
  <c r="V178" i="53"/>
  <c r="V220" i="53"/>
  <c r="V261" i="53"/>
  <c r="V302" i="53"/>
  <c r="V138" i="53"/>
  <c r="V179" i="53"/>
  <c r="V221" i="53"/>
  <c r="V262" i="53"/>
  <c r="V303" i="53"/>
  <c r="V139" i="53"/>
  <c r="V180" i="53"/>
  <c r="V222" i="53"/>
  <c r="V263" i="53"/>
  <c r="V304" i="53"/>
  <c r="V140" i="53"/>
  <c r="V181" i="53"/>
  <c r="V223" i="53"/>
  <c r="V264" i="53"/>
  <c r="V305" i="53"/>
  <c r="V141" i="53"/>
  <c r="V182" i="53"/>
  <c r="V224" i="53"/>
  <c r="V265" i="53"/>
  <c r="V306" i="53"/>
  <c r="V142" i="53"/>
  <c r="V183" i="53"/>
  <c r="V225" i="53"/>
  <c r="V266" i="53"/>
  <c r="V307" i="53"/>
  <c r="V143" i="53"/>
  <c r="V184" i="53"/>
  <c r="V226" i="53"/>
  <c r="V267" i="53"/>
  <c r="V308" i="53"/>
  <c r="V144" i="53"/>
  <c r="V185" i="53"/>
  <c r="V227" i="53"/>
  <c r="V268" i="53"/>
  <c r="V309" i="53"/>
  <c r="V145" i="53"/>
  <c r="V186" i="53"/>
  <c r="V228" i="53"/>
  <c r="V269" i="53"/>
  <c r="V310" i="53"/>
  <c r="V146" i="53"/>
  <c r="V187" i="53"/>
  <c r="V229" i="53"/>
  <c r="V270" i="53"/>
  <c r="V311" i="53"/>
  <c r="V147" i="53"/>
  <c r="V188" i="53"/>
  <c r="V230" i="53"/>
  <c r="V271" i="53"/>
  <c r="U147" i="53"/>
  <c r="U188" i="53"/>
  <c r="U271" i="53"/>
  <c r="V312" i="53"/>
  <c r="V339" i="53"/>
  <c r="Q12" i="32"/>
  <c r="Q29" i="32"/>
  <c r="Q85" i="32"/>
  <c r="Q86" i="32"/>
  <c r="Q87" i="32"/>
  <c r="W7" i="53"/>
  <c r="M30" i="25"/>
  <c r="M8" i="25"/>
  <c r="W48" i="53"/>
  <c r="W89" i="53"/>
  <c r="W8" i="53"/>
  <c r="W49" i="53"/>
  <c r="W90" i="53"/>
  <c r="W9" i="53"/>
  <c r="W50" i="53"/>
  <c r="W91" i="53"/>
  <c r="W10" i="53"/>
  <c r="W51" i="53"/>
  <c r="W92" i="53"/>
  <c r="W11" i="53"/>
  <c r="W52" i="53"/>
  <c r="W93" i="53"/>
  <c r="W12" i="53"/>
  <c r="W53" i="53"/>
  <c r="W94" i="53"/>
  <c r="W13" i="53"/>
  <c r="W54" i="53"/>
  <c r="W95" i="53"/>
  <c r="W14" i="53"/>
  <c r="W55" i="53"/>
  <c r="W96" i="53"/>
  <c r="W15" i="53"/>
  <c r="W56" i="53"/>
  <c r="W97" i="53"/>
  <c r="W16" i="53"/>
  <c r="W57" i="53"/>
  <c r="W98" i="53"/>
  <c r="W17" i="53"/>
  <c r="W58" i="53"/>
  <c r="W99" i="53"/>
  <c r="W18" i="53"/>
  <c r="W59" i="53"/>
  <c r="W100" i="53"/>
  <c r="W19" i="53"/>
  <c r="W60" i="53"/>
  <c r="W101" i="53"/>
  <c r="W20" i="53"/>
  <c r="W61" i="53"/>
  <c r="W102" i="53"/>
  <c r="W21" i="53"/>
  <c r="W62" i="53"/>
  <c r="V21" i="53"/>
  <c r="V62" i="53"/>
  <c r="W103" i="53"/>
  <c r="W129" i="53"/>
  <c r="W134" i="53"/>
  <c r="W175" i="53"/>
  <c r="W215" i="53"/>
  <c r="W217" i="53"/>
  <c r="W258" i="53"/>
  <c r="W299" i="53"/>
  <c r="W135" i="53"/>
  <c r="W176" i="53"/>
  <c r="W218" i="53"/>
  <c r="W259" i="53"/>
  <c r="W300" i="53"/>
  <c r="W136" i="53"/>
  <c r="W177" i="53"/>
  <c r="W219" i="53"/>
  <c r="W260" i="53"/>
  <c r="W301" i="53"/>
  <c r="W137" i="53"/>
  <c r="W178" i="53"/>
  <c r="W220" i="53"/>
  <c r="W261" i="53"/>
  <c r="W302" i="53"/>
  <c r="W138" i="53"/>
  <c r="W179" i="53"/>
  <c r="W221" i="53"/>
  <c r="W262" i="53"/>
  <c r="W303" i="53"/>
  <c r="W139" i="53"/>
  <c r="W180" i="53"/>
  <c r="W222" i="53"/>
  <c r="W263" i="53"/>
  <c r="W304" i="53"/>
  <c r="W140" i="53"/>
  <c r="W181" i="53"/>
  <c r="W223" i="53"/>
  <c r="W264" i="53"/>
  <c r="W305" i="53"/>
  <c r="W141" i="53"/>
  <c r="W182" i="53"/>
  <c r="W224" i="53"/>
  <c r="W265" i="53"/>
  <c r="W306" i="53"/>
  <c r="W142" i="53"/>
  <c r="W183" i="53"/>
  <c r="W225" i="53"/>
  <c r="W266" i="53"/>
  <c r="W307" i="53"/>
  <c r="W143" i="53"/>
  <c r="W184" i="53"/>
  <c r="W226" i="53"/>
  <c r="W267" i="53"/>
  <c r="W308" i="53"/>
  <c r="W144" i="53"/>
  <c r="W185" i="53"/>
  <c r="W227" i="53"/>
  <c r="W268" i="53"/>
  <c r="W309" i="53"/>
  <c r="W145" i="53"/>
  <c r="W186" i="53"/>
  <c r="W228" i="53"/>
  <c r="W269" i="53"/>
  <c r="W310" i="53"/>
  <c r="W146" i="53"/>
  <c r="W187" i="53"/>
  <c r="W229" i="53"/>
  <c r="W270" i="53"/>
  <c r="W311" i="53"/>
  <c r="W147" i="53"/>
  <c r="W188" i="53"/>
  <c r="W230" i="53"/>
  <c r="W271" i="53"/>
  <c r="W312" i="53"/>
  <c r="W148" i="53"/>
  <c r="W189" i="53"/>
  <c r="W231" i="53"/>
  <c r="W272" i="53"/>
  <c r="V148" i="53"/>
  <c r="V189" i="53"/>
  <c r="V272" i="53"/>
  <c r="W313" i="53"/>
  <c r="W339" i="53"/>
  <c r="R12" i="32"/>
  <c r="R29" i="32"/>
  <c r="R85" i="32"/>
  <c r="R86" i="32"/>
  <c r="R87" i="32"/>
  <c r="X7" i="53"/>
  <c r="N30" i="25"/>
  <c r="N8" i="25"/>
  <c r="X48" i="53"/>
  <c r="X89" i="53"/>
  <c r="X8" i="53"/>
  <c r="X49" i="53"/>
  <c r="X90" i="53"/>
  <c r="X9" i="53"/>
  <c r="X50" i="53"/>
  <c r="X91" i="53"/>
  <c r="X10" i="53"/>
  <c r="X51" i="53"/>
  <c r="X92" i="53"/>
  <c r="X11" i="53"/>
  <c r="X52" i="53"/>
  <c r="X93" i="53"/>
  <c r="X12" i="53"/>
  <c r="X53" i="53"/>
  <c r="X94" i="53"/>
  <c r="X13" i="53"/>
  <c r="X54" i="53"/>
  <c r="X95" i="53"/>
  <c r="X14" i="53"/>
  <c r="X55" i="53"/>
  <c r="X96" i="53"/>
  <c r="X15" i="53"/>
  <c r="X56" i="53"/>
  <c r="X97" i="53"/>
  <c r="X16" i="53"/>
  <c r="X57" i="53"/>
  <c r="X98" i="53"/>
  <c r="X17" i="53"/>
  <c r="X58" i="53"/>
  <c r="X99" i="53"/>
  <c r="X18" i="53"/>
  <c r="X59" i="53"/>
  <c r="X100" i="53"/>
  <c r="X19" i="53"/>
  <c r="X60" i="53"/>
  <c r="X101" i="53"/>
  <c r="X20" i="53"/>
  <c r="X61" i="53"/>
  <c r="X102" i="53"/>
  <c r="X21" i="53"/>
  <c r="X62" i="53"/>
  <c r="X103" i="53"/>
  <c r="X22" i="53"/>
  <c r="X63" i="53"/>
  <c r="W22" i="53"/>
  <c r="W63" i="53"/>
  <c r="X104" i="53"/>
  <c r="X129" i="53"/>
  <c r="X134" i="53"/>
  <c r="X175" i="53"/>
  <c r="X215" i="53"/>
  <c r="X217" i="53"/>
  <c r="X258" i="53"/>
  <c r="X299" i="53"/>
  <c r="X135" i="53"/>
  <c r="X176" i="53"/>
  <c r="X218" i="53"/>
  <c r="X259" i="53"/>
  <c r="X300" i="53"/>
  <c r="X136" i="53"/>
  <c r="X177" i="53"/>
  <c r="X219" i="53"/>
  <c r="X260" i="53"/>
  <c r="X301" i="53"/>
  <c r="X137" i="53"/>
  <c r="X178" i="53"/>
  <c r="X220" i="53"/>
  <c r="X261" i="53"/>
  <c r="X302" i="53"/>
  <c r="X138" i="53"/>
  <c r="X179" i="53"/>
  <c r="X221" i="53"/>
  <c r="X262" i="53"/>
  <c r="X303" i="53"/>
  <c r="X139" i="53"/>
  <c r="X180" i="53"/>
  <c r="X222" i="53"/>
  <c r="X263" i="53"/>
  <c r="X304" i="53"/>
  <c r="X140" i="53"/>
  <c r="X181" i="53"/>
  <c r="X223" i="53"/>
  <c r="X264" i="53"/>
  <c r="X305" i="53"/>
  <c r="X141" i="53"/>
  <c r="X182" i="53"/>
  <c r="X224" i="53"/>
  <c r="X265" i="53"/>
  <c r="X306" i="53"/>
  <c r="X142" i="53"/>
  <c r="X183" i="53"/>
  <c r="X225" i="53"/>
  <c r="X266" i="53"/>
  <c r="X307" i="53"/>
  <c r="X143" i="53"/>
  <c r="X184" i="53"/>
  <c r="X226" i="53"/>
  <c r="X267" i="53"/>
  <c r="X308" i="53"/>
  <c r="X144" i="53"/>
  <c r="X185" i="53"/>
  <c r="X227" i="53"/>
  <c r="X268" i="53"/>
  <c r="X309" i="53"/>
  <c r="X145" i="53"/>
  <c r="X186" i="53"/>
  <c r="X228" i="53"/>
  <c r="X269" i="53"/>
  <c r="X310" i="53"/>
  <c r="X146" i="53"/>
  <c r="X187" i="53"/>
  <c r="X229" i="53"/>
  <c r="X270" i="53"/>
  <c r="X311" i="53"/>
  <c r="X147" i="53"/>
  <c r="X188" i="53"/>
  <c r="X230" i="53"/>
  <c r="X271" i="53"/>
  <c r="X312" i="53"/>
  <c r="X148" i="53"/>
  <c r="X189" i="53"/>
  <c r="X231" i="53"/>
  <c r="X272" i="53"/>
  <c r="X313" i="53"/>
  <c r="X149" i="53"/>
  <c r="X190" i="53"/>
  <c r="X232" i="53"/>
  <c r="X273" i="53"/>
  <c r="W149" i="53"/>
  <c r="W190" i="53"/>
  <c r="W273" i="53"/>
  <c r="X314" i="53"/>
  <c r="X339" i="53"/>
  <c r="S12" i="32"/>
  <c r="S29" i="32"/>
  <c r="S85" i="32"/>
  <c r="S86" i="32"/>
  <c r="S87" i="32"/>
  <c r="Y7" i="53"/>
  <c r="O30" i="25"/>
  <c r="O8" i="25"/>
  <c r="Y48" i="53"/>
  <c r="Y89" i="53"/>
  <c r="Y8" i="53"/>
  <c r="Y49" i="53"/>
  <c r="Y90" i="53"/>
  <c r="Y9" i="53"/>
  <c r="Y50" i="53"/>
  <c r="Y91" i="53"/>
  <c r="Y10" i="53"/>
  <c r="Y51" i="53"/>
  <c r="Y92" i="53"/>
  <c r="Y11" i="53"/>
  <c r="Y52" i="53"/>
  <c r="Y93" i="53"/>
  <c r="Y12" i="53"/>
  <c r="Y53" i="53"/>
  <c r="Y94" i="53"/>
  <c r="Y13" i="53"/>
  <c r="Y54" i="53"/>
  <c r="Y95" i="53"/>
  <c r="Y14" i="53"/>
  <c r="Y55" i="53"/>
  <c r="Y96" i="53"/>
  <c r="Y15" i="53"/>
  <c r="Y56" i="53"/>
  <c r="Y97" i="53"/>
  <c r="Y16" i="53"/>
  <c r="Y57" i="53"/>
  <c r="Y98" i="53"/>
  <c r="Y17" i="53"/>
  <c r="Y58" i="53"/>
  <c r="Y99" i="53"/>
  <c r="Y18" i="53"/>
  <c r="Y59" i="53"/>
  <c r="Y100" i="53"/>
  <c r="Y19" i="53"/>
  <c r="Y60" i="53"/>
  <c r="Y101" i="53"/>
  <c r="Y20" i="53"/>
  <c r="Y61" i="53"/>
  <c r="Y102" i="53"/>
  <c r="Y21" i="53"/>
  <c r="Y62" i="53"/>
  <c r="Y103" i="53"/>
  <c r="Y22" i="53"/>
  <c r="Y63" i="53"/>
  <c r="Y104" i="53"/>
  <c r="Y23" i="53"/>
  <c r="Y64" i="53"/>
  <c r="X23" i="53"/>
  <c r="X64" i="53"/>
  <c r="Y105" i="53"/>
  <c r="Y129" i="53"/>
  <c r="Y134" i="53"/>
  <c r="Y175" i="53"/>
  <c r="Y215" i="53"/>
  <c r="Y217" i="53"/>
  <c r="Y258" i="53"/>
  <c r="Y299" i="53"/>
  <c r="Y135" i="53"/>
  <c r="Y176" i="53"/>
  <c r="Y218" i="53"/>
  <c r="Y259" i="53"/>
  <c r="Y300" i="53"/>
  <c r="Y136" i="53"/>
  <c r="Y177" i="53"/>
  <c r="Y219" i="53"/>
  <c r="Y260" i="53"/>
  <c r="Y301" i="53"/>
  <c r="Y137" i="53"/>
  <c r="Y178" i="53"/>
  <c r="Y220" i="53"/>
  <c r="Y261" i="53"/>
  <c r="Y302" i="53"/>
  <c r="Y138" i="53"/>
  <c r="Y179" i="53"/>
  <c r="Y221" i="53"/>
  <c r="Y262" i="53"/>
  <c r="Y303" i="53"/>
  <c r="Y139" i="53"/>
  <c r="Y180" i="53"/>
  <c r="Y222" i="53"/>
  <c r="Y263" i="53"/>
  <c r="Y304" i="53"/>
  <c r="Y140" i="53"/>
  <c r="Y181" i="53"/>
  <c r="Y223" i="53"/>
  <c r="Y264" i="53"/>
  <c r="Y305" i="53"/>
  <c r="Y141" i="53"/>
  <c r="Y182" i="53"/>
  <c r="Y224" i="53"/>
  <c r="Y265" i="53"/>
  <c r="Y306" i="53"/>
  <c r="Y142" i="53"/>
  <c r="Y183" i="53"/>
  <c r="Y225" i="53"/>
  <c r="Y266" i="53"/>
  <c r="Y307" i="53"/>
  <c r="Y143" i="53"/>
  <c r="Y184" i="53"/>
  <c r="Y226" i="53"/>
  <c r="Y267" i="53"/>
  <c r="Y308" i="53"/>
  <c r="Y144" i="53"/>
  <c r="Y185" i="53"/>
  <c r="Y227" i="53"/>
  <c r="Y268" i="53"/>
  <c r="Y309" i="53"/>
  <c r="Y145" i="53"/>
  <c r="Y186" i="53"/>
  <c r="Y228" i="53"/>
  <c r="Y269" i="53"/>
  <c r="Y310" i="53"/>
  <c r="Y146" i="53"/>
  <c r="Y187" i="53"/>
  <c r="Y229" i="53"/>
  <c r="Y270" i="53"/>
  <c r="Y311" i="53"/>
  <c r="Y147" i="53"/>
  <c r="Y188" i="53"/>
  <c r="Y230" i="53"/>
  <c r="Y271" i="53"/>
  <c r="Y312" i="53"/>
  <c r="Y148" i="53"/>
  <c r="Y189" i="53"/>
  <c r="Y231" i="53"/>
  <c r="Y272" i="53"/>
  <c r="Y313" i="53"/>
  <c r="Y149" i="53"/>
  <c r="Y190" i="53"/>
  <c r="Y232" i="53"/>
  <c r="Y273" i="53"/>
  <c r="Y314" i="53"/>
  <c r="Y150" i="53"/>
  <c r="Y191" i="53"/>
  <c r="Y233" i="53"/>
  <c r="Y274" i="53"/>
  <c r="X150" i="53"/>
  <c r="X191" i="53"/>
  <c r="X274" i="53"/>
  <c r="Y315" i="53"/>
  <c r="Y339" i="53"/>
  <c r="T12" i="32"/>
  <c r="T29" i="32"/>
  <c r="T85" i="32"/>
  <c r="T86" i="32"/>
  <c r="T87" i="32"/>
  <c r="Z7" i="53"/>
  <c r="P30" i="25"/>
  <c r="P8" i="25"/>
  <c r="Z48" i="53"/>
  <c r="Z89" i="53"/>
  <c r="Z8" i="53"/>
  <c r="Z49" i="53"/>
  <c r="Z90" i="53"/>
  <c r="Z9" i="53"/>
  <c r="Z50" i="53"/>
  <c r="Z91" i="53"/>
  <c r="Z10" i="53"/>
  <c r="Z51" i="53"/>
  <c r="Z92" i="53"/>
  <c r="Z11" i="53"/>
  <c r="Z52" i="53"/>
  <c r="Z93" i="53"/>
  <c r="Z12" i="53"/>
  <c r="Z53" i="53"/>
  <c r="Z94" i="53"/>
  <c r="Z13" i="53"/>
  <c r="Z54" i="53"/>
  <c r="Z95" i="53"/>
  <c r="Z14" i="53"/>
  <c r="Z55" i="53"/>
  <c r="Z96" i="53"/>
  <c r="Z15" i="53"/>
  <c r="Z56" i="53"/>
  <c r="Z97" i="53"/>
  <c r="Z16" i="53"/>
  <c r="Z57" i="53"/>
  <c r="Z98" i="53"/>
  <c r="Z17" i="53"/>
  <c r="Z58" i="53"/>
  <c r="Z99" i="53"/>
  <c r="Z18" i="53"/>
  <c r="Z59" i="53"/>
  <c r="Z100" i="53"/>
  <c r="Z19" i="53"/>
  <c r="Z60" i="53"/>
  <c r="Z101" i="53"/>
  <c r="Z20" i="53"/>
  <c r="Z61" i="53"/>
  <c r="Z102" i="53"/>
  <c r="Z21" i="53"/>
  <c r="Z62" i="53"/>
  <c r="Z103" i="53"/>
  <c r="Z22" i="53"/>
  <c r="Z63" i="53"/>
  <c r="Z104" i="53"/>
  <c r="Z23" i="53"/>
  <c r="Z64" i="53"/>
  <c r="Z105" i="53"/>
  <c r="Z24" i="53"/>
  <c r="Z65" i="53"/>
  <c r="Y24" i="53"/>
  <c r="Y65" i="53"/>
  <c r="Z106" i="53"/>
  <c r="Z129" i="53"/>
  <c r="Z134" i="53"/>
  <c r="Z175" i="53"/>
  <c r="Z215" i="53"/>
  <c r="Z217" i="53"/>
  <c r="Z258" i="53"/>
  <c r="Z299" i="53"/>
  <c r="Z135" i="53"/>
  <c r="Z176" i="53"/>
  <c r="Z218" i="53"/>
  <c r="Z259" i="53"/>
  <c r="Z300" i="53"/>
  <c r="Z136" i="53"/>
  <c r="Z177" i="53"/>
  <c r="Z219" i="53"/>
  <c r="Z260" i="53"/>
  <c r="Z301" i="53"/>
  <c r="Z137" i="53"/>
  <c r="Z178" i="53"/>
  <c r="Z220" i="53"/>
  <c r="Z261" i="53"/>
  <c r="Z302" i="53"/>
  <c r="Z138" i="53"/>
  <c r="Z179" i="53"/>
  <c r="Z221" i="53"/>
  <c r="Z262" i="53"/>
  <c r="Z303" i="53"/>
  <c r="Z139" i="53"/>
  <c r="Z180" i="53"/>
  <c r="Z222" i="53"/>
  <c r="Z263" i="53"/>
  <c r="Z304" i="53"/>
  <c r="Z140" i="53"/>
  <c r="Z181" i="53"/>
  <c r="Z223" i="53"/>
  <c r="Z264" i="53"/>
  <c r="Z305" i="53"/>
  <c r="Z141" i="53"/>
  <c r="Z182" i="53"/>
  <c r="Z224" i="53"/>
  <c r="Z265" i="53"/>
  <c r="Z306" i="53"/>
  <c r="Z142" i="53"/>
  <c r="Z183" i="53"/>
  <c r="Z225" i="53"/>
  <c r="Z266" i="53"/>
  <c r="Z307" i="53"/>
  <c r="Z143" i="53"/>
  <c r="Z184" i="53"/>
  <c r="Z226" i="53"/>
  <c r="Z267" i="53"/>
  <c r="Z308" i="53"/>
  <c r="Z144" i="53"/>
  <c r="Z185" i="53"/>
  <c r="Z227" i="53"/>
  <c r="Z268" i="53"/>
  <c r="Z309" i="53"/>
  <c r="Z145" i="53"/>
  <c r="Z186" i="53"/>
  <c r="Z228" i="53"/>
  <c r="Z269" i="53"/>
  <c r="Z310" i="53"/>
  <c r="Z146" i="53"/>
  <c r="Z187" i="53"/>
  <c r="Z229" i="53"/>
  <c r="Z270" i="53"/>
  <c r="Z311" i="53"/>
  <c r="Z147" i="53"/>
  <c r="Z188" i="53"/>
  <c r="Z230" i="53"/>
  <c r="Z271" i="53"/>
  <c r="Z312" i="53"/>
  <c r="Z148" i="53"/>
  <c r="Z189" i="53"/>
  <c r="Z231" i="53"/>
  <c r="Z272" i="53"/>
  <c r="Z313" i="53"/>
  <c r="Z149" i="53"/>
  <c r="Z190" i="53"/>
  <c r="Z232" i="53"/>
  <c r="Z273" i="53"/>
  <c r="Z314" i="53"/>
  <c r="Z150" i="53"/>
  <c r="Z191" i="53"/>
  <c r="Z233" i="53"/>
  <c r="Z274" i="53"/>
  <c r="Z315" i="53"/>
  <c r="Z151" i="53"/>
  <c r="Z192" i="53"/>
  <c r="Z234" i="53"/>
  <c r="Z275" i="53"/>
  <c r="Y151" i="53"/>
  <c r="Y192" i="53"/>
  <c r="Y275" i="53"/>
  <c r="Z316" i="53"/>
  <c r="Z339" i="53"/>
  <c r="U12" i="32"/>
  <c r="U29" i="32"/>
  <c r="U85" i="32"/>
  <c r="U86" i="32"/>
  <c r="U87" i="32"/>
  <c r="AA7" i="53"/>
  <c r="Q30" i="25"/>
  <c r="Q8" i="25"/>
  <c r="AA48" i="53"/>
  <c r="AA89" i="53"/>
  <c r="AA8" i="53"/>
  <c r="AA49" i="53"/>
  <c r="AA90" i="53"/>
  <c r="AA9" i="53"/>
  <c r="AA50" i="53"/>
  <c r="AA91" i="53"/>
  <c r="AA10" i="53"/>
  <c r="AA51" i="53"/>
  <c r="AA92" i="53"/>
  <c r="AA11" i="53"/>
  <c r="AA52" i="53"/>
  <c r="AA93" i="53"/>
  <c r="AA12" i="53"/>
  <c r="AA53" i="53"/>
  <c r="AA94" i="53"/>
  <c r="AA13" i="53"/>
  <c r="AA54" i="53"/>
  <c r="AA95" i="53"/>
  <c r="AA14" i="53"/>
  <c r="AA55" i="53"/>
  <c r="AA96" i="53"/>
  <c r="AA15" i="53"/>
  <c r="AA56" i="53"/>
  <c r="AA97" i="53"/>
  <c r="AA16" i="53"/>
  <c r="AA57" i="53"/>
  <c r="AA98" i="53"/>
  <c r="AA17" i="53"/>
  <c r="AA58" i="53"/>
  <c r="AA99" i="53"/>
  <c r="AA18" i="53"/>
  <c r="AA59" i="53"/>
  <c r="AA100" i="53"/>
  <c r="AA19" i="53"/>
  <c r="AA60" i="53"/>
  <c r="AA101" i="53"/>
  <c r="AA20" i="53"/>
  <c r="AA61" i="53"/>
  <c r="AA102" i="53"/>
  <c r="AA21" i="53"/>
  <c r="AA62" i="53"/>
  <c r="AA103" i="53"/>
  <c r="AA22" i="53"/>
  <c r="AA63" i="53"/>
  <c r="AA104" i="53"/>
  <c r="AA23" i="53"/>
  <c r="AA64" i="53"/>
  <c r="AA105" i="53"/>
  <c r="AA24" i="53"/>
  <c r="AA65" i="53"/>
  <c r="AA106" i="53"/>
  <c r="AA25" i="53"/>
  <c r="AA66" i="53"/>
  <c r="Z25" i="53"/>
  <c r="Z66" i="53"/>
  <c r="AA107" i="53"/>
  <c r="AA129" i="53"/>
  <c r="AA134" i="53"/>
  <c r="AA175" i="53"/>
  <c r="AA215" i="53"/>
  <c r="AA217" i="53"/>
  <c r="AA258" i="53"/>
  <c r="AA299" i="53"/>
  <c r="AA135" i="53"/>
  <c r="AA176" i="53"/>
  <c r="AA218" i="53"/>
  <c r="AA259" i="53"/>
  <c r="AA300" i="53"/>
  <c r="AA136" i="53"/>
  <c r="AA177" i="53"/>
  <c r="AA219" i="53"/>
  <c r="AA260" i="53"/>
  <c r="AA301" i="53"/>
  <c r="AA137" i="53"/>
  <c r="AA178" i="53"/>
  <c r="AA220" i="53"/>
  <c r="AA261" i="53"/>
  <c r="AA302" i="53"/>
  <c r="AA138" i="53"/>
  <c r="AA179" i="53"/>
  <c r="AA221" i="53"/>
  <c r="AA262" i="53"/>
  <c r="AA303" i="53"/>
  <c r="AA139" i="53"/>
  <c r="AA180" i="53"/>
  <c r="AA222" i="53"/>
  <c r="AA263" i="53"/>
  <c r="AA304" i="53"/>
  <c r="AA140" i="53"/>
  <c r="AA181" i="53"/>
  <c r="AA223" i="53"/>
  <c r="AA264" i="53"/>
  <c r="AA305" i="53"/>
  <c r="AA141" i="53"/>
  <c r="AA182" i="53"/>
  <c r="AA224" i="53"/>
  <c r="AA265" i="53"/>
  <c r="AA306" i="53"/>
  <c r="AA142" i="53"/>
  <c r="AA183" i="53"/>
  <c r="AA225" i="53"/>
  <c r="AA266" i="53"/>
  <c r="AA307" i="53"/>
  <c r="AA143" i="53"/>
  <c r="AA184" i="53"/>
  <c r="AA226" i="53"/>
  <c r="AA267" i="53"/>
  <c r="AA308" i="53"/>
  <c r="AA144" i="53"/>
  <c r="AA185" i="53"/>
  <c r="AA227" i="53"/>
  <c r="AA268" i="53"/>
  <c r="AA309" i="53"/>
  <c r="AA145" i="53"/>
  <c r="AA186" i="53"/>
  <c r="AA228" i="53"/>
  <c r="AA269" i="53"/>
  <c r="AA310" i="53"/>
  <c r="AA146" i="53"/>
  <c r="AA187" i="53"/>
  <c r="AA229" i="53"/>
  <c r="AA270" i="53"/>
  <c r="AA311" i="53"/>
  <c r="AA147" i="53"/>
  <c r="AA188" i="53"/>
  <c r="AA230" i="53"/>
  <c r="AA271" i="53"/>
  <c r="AA312" i="53"/>
  <c r="AA148" i="53"/>
  <c r="AA189" i="53"/>
  <c r="AA231" i="53"/>
  <c r="AA272" i="53"/>
  <c r="AA313" i="53"/>
  <c r="AA149" i="53"/>
  <c r="AA190" i="53"/>
  <c r="AA232" i="53"/>
  <c r="AA273" i="53"/>
  <c r="AA314" i="53"/>
  <c r="AA150" i="53"/>
  <c r="AA191" i="53"/>
  <c r="AA233" i="53"/>
  <c r="AA274" i="53"/>
  <c r="AA315" i="53"/>
  <c r="AA151" i="53"/>
  <c r="AA192" i="53"/>
  <c r="AA234" i="53"/>
  <c r="AA275" i="53"/>
  <c r="AA316" i="53"/>
  <c r="AA152" i="53"/>
  <c r="AA193" i="53"/>
  <c r="AA235" i="53"/>
  <c r="AA276" i="53"/>
  <c r="Z152" i="53"/>
  <c r="Z193" i="53"/>
  <c r="Z276" i="53"/>
  <c r="AA317" i="53"/>
  <c r="AA339" i="53"/>
  <c r="V12" i="32"/>
  <c r="V29" i="32"/>
  <c r="V85" i="32"/>
  <c r="V86" i="32"/>
  <c r="V87" i="32"/>
  <c r="AB7" i="53"/>
  <c r="R30" i="25"/>
  <c r="R8" i="25"/>
  <c r="AB48" i="53"/>
  <c r="AB89" i="53"/>
  <c r="AB8" i="53"/>
  <c r="AB49" i="53"/>
  <c r="AB90" i="53"/>
  <c r="AB9" i="53"/>
  <c r="AB50" i="53"/>
  <c r="AB91" i="53"/>
  <c r="AB10" i="53"/>
  <c r="AB51" i="53"/>
  <c r="AB92" i="53"/>
  <c r="AB11" i="53"/>
  <c r="AB52" i="53"/>
  <c r="AB93" i="53"/>
  <c r="AB12" i="53"/>
  <c r="AB53" i="53"/>
  <c r="AB94" i="53"/>
  <c r="AB13" i="53"/>
  <c r="AB54" i="53"/>
  <c r="AB95" i="53"/>
  <c r="AB14" i="53"/>
  <c r="AB55" i="53"/>
  <c r="AB96" i="53"/>
  <c r="AB15" i="53"/>
  <c r="AB56" i="53"/>
  <c r="AB97" i="53"/>
  <c r="AB16" i="53"/>
  <c r="AB57" i="53"/>
  <c r="AB98" i="53"/>
  <c r="AB17" i="53"/>
  <c r="AB58" i="53"/>
  <c r="AB99" i="53"/>
  <c r="AB18" i="53"/>
  <c r="AB59" i="53"/>
  <c r="AB100" i="53"/>
  <c r="AB19" i="53"/>
  <c r="AB60" i="53"/>
  <c r="AB101" i="53"/>
  <c r="AB20" i="53"/>
  <c r="AB61" i="53"/>
  <c r="AB102" i="53"/>
  <c r="AB21" i="53"/>
  <c r="AB62" i="53"/>
  <c r="AB103" i="53"/>
  <c r="AB22" i="53"/>
  <c r="AB63" i="53"/>
  <c r="AB104" i="53"/>
  <c r="AB23" i="53"/>
  <c r="AB64" i="53"/>
  <c r="AB105" i="53"/>
  <c r="AB24" i="53"/>
  <c r="AB65" i="53"/>
  <c r="AB106" i="53"/>
  <c r="AB25" i="53"/>
  <c r="AB66" i="53"/>
  <c r="AB107" i="53"/>
  <c r="AB26" i="53"/>
  <c r="AB67" i="53"/>
  <c r="AA26" i="53"/>
  <c r="AA67" i="53"/>
  <c r="AB108" i="53"/>
  <c r="AB129" i="53"/>
  <c r="AB134" i="53"/>
  <c r="AB175" i="53"/>
  <c r="AB215" i="53"/>
  <c r="AB217" i="53"/>
  <c r="AB258" i="53"/>
  <c r="AB299" i="53"/>
  <c r="AB135" i="53"/>
  <c r="AB176" i="53"/>
  <c r="AB218" i="53"/>
  <c r="AB259" i="53"/>
  <c r="AB300" i="53"/>
  <c r="AB136" i="53"/>
  <c r="AB177" i="53"/>
  <c r="AB219" i="53"/>
  <c r="AB260" i="53"/>
  <c r="AB301" i="53"/>
  <c r="AB137" i="53"/>
  <c r="AB178" i="53"/>
  <c r="AB220" i="53"/>
  <c r="AB261" i="53"/>
  <c r="AB302" i="53"/>
  <c r="AB138" i="53"/>
  <c r="AB179" i="53"/>
  <c r="AB221" i="53"/>
  <c r="AB262" i="53"/>
  <c r="AB303" i="53"/>
  <c r="AB139" i="53"/>
  <c r="AB180" i="53"/>
  <c r="AB222" i="53"/>
  <c r="AB263" i="53"/>
  <c r="AB304" i="53"/>
  <c r="AB140" i="53"/>
  <c r="AB181" i="53"/>
  <c r="AB223" i="53"/>
  <c r="AB264" i="53"/>
  <c r="AB305" i="53"/>
  <c r="AB141" i="53"/>
  <c r="AB182" i="53"/>
  <c r="AB224" i="53"/>
  <c r="AB265" i="53"/>
  <c r="AB306" i="53"/>
  <c r="AB142" i="53"/>
  <c r="AB183" i="53"/>
  <c r="AB225" i="53"/>
  <c r="AB266" i="53"/>
  <c r="AB307" i="53"/>
  <c r="AB143" i="53"/>
  <c r="AB184" i="53"/>
  <c r="AB226" i="53"/>
  <c r="AB267" i="53"/>
  <c r="AB308" i="53"/>
  <c r="AB144" i="53"/>
  <c r="AB185" i="53"/>
  <c r="AB227" i="53"/>
  <c r="AB268" i="53"/>
  <c r="AB309" i="53"/>
  <c r="AB145" i="53"/>
  <c r="AB186" i="53"/>
  <c r="AB228" i="53"/>
  <c r="AB269" i="53"/>
  <c r="AB310" i="53"/>
  <c r="AB146" i="53"/>
  <c r="AB187" i="53"/>
  <c r="AB229" i="53"/>
  <c r="AB270" i="53"/>
  <c r="AB311" i="53"/>
  <c r="AB147" i="53"/>
  <c r="AB188" i="53"/>
  <c r="AB230" i="53"/>
  <c r="AB271" i="53"/>
  <c r="AB312" i="53"/>
  <c r="AB148" i="53"/>
  <c r="AB189" i="53"/>
  <c r="AB231" i="53"/>
  <c r="AB272" i="53"/>
  <c r="AB313" i="53"/>
  <c r="AB149" i="53"/>
  <c r="AB190" i="53"/>
  <c r="AB232" i="53"/>
  <c r="AB273" i="53"/>
  <c r="AB314" i="53"/>
  <c r="AB150" i="53"/>
  <c r="AB191" i="53"/>
  <c r="AB233" i="53"/>
  <c r="AB274" i="53"/>
  <c r="AB315" i="53"/>
  <c r="AB151" i="53"/>
  <c r="AB192" i="53"/>
  <c r="AB234" i="53"/>
  <c r="AB275" i="53"/>
  <c r="AB316" i="53"/>
  <c r="AB152" i="53"/>
  <c r="AB193" i="53"/>
  <c r="AB235" i="53"/>
  <c r="AB276" i="53"/>
  <c r="AB317" i="53"/>
  <c r="AB153" i="53"/>
  <c r="AB194" i="53"/>
  <c r="AB236" i="53"/>
  <c r="AB277" i="53"/>
  <c r="AA153" i="53"/>
  <c r="AA194" i="53"/>
  <c r="AA277" i="53"/>
  <c r="AB318" i="53"/>
  <c r="AB339" i="53"/>
  <c r="W12" i="32"/>
  <c r="W29" i="32"/>
  <c r="W85" i="32"/>
  <c r="W86" i="32"/>
  <c r="W87" i="32"/>
  <c r="AC7" i="53"/>
  <c r="S30" i="25"/>
  <c r="S8" i="25"/>
  <c r="AC48" i="53"/>
  <c r="AC89" i="53"/>
  <c r="AC8" i="53"/>
  <c r="AC49" i="53"/>
  <c r="AC90" i="53"/>
  <c r="AC9" i="53"/>
  <c r="AC50" i="53"/>
  <c r="AC91" i="53"/>
  <c r="AC10" i="53"/>
  <c r="AC51" i="53"/>
  <c r="AC92" i="53"/>
  <c r="AC11" i="53"/>
  <c r="AC52" i="53"/>
  <c r="AC93" i="53"/>
  <c r="AC12" i="53"/>
  <c r="AC53" i="53"/>
  <c r="AC94" i="53"/>
  <c r="AC13" i="53"/>
  <c r="AC54" i="53"/>
  <c r="AC95" i="53"/>
  <c r="AC14" i="53"/>
  <c r="AC55" i="53"/>
  <c r="AC96" i="53"/>
  <c r="AC15" i="53"/>
  <c r="AC56" i="53"/>
  <c r="AC97" i="53"/>
  <c r="AC16" i="53"/>
  <c r="AC57" i="53"/>
  <c r="AC98" i="53"/>
  <c r="AC17" i="53"/>
  <c r="AC58" i="53"/>
  <c r="AC99" i="53"/>
  <c r="AC18" i="53"/>
  <c r="AC59" i="53"/>
  <c r="AC100" i="53"/>
  <c r="AC19" i="53"/>
  <c r="AC60" i="53"/>
  <c r="AC101" i="53"/>
  <c r="AC20" i="53"/>
  <c r="AC61" i="53"/>
  <c r="AC102" i="53"/>
  <c r="AC21" i="53"/>
  <c r="AC62" i="53"/>
  <c r="AC103" i="53"/>
  <c r="AC22" i="53"/>
  <c r="AC63" i="53"/>
  <c r="AC104" i="53"/>
  <c r="AC23" i="53"/>
  <c r="AC64" i="53"/>
  <c r="AC105" i="53"/>
  <c r="AC24" i="53"/>
  <c r="AC65" i="53"/>
  <c r="AC106" i="53"/>
  <c r="AC25" i="53"/>
  <c r="AC66" i="53"/>
  <c r="AC107" i="53"/>
  <c r="AC26" i="53"/>
  <c r="AC67" i="53"/>
  <c r="AC108" i="53"/>
  <c r="AC27" i="53"/>
  <c r="AC68" i="53"/>
  <c r="AB27" i="53"/>
  <c r="AB68" i="53"/>
  <c r="AC109" i="53"/>
  <c r="AC129" i="53"/>
  <c r="AC134" i="53"/>
  <c r="AC175" i="53"/>
  <c r="AC215" i="53"/>
  <c r="AC217" i="53"/>
  <c r="AC258" i="53"/>
  <c r="AC299" i="53"/>
  <c r="AC135" i="53"/>
  <c r="AC176" i="53"/>
  <c r="AC218" i="53"/>
  <c r="AC259" i="53"/>
  <c r="AC300" i="53"/>
  <c r="AC136" i="53"/>
  <c r="AC177" i="53"/>
  <c r="AC219" i="53"/>
  <c r="AC260" i="53"/>
  <c r="AC301" i="53"/>
  <c r="AC137" i="53"/>
  <c r="AC178" i="53"/>
  <c r="AC220" i="53"/>
  <c r="AC261" i="53"/>
  <c r="AC302" i="53"/>
  <c r="AC138" i="53"/>
  <c r="AC179" i="53"/>
  <c r="AC221" i="53"/>
  <c r="AC262" i="53"/>
  <c r="AC303" i="53"/>
  <c r="AC139" i="53"/>
  <c r="AC180" i="53"/>
  <c r="AC222" i="53"/>
  <c r="AC263" i="53"/>
  <c r="AC304" i="53"/>
  <c r="AC140" i="53"/>
  <c r="AC181" i="53"/>
  <c r="AC223" i="53"/>
  <c r="AC264" i="53"/>
  <c r="AC305" i="53"/>
  <c r="AC141" i="53"/>
  <c r="AC182" i="53"/>
  <c r="AC224" i="53"/>
  <c r="AC265" i="53"/>
  <c r="AC306" i="53"/>
  <c r="AC142" i="53"/>
  <c r="AC183" i="53"/>
  <c r="AC225" i="53"/>
  <c r="AC266" i="53"/>
  <c r="AC307" i="53"/>
  <c r="AC143" i="53"/>
  <c r="AC184" i="53"/>
  <c r="AC226" i="53"/>
  <c r="AC267" i="53"/>
  <c r="AC308" i="53"/>
  <c r="AC144" i="53"/>
  <c r="AC185" i="53"/>
  <c r="AC227" i="53"/>
  <c r="AC268" i="53"/>
  <c r="AC309" i="53"/>
  <c r="AC145" i="53"/>
  <c r="AC186" i="53"/>
  <c r="AC228" i="53"/>
  <c r="AC269" i="53"/>
  <c r="AC310" i="53"/>
  <c r="AC146" i="53"/>
  <c r="AC187" i="53"/>
  <c r="AC229" i="53"/>
  <c r="AC270" i="53"/>
  <c r="AC311" i="53"/>
  <c r="AC147" i="53"/>
  <c r="AC188" i="53"/>
  <c r="AC230" i="53"/>
  <c r="AC271" i="53"/>
  <c r="AC312" i="53"/>
  <c r="AC148" i="53"/>
  <c r="AC189" i="53"/>
  <c r="AC231" i="53"/>
  <c r="AC272" i="53"/>
  <c r="AC313" i="53"/>
  <c r="AC149" i="53"/>
  <c r="AC190" i="53"/>
  <c r="AC232" i="53"/>
  <c r="AC273" i="53"/>
  <c r="AC314" i="53"/>
  <c r="AC150" i="53"/>
  <c r="AC191" i="53"/>
  <c r="AC233" i="53"/>
  <c r="AC274" i="53"/>
  <c r="AC315" i="53"/>
  <c r="AC151" i="53"/>
  <c r="AC192" i="53"/>
  <c r="AC234" i="53"/>
  <c r="AC275" i="53"/>
  <c r="AC316" i="53"/>
  <c r="AC152" i="53"/>
  <c r="AC193" i="53"/>
  <c r="AC235" i="53"/>
  <c r="AC276" i="53"/>
  <c r="AC317" i="53"/>
  <c r="AC153" i="53"/>
  <c r="AC194" i="53"/>
  <c r="AC236" i="53"/>
  <c r="AC277" i="53"/>
  <c r="AC318" i="53"/>
  <c r="AC154" i="53"/>
  <c r="AC195" i="53"/>
  <c r="AC237" i="53"/>
  <c r="AC278" i="53"/>
  <c r="AB154" i="53"/>
  <c r="AB195" i="53"/>
  <c r="AB278" i="53"/>
  <c r="AC319" i="53"/>
  <c r="AC339" i="53"/>
  <c r="X12" i="32"/>
  <c r="X29" i="32"/>
  <c r="X85" i="32"/>
  <c r="X86" i="32"/>
  <c r="X87" i="32"/>
  <c r="AD7" i="53"/>
  <c r="T30" i="25"/>
  <c r="T8" i="25"/>
  <c r="AD48" i="53"/>
  <c r="AD89" i="53"/>
  <c r="AD8" i="53"/>
  <c r="AD49" i="53"/>
  <c r="AD90" i="53"/>
  <c r="AD9" i="53"/>
  <c r="AD50" i="53"/>
  <c r="AD91" i="53"/>
  <c r="AD10" i="53"/>
  <c r="AD51" i="53"/>
  <c r="AD92" i="53"/>
  <c r="AD11" i="53"/>
  <c r="AD52" i="53"/>
  <c r="AD93" i="53"/>
  <c r="AD12" i="53"/>
  <c r="AD53" i="53"/>
  <c r="AD94" i="53"/>
  <c r="AD13" i="53"/>
  <c r="AD54" i="53"/>
  <c r="AD95" i="53"/>
  <c r="AD14" i="53"/>
  <c r="AD55" i="53"/>
  <c r="AD96" i="53"/>
  <c r="AD15" i="53"/>
  <c r="AD56" i="53"/>
  <c r="AD97" i="53"/>
  <c r="AD16" i="53"/>
  <c r="AD57" i="53"/>
  <c r="AD98" i="53"/>
  <c r="AD17" i="53"/>
  <c r="AD58" i="53"/>
  <c r="AD99" i="53"/>
  <c r="AD18" i="53"/>
  <c r="AD59" i="53"/>
  <c r="AD100" i="53"/>
  <c r="AD19" i="53"/>
  <c r="AD60" i="53"/>
  <c r="AD101" i="53"/>
  <c r="AD20" i="53"/>
  <c r="AD61" i="53"/>
  <c r="AD102" i="53"/>
  <c r="AD21" i="53"/>
  <c r="AD62" i="53"/>
  <c r="AD103" i="53"/>
  <c r="AD22" i="53"/>
  <c r="AD63" i="53"/>
  <c r="AD104" i="53"/>
  <c r="AD23" i="53"/>
  <c r="AD64" i="53"/>
  <c r="AD105" i="53"/>
  <c r="AD24" i="53"/>
  <c r="AD65" i="53"/>
  <c r="AD106" i="53"/>
  <c r="AD25" i="53"/>
  <c r="AD66" i="53"/>
  <c r="AD107" i="53"/>
  <c r="AD26" i="53"/>
  <c r="AD67" i="53"/>
  <c r="AD108" i="53"/>
  <c r="AD27" i="53"/>
  <c r="AD68" i="53"/>
  <c r="AD109" i="53"/>
  <c r="AD28" i="53"/>
  <c r="AD69" i="53"/>
  <c r="AC28" i="53"/>
  <c r="AC69" i="53"/>
  <c r="AD110" i="53"/>
  <c r="AD129" i="53"/>
  <c r="AD134" i="53"/>
  <c r="AD175" i="53"/>
  <c r="AD215" i="53"/>
  <c r="AD217" i="53"/>
  <c r="AD258" i="53"/>
  <c r="AD299" i="53"/>
  <c r="AD135" i="53"/>
  <c r="AD176" i="53"/>
  <c r="AD218" i="53"/>
  <c r="AD259" i="53"/>
  <c r="AD300" i="53"/>
  <c r="AD136" i="53"/>
  <c r="AD177" i="53"/>
  <c r="AD219" i="53"/>
  <c r="AD260" i="53"/>
  <c r="AD301" i="53"/>
  <c r="AD137" i="53"/>
  <c r="AD178" i="53"/>
  <c r="AD220" i="53"/>
  <c r="AD261" i="53"/>
  <c r="AD302" i="53"/>
  <c r="AD138" i="53"/>
  <c r="AD179" i="53"/>
  <c r="AD221" i="53"/>
  <c r="AD262" i="53"/>
  <c r="AD303" i="53"/>
  <c r="AD139" i="53"/>
  <c r="AD180" i="53"/>
  <c r="AD222" i="53"/>
  <c r="AD263" i="53"/>
  <c r="AD304" i="53"/>
  <c r="AD140" i="53"/>
  <c r="AD181" i="53"/>
  <c r="AD223" i="53"/>
  <c r="AD264" i="53"/>
  <c r="AD305" i="53"/>
  <c r="AD141" i="53"/>
  <c r="AD182" i="53"/>
  <c r="AD224" i="53"/>
  <c r="AD265" i="53"/>
  <c r="AD306" i="53"/>
  <c r="AD142" i="53"/>
  <c r="AD183" i="53"/>
  <c r="AD225" i="53"/>
  <c r="AD266" i="53"/>
  <c r="AD307" i="53"/>
  <c r="AD143" i="53"/>
  <c r="AD184" i="53"/>
  <c r="AD226" i="53"/>
  <c r="AD267" i="53"/>
  <c r="AD308" i="53"/>
  <c r="AD144" i="53"/>
  <c r="AD185" i="53"/>
  <c r="AD227" i="53"/>
  <c r="AD268" i="53"/>
  <c r="AD309" i="53"/>
  <c r="AD145" i="53"/>
  <c r="AD186" i="53"/>
  <c r="AD228" i="53"/>
  <c r="AD269" i="53"/>
  <c r="AD310" i="53"/>
  <c r="AD146" i="53"/>
  <c r="AD187" i="53"/>
  <c r="AD229" i="53"/>
  <c r="AD270" i="53"/>
  <c r="AD311" i="53"/>
  <c r="AD147" i="53"/>
  <c r="AD188" i="53"/>
  <c r="AD230" i="53"/>
  <c r="AD271" i="53"/>
  <c r="AD312" i="53"/>
  <c r="AD148" i="53"/>
  <c r="AD189" i="53"/>
  <c r="AD231" i="53"/>
  <c r="AD272" i="53"/>
  <c r="AD313" i="53"/>
  <c r="AD149" i="53"/>
  <c r="AD190" i="53"/>
  <c r="AD232" i="53"/>
  <c r="AD273" i="53"/>
  <c r="AD314" i="53"/>
  <c r="AD150" i="53"/>
  <c r="AD191" i="53"/>
  <c r="AD233" i="53"/>
  <c r="AD274" i="53"/>
  <c r="AD315" i="53"/>
  <c r="AD151" i="53"/>
  <c r="AD192" i="53"/>
  <c r="AD234" i="53"/>
  <c r="AD275" i="53"/>
  <c r="AD316" i="53"/>
  <c r="AD152" i="53"/>
  <c r="AD193" i="53"/>
  <c r="AD235" i="53"/>
  <c r="AD276" i="53"/>
  <c r="AD317" i="53"/>
  <c r="AD153" i="53"/>
  <c r="AD194" i="53"/>
  <c r="AD236" i="53"/>
  <c r="AD277" i="53"/>
  <c r="AD318" i="53"/>
  <c r="AD154" i="53"/>
  <c r="AD195" i="53"/>
  <c r="AD237" i="53"/>
  <c r="AD278" i="53"/>
  <c r="AD319" i="53"/>
  <c r="AD155" i="53"/>
  <c r="AD196" i="53"/>
  <c r="AD238" i="53"/>
  <c r="AD279" i="53"/>
  <c r="AC155" i="53"/>
  <c r="AC196" i="53"/>
  <c r="AC279" i="53"/>
  <c r="AD320" i="53"/>
  <c r="AD339" i="53"/>
  <c r="Y12" i="32"/>
  <c r="Y29" i="32"/>
  <c r="Y85" i="32"/>
  <c r="Y86" i="32"/>
  <c r="Y87" i="32"/>
  <c r="AE7" i="53"/>
  <c r="U30" i="25"/>
  <c r="U8" i="25"/>
  <c r="AE48" i="53"/>
  <c r="AE89" i="53"/>
  <c r="AE8" i="53"/>
  <c r="AE49" i="53"/>
  <c r="AE90" i="53"/>
  <c r="AE9" i="53"/>
  <c r="AE50" i="53"/>
  <c r="AE91" i="53"/>
  <c r="AE10" i="53"/>
  <c r="AE51" i="53"/>
  <c r="AE92" i="53"/>
  <c r="AE11" i="53"/>
  <c r="AE52" i="53"/>
  <c r="AE93" i="53"/>
  <c r="AE12" i="53"/>
  <c r="AE53" i="53"/>
  <c r="AE94" i="53"/>
  <c r="AE13" i="53"/>
  <c r="AE54" i="53"/>
  <c r="AE95" i="53"/>
  <c r="AE14" i="53"/>
  <c r="AE55" i="53"/>
  <c r="AE96" i="53"/>
  <c r="AE15" i="53"/>
  <c r="AE56" i="53"/>
  <c r="AE97" i="53"/>
  <c r="AE16" i="53"/>
  <c r="AE57" i="53"/>
  <c r="AE98" i="53"/>
  <c r="AE17" i="53"/>
  <c r="AE58" i="53"/>
  <c r="AE99" i="53"/>
  <c r="AE18" i="53"/>
  <c r="AE59" i="53"/>
  <c r="AE100" i="53"/>
  <c r="AE19" i="53"/>
  <c r="AE60" i="53"/>
  <c r="AE101" i="53"/>
  <c r="AE20" i="53"/>
  <c r="AE61" i="53"/>
  <c r="AE102" i="53"/>
  <c r="AE21" i="53"/>
  <c r="AE62" i="53"/>
  <c r="AE103" i="53"/>
  <c r="AE22" i="53"/>
  <c r="AE63" i="53"/>
  <c r="AE104" i="53"/>
  <c r="AE23" i="53"/>
  <c r="AE64" i="53"/>
  <c r="AE105" i="53"/>
  <c r="AE24" i="53"/>
  <c r="AE65" i="53"/>
  <c r="AE106" i="53"/>
  <c r="AE25" i="53"/>
  <c r="AE66" i="53"/>
  <c r="AE107" i="53"/>
  <c r="AE26" i="53"/>
  <c r="AE67" i="53"/>
  <c r="AE108" i="53"/>
  <c r="AE27" i="53"/>
  <c r="AE68" i="53"/>
  <c r="AE109" i="53"/>
  <c r="AE28" i="53"/>
  <c r="AE69" i="53"/>
  <c r="AE110" i="53"/>
  <c r="AE29" i="53"/>
  <c r="AE70" i="53"/>
  <c r="AD29" i="53"/>
  <c r="AD70" i="53"/>
  <c r="AE111" i="53"/>
  <c r="AE129" i="53"/>
  <c r="AE134" i="53"/>
  <c r="AE175" i="53"/>
  <c r="AE215" i="53"/>
  <c r="AE217" i="53"/>
  <c r="AE258" i="53"/>
  <c r="AE299" i="53"/>
  <c r="AE135" i="53"/>
  <c r="AE176" i="53"/>
  <c r="AE218" i="53"/>
  <c r="AE259" i="53"/>
  <c r="AE300" i="53"/>
  <c r="AE136" i="53"/>
  <c r="AE177" i="53"/>
  <c r="AE219" i="53"/>
  <c r="AE260" i="53"/>
  <c r="AE301" i="53"/>
  <c r="AE137" i="53"/>
  <c r="AE178" i="53"/>
  <c r="AE220" i="53"/>
  <c r="AE261" i="53"/>
  <c r="AE302" i="53"/>
  <c r="AE138" i="53"/>
  <c r="AE179" i="53"/>
  <c r="AE221" i="53"/>
  <c r="AE262" i="53"/>
  <c r="AE303" i="53"/>
  <c r="AE139" i="53"/>
  <c r="AE180" i="53"/>
  <c r="AE222" i="53"/>
  <c r="AE263" i="53"/>
  <c r="AE304" i="53"/>
  <c r="AE140" i="53"/>
  <c r="AE181" i="53"/>
  <c r="AE223" i="53"/>
  <c r="AE264" i="53"/>
  <c r="AE305" i="53"/>
  <c r="AE141" i="53"/>
  <c r="AE182" i="53"/>
  <c r="AE224" i="53"/>
  <c r="AE265" i="53"/>
  <c r="AE306" i="53"/>
  <c r="AE142" i="53"/>
  <c r="AE183" i="53"/>
  <c r="AE225" i="53"/>
  <c r="AE266" i="53"/>
  <c r="AE307" i="53"/>
  <c r="AE143" i="53"/>
  <c r="AE184" i="53"/>
  <c r="AE226" i="53"/>
  <c r="AE267" i="53"/>
  <c r="AE308" i="53"/>
  <c r="AE144" i="53"/>
  <c r="AE185" i="53"/>
  <c r="AE227" i="53"/>
  <c r="AE268" i="53"/>
  <c r="AE309" i="53"/>
  <c r="AE145" i="53"/>
  <c r="AE186" i="53"/>
  <c r="AE228" i="53"/>
  <c r="AE269" i="53"/>
  <c r="AE310" i="53"/>
  <c r="AE146" i="53"/>
  <c r="AE187" i="53"/>
  <c r="AE229" i="53"/>
  <c r="AE270" i="53"/>
  <c r="AE311" i="53"/>
  <c r="AE147" i="53"/>
  <c r="AE188" i="53"/>
  <c r="AE230" i="53"/>
  <c r="AE271" i="53"/>
  <c r="AE312" i="53"/>
  <c r="AE148" i="53"/>
  <c r="AE189" i="53"/>
  <c r="AE231" i="53"/>
  <c r="AE272" i="53"/>
  <c r="AE313" i="53"/>
  <c r="AE149" i="53"/>
  <c r="AE190" i="53"/>
  <c r="AE232" i="53"/>
  <c r="AE273" i="53"/>
  <c r="AE314" i="53"/>
  <c r="AE150" i="53"/>
  <c r="AE191" i="53"/>
  <c r="AE233" i="53"/>
  <c r="AE274" i="53"/>
  <c r="AE315" i="53"/>
  <c r="AE151" i="53"/>
  <c r="AE192" i="53"/>
  <c r="AE234" i="53"/>
  <c r="AE275" i="53"/>
  <c r="AE316" i="53"/>
  <c r="AE152" i="53"/>
  <c r="AE193" i="53"/>
  <c r="AE235" i="53"/>
  <c r="AE276" i="53"/>
  <c r="AE317" i="53"/>
  <c r="AE153" i="53"/>
  <c r="AE194" i="53"/>
  <c r="AE236" i="53"/>
  <c r="AE277" i="53"/>
  <c r="AE318" i="53"/>
  <c r="AE154" i="53"/>
  <c r="AE195" i="53"/>
  <c r="AE237" i="53"/>
  <c r="AE278" i="53"/>
  <c r="AE319" i="53"/>
  <c r="AE155" i="53"/>
  <c r="AE196" i="53"/>
  <c r="AE238" i="53"/>
  <c r="AE279" i="53"/>
  <c r="AE320" i="53"/>
  <c r="AE156" i="53"/>
  <c r="AE197" i="53"/>
  <c r="AE239" i="53"/>
  <c r="AE280" i="53"/>
  <c r="AD156" i="53"/>
  <c r="AD197" i="53"/>
  <c r="AD280" i="53"/>
  <c r="AE321" i="53"/>
  <c r="AE339" i="53"/>
  <c r="Z12" i="32"/>
  <c r="Z29" i="32"/>
  <c r="Z85" i="32"/>
  <c r="Z86" i="32"/>
  <c r="Z87" i="32"/>
  <c r="AF7" i="53"/>
  <c r="V30" i="25"/>
  <c r="V8" i="25"/>
  <c r="AF48" i="53"/>
  <c r="AF89" i="53"/>
  <c r="AF8" i="53"/>
  <c r="AF49" i="53"/>
  <c r="AF90" i="53"/>
  <c r="AF9" i="53"/>
  <c r="AF50" i="53"/>
  <c r="AF91" i="53"/>
  <c r="AF10" i="53"/>
  <c r="AF51" i="53"/>
  <c r="AF92" i="53"/>
  <c r="AF11" i="53"/>
  <c r="AF52" i="53"/>
  <c r="AF93" i="53"/>
  <c r="AF12" i="53"/>
  <c r="AF53" i="53"/>
  <c r="AF94" i="53"/>
  <c r="AF13" i="53"/>
  <c r="AF54" i="53"/>
  <c r="AF95" i="53"/>
  <c r="AF14" i="53"/>
  <c r="AF55" i="53"/>
  <c r="AF96" i="53"/>
  <c r="AF15" i="53"/>
  <c r="AF56" i="53"/>
  <c r="AF97" i="53"/>
  <c r="AF16" i="53"/>
  <c r="AF57" i="53"/>
  <c r="AF98" i="53"/>
  <c r="AF17" i="53"/>
  <c r="AF58" i="53"/>
  <c r="AF99" i="53"/>
  <c r="AF18" i="53"/>
  <c r="AF59" i="53"/>
  <c r="AF100" i="53"/>
  <c r="AF19" i="53"/>
  <c r="AF60" i="53"/>
  <c r="AF101" i="53"/>
  <c r="AF20" i="53"/>
  <c r="AF61" i="53"/>
  <c r="AF102" i="53"/>
  <c r="AF21" i="53"/>
  <c r="AF62" i="53"/>
  <c r="AF103" i="53"/>
  <c r="AF22" i="53"/>
  <c r="AF63" i="53"/>
  <c r="AF104" i="53"/>
  <c r="AF23" i="53"/>
  <c r="AF64" i="53"/>
  <c r="AF105" i="53"/>
  <c r="AF24" i="53"/>
  <c r="AF65" i="53"/>
  <c r="AF106" i="53"/>
  <c r="AF25" i="53"/>
  <c r="AF66" i="53"/>
  <c r="AF107" i="53"/>
  <c r="AF26" i="53"/>
  <c r="AF67" i="53"/>
  <c r="AF108" i="53"/>
  <c r="AF27" i="53"/>
  <c r="AF68" i="53"/>
  <c r="AF109" i="53"/>
  <c r="AF28" i="53"/>
  <c r="AF69" i="53"/>
  <c r="AF110" i="53"/>
  <c r="AF29" i="53"/>
  <c r="AF70" i="53"/>
  <c r="AF111" i="53"/>
  <c r="AF30" i="53"/>
  <c r="AF71" i="53"/>
  <c r="AE30" i="53"/>
  <c r="AE71" i="53"/>
  <c r="AF112" i="53"/>
  <c r="AF129" i="53"/>
  <c r="AF134" i="53"/>
  <c r="AF175" i="53"/>
  <c r="AF215" i="53"/>
  <c r="AF217" i="53"/>
  <c r="AF258" i="53"/>
  <c r="AF299" i="53"/>
  <c r="AF135" i="53"/>
  <c r="AF176" i="53"/>
  <c r="AF218" i="53"/>
  <c r="AF259" i="53"/>
  <c r="AF300" i="53"/>
  <c r="AF136" i="53"/>
  <c r="AF177" i="53"/>
  <c r="AF219" i="53"/>
  <c r="AF260" i="53"/>
  <c r="AF301" i="53"/>
  <c r="AF137" i="53"/>
  <c r="AF178" i="53"/>
  <c r="AF220" i="53"/>
  <c r="AF261" i="53"/>
  <c r="AF302" i="53"/>
  <c r="AF138" i="53"/>
  <c r="AF179" i="53"/>
  <c r="AF221" i="53"/>
  <c r="AF262" i="53"/>
  <c r="AF303" i="53"/>
  <c r="AF139" i="53"/>
  <c r="AF180" i="53"/>
  <c r="AF222" i="53"/>
  <c r="AF263" i="53"/>
  <c r="AF304" i="53"/>
  <c r="AF140" i="53"/>
  <c r="AF181" i="53"/>
  <c r="AF223" i="53"/>
  <c r="AF264" i="53"/>
  <c r="AF305" i="53"/>
  <c r="AF141" i="53"/>
  <c r="AF182" i="53"/>
  <c r="AF224" i="53"/>
  <c r="AF265" i="53"/>
  <c r="AF306" i="53"/>
  <c r="AF142" i="53"/>
  <c r="AF183" i="53"/>
  <c r="AF225" i="53"/>
  <c r="AF266" i="53"/>
  <c r="AF307" i="53"/>
  <c r="AF143" i="53"/>
  <c r="AF184" i="53"/>
  <c r="AF226" i="53"/>
  <c r="AF267" i="53"/>
  <c r="AF308" i="53"/>
  <c r="AF144" i="53"/>
  <c r="AF185" i="53"/>
  <c r="AF227" i="53"/>
  <c r="AF268" i="53"/>
  <c r="AF309" i="53"/>
  <c r="AF145" i="53"/>
  <c r="AF186" i="53"/>
  <c r="AF228" i="53"/>
  <c r="AF269" i="53"/>
  <c r="AF310" i="53"/>
  <c r="AF146" i="53"/>
  <c r="AF187" i="53"/>
  <c r="AF229" i="53"/>
  <c r="AF270" i="53"/>
  <c r="AF311" i="53"/>
  <c r="AF147" i="53"/>
  <c r="AF188" i="53"/>
  <c r="AF230" i="53"/>
  <c r="AF271" i="53"/>
  <c r="AF312" i="53"/>
  <c r="AF148" i="53"/>
  <c r="AF189" i="53"/>
  <c r="AF231" i="53"/>
  <c r="AF272" i="53"/>
  <c r="AF313" i="53"/>
  <c r="AF149" i="53"/>
  <c r="AF190" i="53"/>
  <c r="AF232" i="53"/>
  <c r="AF273" i="53"/>
  <c r="AF314" i="53"/>
  <c r="AF150" i="53"/>
  <c r="AF191" i="53"/>
  <c r="AF233" i="53"/>
  <c r="AF274" i="53"/>
  <c r="AF315" i="53"/>
  <c r="AF151" i="53"/>
  <c r="AF192" i="53"/>
  <c r="AF234" i="53"/>
  <c r="AF275" i="53"/>
  <c r="AF316" i="53"/>
  <c r="AF152" i="53"/>
  <c r="AF193" i="53"/>
  <c r="AF235" i="53"/>
  <c r="AF276" i="53"/>
  <c r="AF317" i="53"/>
  <c r="AF153" i="53"/>
  <c r="AF194" i="53"/>
  <c r="AF236" i="53"/>
  <c r="AF277" i="53"/>
  <c r="AF318" i="53"/>
  <c r="AF154" i="53"/>
  <c r="AF195" i="53"/>
  <c r="AF237" i="53"/>
  <c r="AF278" i="53"/>
  <c r="AF319" i="53"/>
  <c r="AF155" i="53"/>
  <c r="AF196" i="53"/>
  <c r="AF238" i="53"/>
  <c r="AF279" i="53"/>
  <c r="AF320" i="53"/>
  <c r="AF156" i="53"/>
  <c r="AF197" i="53"/>
  <c r="AF239" i="53"/>
  <c r="AF280" i="53"/>
  <c r="AF321" i="53"/>
  <c r="AF157" i="53"/>
  <c r="AF198" i="53"/>
  <c r="AF240" i="53"/>
  <c r="AF281" i="53"/>
  <c r="AE157" i="53"/>
  <c r="AE198" i="53"/>
  <c r="AE281" i="53"/>
  <c r="AF322" i="53"/>
  <c r="AF339" i="53"/>
  <c r="AA12" i="32"/>
  <c r="AA29" i="32"/>
  <c r="AA85" i="32"/>
  <c r="AA86" i="32"/>
  <c r="AA87" i="32"/>
  <c r="AG7" i="53"/>
  <c r="AG48" i="53"/>
  <c r="AG89" i="53"/>
  <c r="AG8" i="53"/>
  <c r="AG49" i="53"/>
  <c r="AG90" i="53"/>
  <c r="AG9" i="53"/>
  <c r="AG50" i="53"/>
  <c r="AG91" i="53"/>
  <c r="AG10" i="53"/>
  <c r="AG51" i="53"/>
  <c r="AG92" i="53"/>
  <c r="AG11" i="53"/>
  <c r="AG52" i="53"/>
  <c r="AG93" i="53"/>
  <c r="AG12" i="53"/>
  <c r="AG53" i="53"/>
  <c r="AG94" i="53"/>
  <c r="AG13" i="53"/>
  <c r="AG54" i="53"/>
  <c r="AG95" i="53"/>
  <c r="AG14" i="53"/>
  <c r="AG55" i="53"/>
  <c r="AG96" i="53"/>
  <c r="AG15" i="53"/>
  <c r="AG56" i="53"/>
  <c r="AG97" i="53"/>
  <c r="AG16" i="53"/>
  <c r="AG57" i="53"/>
  <c r="AG98" i="53"/>
  <c r="AG17" i="53"/>
  <c r="AG58" i="53"/>
  <c r="AG99" i="53"/>
  <c r="AG18" i="53"/>
  <c r="AG59" i="53"/>
  <c r="AG100" i="53"/>
  <c r="AG19" i="53"/>
  <c r="AG60" i="53"/>
  <c r="AG101" i="53"/>
  <c r="AG20" i="53"/>
  <c r="AG61" i="53"/>
  <c r="AG102" i="53"/>
  <c r="AG21" i="53"/>
  <c r="AG62" i="53"/>
  <c r="AG103" i="53"/>
  <c r="AG22" i="53"/>
  <c r="AG63" i="53"/>
  <c r="AG104" i="53"/>
  <c r="AG23" i="53"/>
  <c r="AG64" i="53"/>
  <c r="AG105" i="53"/>
  <c r="AG24" i="53"/>
  <c r="AG65" i="53"/>
  <c r="AG106" i="53"/>
  <c r="AG25" i="53"/>
  <c r="AG66" i="53"/>
  <c r="AG107" i="53"/>
  <c r="AG26" i="53"/>
  <c r="AG67" i="53"/>
  <c r="AG108" i="53"/>
  <c r="AG27" i="53"/>
  <c r="AG68" i="53"/>
  <c r="AG109" i="53"/>
  <c r="AG28" i="53"/>
  <c r="AG69" i="53"/>
  <c r="AG110" i="53"/>
  <c r="AG29" i="53"/>
  <c r="AG70" i="53"/>
  <c r="AG111" i="53"/>
  <c r="AG30" i="53"/>
  <c r="AG71" i="53"/>
  <c r="AG112" i="53"/>
  <c r="AG31" i="53"/>
  <c r="AG72" i="53"/>
  <c r="AF31" i="53"/>
  <c r="AF72" i="53"/>
  <c r="AG113" i="53"/>
  <c r="AG129" i="53"/>
  <c r="AG134" i="53"/>
  <c r="AG175" i="53"/>
  <c r="AG215" i="53"/>
  <c r="AG217" i="53"/>
  <c r="AG258" i="53"/>
  <c r="AG299" i="53"/>
  <c r="AG135" i="53"/>
  <c r="AG176" i="53"/>
  <c r="AG218" i="53"/>
  <c r="AG259" i="53"/>
  <c r="AG300" i="53"/>
  <c r="AG136" i="53"/>
  <c r="AG177" i="53"/>
  <c r="AG219" i="53"/>
  <c r="AG260" i="53"/>
  <c r="AG301" i="53"/>
  <c r="AG137" i="53"/>
  <c r="AG178" i="53"/>
  <c r="AG220" i="53"/>
  <c r="AG261" i="53"/>
  <c r="AG302" i="53"/>
  <c r="AG138" i="53"/>
  <c r="AG179" i="53"/>
  <c r="AG221" i="53"/>
  <c r="AG262" i="53"/>
  <c r="AG303" i="53"/>
  <c r="AG139" i="53"/>
  <c r="AG180" i="53"/>
  <c r="AG222" i="53"/>
  <c r="AG263" i="53"/>
  <c r="AG304" i="53"/>
  <c r="AG140" i="53"/>
  <c r="AG181" i="53"/>
  <c r="AG223" i="53"/>
  <c r="AG264" i="53"/>
  <c r="AG305" i="53"/>
  <c r="AG141" i="53"/>
  <c r="AG182" i="53"/>
  <c r="AG224" i="53"/>
  <c r="AG265" i="53"/>
  <c r="AG306" i="53"/>
  <c r="AG142" i="53"/>
  <c r="AG183" i="53"/>
  <c r="AG225" i="53"/>
  <c r="AG266" i="53"/>
  <c r="AG307" i="53"/>
  <c r="AG143" i="53"/>
  <c r="AG184" i="53"/>
  <c r="AG226" i="53"/>
  <c r="AG267" i="53"/>
  <c r="AG308" i="53"/>
  <c r="AG144" i="53"/>
  <c r="AG185" i="53"/>
  <c r="AG227" i="53"/>
  <c r="AG268" i="53"/>
  <c r="AG309" i="53"/>
  <c r="AG145" i="53"/>
  <c r="AG186" i="53"/>
  <c r="AG228" i="53"/>
  <c r="AG269" i="53"/>
  <c r="AG310" i="53"/>
  <c r="AG146" i="53"/>
  <c r="AG187" i="53"/>
  <c r="AG229" i="53"/>
  <c r="AG270" i="53"/>
  <c r="AG311" i="53"/>
  <c r="AG147" i="53"/>
  <c r="AG188" i="53"/>
  <c r="AG230" i="53"/>
  <c r="AG271" i="53"/>
  <c r="AG312" i="53"/>
  <c r="AG148" i="53"/>
  <c r="AG189" i="53"/>
  <c r="AG231" i="53"/>
  <c r="AG272" i="53"/>
  <c r="AG313" i="53"/>
  <c r="AG149" i="53"/>
  <c r="AG190" i="53"/>
  <c r="AG232" i="53"/>
  <c r="AG273" i="53"/>
  <c r="AG314" i="53"/>
  <c r="AG150" i="53"/>
  <c r="AG191" i="53"/>
  <c r="AG233" i="53"/>
  <c r="AG274" i="53"/>
  <c r="AG315" i="53"/>
  <c r="AG151" i="53"/>
  <c r="AG192" i="53"/>
  <c r="AG234" i="53"/>
  <c r="AG275" i="53"/>
  <c r="AG316" i="53"/>
  <c r="AG152" i="53"/>
  <c r="AG193" i="53"/>
  <c r="AG235" i="53"/>
  <c r="AG276" i="53"/>
  <c r="AG317" i="53"/>
  <c r="AG153" i="53"/>
  <c r="AG194" i="53"/>
  <c r="AG236" i="53"/>
  <c r="AG277" i="53"/>
  <c r="AG318" i="53"/>
  <c r="AG154" i="53"/>
  <c r="AG195" i="53"/>
  <c r="AG237" i="53"/>
  <c r="AG278" i="53"/>
  <c r="AG319" i="53"/>
  <c r="AG155" i="53"/>
  <c r="AG196" i="53"/>
  <c r="AG238" i="53"/>
  <c r="AG279" i="53"/>
  <c r="AG320" i="53"/>
  <c r="AG156" i="53"/>
  <c r="AG197" i="53"/>
  <c r="AG239" i="53"/>
  <c r="AG280" i="53"/>
  <c r="AG321" i="53"/>
  <c r="AG157" i="53"/>
  <c r="AG198" i="53"/>
  <c r="AG240" i="53"/>
  <c r="AG281" i="53"/>
  <c r="AG322" i="53"/>
  <c r="AG158" i="53"/>
  <c r="AG199" i="53"/>
  <c r="AG241" i="53"/>
  <c r="AG282" i="53"/>
  <c r="AF158" i="53"/>
  <c r="AF199" i="53"/>
  <c r="AF282" i="53"/>
  <c r="AG323" i="53"/>
  <c r="AG339" i="53"/>
  <c r="AB12" i="32"/>
  <c r="AB29" i="32"/>
  <c r="AB85" i="32"/>
  <c r="AB86" i="32"/>
  <c r="AB87" i="32"/>
  <c r="AH7" i="53"/>
  <c r="AH48" i="53"/>
  <c r="AH89" i="53"/>
  <c r="AH8" i="53"/>
  <c r="AH49" i="53"/>
  <c r="AH90" i="53"/>
  <c r="AH9" i="53"/>
  <c r="AH50" i="53"/>
  <c r="AH91" i="53"/>
  <c r="AH10" i="53"/>
  <c r="AH51" i="53"/>
  <c r="AH92" i="53"/>
  <c r="AH11" i="53"/>
  <c r="AH52" i="53"/>
  <c r="AH93" i="53"/>
  <c r="AH12" i="53"/>
  <c r="AH53" i="53"/>
  <c r="AH94" i="53"/>
  <c r="AH13" i="53"/>
  <c r="AH54" i="53"/>
  <c r="AH95" i="53"/>
  <c r="AH14" i="53"/>
  <c r="AH55" i="53"/>
  <c r="AH96" i="53"/>
  <c r="AH15" i="53"/>
  <c r="AH56" i="53"/>
  <c r="AH97" i="53"/>
  <c r="AH16" i="53"/>
  <c r="AH57" i="53"/>
  <c r="AH98" i="53"/>
  <c r="AH17" i="53"/>
  <c r="AH58" i="53"/>
  <c r="AH99" i="53"/>
  <c r="AH18" i="53"/>
  <c r="AH59" i="53"/>
  <c r="AH100" i="53"/>
  <c r="AH19" i="53"/>
  <c r="AH60" i="53"/>
  <c r="AH101" i="53"/>
  <c r="AH20" i="53"/>
  <c r="AH61" i="53"/>
  <c r="AH102" i="53"/>
  <c r="AH21" i="53"/>
  <c r="AH62" i="53"/>
  <c r="AH103" i="53"/>
  <c r="AH22" i="53"/>
  <c r="AH63" i="53"/>
  <c r="AH104" i="53"/>
  <c r="AH23" i="53"/>
  <c r="AH64" i="53"/>
  <c r="AH105" i="53"/>
  <c r="AH24" i="53"/>
  <c r="AH65" i="53"/>
  <c r="AH106" i="53"/>
  <c r="AH25" i="53"/>
  <c r="AH66" i="53"/>
  <c r="AH107" i="53"/>
  <c r="AH26" i="53"/>
  <c r="AH67" i="53"/>
  <c r="AH108" i="53"/>
  <c r="AH27" i="53"/>
  <c r="AH68" i="53"/>
  <c r="AH109" i="53"/>
  <c r="AH28" i="53"/>
  <c r="AH69" i="53"/>
  <c r="AH110" i="53"/>
  <c r="AH29" i="53"/>
  <c r="AH70" i="53"/>
  <c r="AH111" i="53"/>
  <c r="AH30" i="53"/>
  <c r="AH71" i="53"/>
  <c r="AH112" i="53"/>
  <c r="AH31" i="53"/>
  <c r="AH72" i="53"/>
  <c r="AH113" i="53"/>
  <c r="AH32" i="53"/>
  <c r="H8" i="25"/>
  <c r="AH73" i="53"/>
  <c r="AG32" i="53"/>
  <c r="AG73" i="53"/>
  <c r="AH114" i="53"/>
  <c r="AH129" i="53"/>
  <c r="AH134" i="53"/>
  <c r="AH175" i="53"/>
  <c r="AH215" i="53"/>
  <c r="AH217" i="53"/>
  <c r="AH258" i="53"/>
  <c r="AH299" i="53"/>
  <c r="AH135" i="53"/>
  <c r="AH176" i="53"/>
  <c r="AH218" i="53"/>
  <c r="AH259" i="53"/>
  <c r="AH300" i="53"/>
  <c r="AH136" i="53"/>
  <c r="AH177" i="53"/>
  <c r="AH219" i="53"/>
  <c r="AH260" i="53"/>
  <c r="AH301" i="53"/>
  <c r="AH137" i="53"/>
  <c r="AH178" i="53"/>
  <c r="AH220" i="53"/>
  <c r="AH261" i="53"/>
  <c r="AH302" i="53"/>
  <c r="AH138" i="53"/>
  <c r="AH179" i="53"/>
  <c r="AH221" i="53"/>
  <c r="AH262" i="53"/>
  <c r="AH303" i="53"/>
  <c r="AH139" i="53"/>
  <c r="AH180" i="53"/>
  <c r="AH222" i="53"/>
  <c r="AH263" i="53"/>
  <c r="AH304" i="53"/>
  <c r="AH140" i="53"/>
  <c r="AH181" i="53"/>
  <c r="AH223" i="53"/>
  <c r="AH264" i="53"/>
  <c r="AH305" i="53"/>
  <c r="AH141" i="53"/>
  <c r="AH182" i="53"/>
  <c r="AH224" i="53"/>
  <c r="AH265" i="53"/>
  <c r="AH306" i="53"/>
  <c r="AH142" i="53"/>
  <c r="AH183" i="53"/>
  <c r="AH225" i="53"/>
  <c r="AH266" i="53"/>
  <c r="AH307" i="53"/>
  <c r="AH143" i="53"/>
  <c r="AH184" i="53"/>
  <c r="AH226" i="53"/>
  <c r="AH267" i="53"/>
  <c r="AH308" i="53"/>
  <c r="AH144" i="53"/>
  <c r="AH185" i="53"/>
  <c r="AH227" i="53"/>
  <c r="AH268" i="53"/>
  <c r="AH309" i="53"/>
  <c r="AH145" i="53"/>
  <c r="AH186" i="53"/>
  <c r="AH228" i="53"/>
  <c r="AH269" i="53"/>
  <c r="AH310" i="53"/>
  <c r="AH146" i="53"/>
  <c r="AH187" i="53"/>
  <c r="AH229" i="53"/>
  <c r="AH270" i="53"/>
  <c r="AH311" i="53"/>
  <c r="AH147" i="53"/>
  <c r="AH188" i="53"/>
  <c r="AH230" i="53"/>
  <c r="AH271" i="53"/>
  <c r="AH312" i="53"/>
  <c r="AH148" i="53"/>
  <c r="AH189" i="53"/>
  <c r="AH231" i="53"/>
  <c r="AH272" i="53"/>
  <c r="AH313" i="53"/>
  <c r="AH149" i="53"/>
  <c r="AH190" i="53"/>
  <c r="AH232" i="53"/>
  <c r="AH273" i="53"/>
  <c r="AH314" i="53"/>
  <c r="AH150" i="53"/>
  <c r="AH191" i="53"/>
  <c r="AH233" i="53"/>
  <c r="AH274" i="53"/>
  <c r="AH315" i="53"/>
  <c r="AH151" i="53"/>
  <c r="AH192" i="53"/>
  <c r="AH234" i="53"/>
  <c r="AH275" i="53"/>
  <c r="AH316" i="53"/>
  <c r="AH152" i="53"/>
  <c r="AH193" i="53"/>
  <c r="AH235" i="53"/>
  <c r="AH276" i="53"/>
  <c r="AH317" i="53"/>
  <c r="AH153" i="53"/>
  <c r="AH194" i="53"/>
  <c r="AH236" i="53"/>
  <c r="AH277" i="53"/>
  <c r="AH318" i="53"/>
  <c r="AH154" i="53"/>
  <c r="AH195" i="53"/>
  <c r="AH237" i="53"/>
  <c r="AH278" i="53"/>
  <c r="AH319" i="53"/>
  <c r="AH155" i="53"/>
  <c r="AH196" i="53"/>
  <c r="AH238" i="53"/>
  <c r="AH279" i="53"/>
  <c r="AH320" i="53"/>
  <c r="AH156" i="53"/>
  <c r="AH197" i="53"/>
  <c r="AH239" i="53"/>
  <c r="AH280" i="53"/>
  <c r="AH321" i="53"/>
  <c r="AH157" i="53"/>
  <c r="AH198" i="53"/>
  <c r="AH240" i="53"/>
  <c r="AH281" i="53"/>
  <c r="AH322" i="53"/>
  <c r="AH158" i="53"/>
  <c r="AH199" i="53"/>
  <c r="AH241" i="53"/>
  <c r="AH282" i="53"/>
  <c r="AH323" i="53"/>
  <c r="AH159" i="53"/>
  <c r="AH200" i="53"/>
  <c r="AH242" i="53"/>
  <c r="AH283" i="53"/>
  <c r="AG159" i="53"/>
  <c r="AG200" i="53"/>
  <c r="AG283" i="53"/>
  <c r="AH324" i="53"/>
  <c r="AH339" i="53"/>
  <c r="AC12" i="32"/>
  <c r="AC29" i="32"/>
  <c r="AC85" i="32"/>
  <c r="AC86" i="32"/>
  <c r="AC87" i="32"/>
  <c r="AI7" i="53"/>
  <c r="AI48" i="53"/>
  <c r="AI89" i="53"/>
  <c r="AI8" i="53"/>
  <c r="AI49" i="53"/>
  <c r="AI90" i="53"/>
  <c r="AI9" i="53"/>
  <c r="AI50" i="53"/>
  <c r="AI91" i="53"/>
  <c r="AI10" i="53"/>
  <c r="AI51" i="53"/>
  <c r="AI92" i="53"/>
  <c r="AI11" i="53"/>
  <c r="AI52" i="53"/>
  <c r="AI93" i="53"/>
  <c r="AI12" i="53"/>
  <c r="AI53" i="53"/>
  <c r="AI94" i="53"/>
  <c r="AI13" i="53"/>
  <c r="AI54" i="53"/>
  <c r="AI95" i="53"/>
  <c r="AI14" i="53"/>
  <c r="AI55" i="53"/>
  <c r="AI96" i="53"/>
  <c r="AI15" i="53"/>
  <c r="AI56" i="53"/>
  <c r="AI97" i="53"/>
  <c r="AI16" i="53"/>
  <c r="AI57" i="53"/>
  <c r="AI98" i="53"/>
  <c r="AI17" i="53"/>
  <c r="AI58" i="53"/>
  <c r="AI99" i="53"/>
  <c r="AI18" i="53"/>
  <c r="AI59" i="53"/>
  <c r="AI100" i="53"/>
  <c r="AI19" i="53"/>
  <c r="AI60" i="53"/>
  <c r="AI101" i="53"/>
  <c r="AI20" i="53"/>
  <c r="AI61" i="53"/>
  <c r="AI102" i="53"/>
  <c r="AI21" i="53"/>
  <c r="AI62" i="53"/>
  <c r="AI103" i="53"/>
  <c r="AI22" i="53"/>
  <c r="AI63" i="53"/>
  <c r="AI104" i="53"/>
  <c r="AI23" i="53"/>
  <c r="AI64" i="53"/>
  <c r="AI105" i="53"/>
  <c r="AI24" i="53"/>
  <c r="AI65" i="53"/>
  <c r="AI106" i="53"/>
  <c r="AI25" i="53"/>
  <c r="AI66" i="53"/>
  <c r="AI107" i="53"/>
  <c r="AI26" i="53"/>
  <c r="AI67" i="53"/>
  <c r="AI108" i="53"/>
  <c r="AI27" i="53"/>
  <c r="AI68" i="53"/>
  <c r="AI109" i="53"/>
  <c r="AI28" i="53"/>
  <c r="AI69" i="53"/>
  <c r="AI110" i="53"/>
  <c r="AI29" i="53"/>
  <c r="AI70" i="53"/>
  <c r="AI111" i="53"/>
  <c r="AI30" i="53"/>
  <c r="AI71" i="53"/>
  <c r="AI112" i="53"/>
  <c r="AI31" i="53"/>
  <c r="AI72" i="53"/>
  <c r="AI113" i="53"/>
  <c r="AI32" i="53"/>
  <c r="AI73" i="53"/>
  <c r="AI114" i="53"/>
  <c r="AI33" i="53"/>
  <c r="AI74" i="53"/>
  <c r="AH33" i="53"/>
  <c r="AH74" i="53"/>
  <c r="AI115" i="53"/>
  <c r="AI129" i="53"/>
  <c r="AI134" i="53"/>
  <c r="AI175" i="53"/>
  <c r="AI215" i="53"/>
  <c r="AI217" i="53"/>
  <c r="AI258" i="53"/>
  <c r="AI299" i="53"/>
  <c r="AI135" i="53"/>
  <c r="AI176" i="53"/>
  <c r="AI218" i="53"/>
  <c r="AI259" i="53"/>
  <c r="AI300" i="53"/>
  <c r="AI136" i="53"/>
  <c r="AI177" i="53"/>
  <c r="AI219" i="53"/>
  <c r="AI260" i="53"/>
  <c r="AI301" i="53"/>
  <c r="AI137" i="53"/>
  <c r="AI178" i="53"/>
  <c r="AI220" i="53"/>
  <c r="AI261" i="53"/>
  <c r="AI302" i="53"/>
  <c r="AI138" i="53"/>
  <c r="AI179" i="53"/>
  <c r="AI221" i="53"/>
  <c r="AI262" i="53"/>
  <c r="AI303" i="53"/>
  <c r="AI139" i="53"/>
  <c r="AI180" i="53"/>
  <c r="AI222" i="53"/>
  <c r="AI263" i="53"/>
  <c r="AI304" i="53"/>
  <c r="AI140" i="53"/>
  <c r="AI181" i="53"/>
  <c r="AI223" i="53"/>
  <c r="AI264" i="53"/>
  <c r="AI305" i="53"/>
  <c r="AI141" i="53"/>
  <c r="AI182" i="53"/>
  <c r="AI224" i="53"/>
  <c r="AI265" i="53"/>
  <c r="AI306" i="53"/>
  <c r="AI142" i="53"/>
  <c r="AI183" i="53"/>
  <c r="AI225" i="53"/>
  <c r="AI266" i="53"/>
  <c r="AI307" i="53"/>
  <c r="AI143" i="53"/>
  <c r="AI184" i="53"/>
  <c r="AI226" i="53"/>
  <c r="AI267" i="53"/>
  <c r="AI308" i="53"/>
  <c r="AI144" i="53"/>
  <c r="AI185" i="53"/>
  <c r="AI227" i="53"/>
  <c r="AI268" i="53"/>
  <c r="AI309" i="53"/>
  <c r="AI145" i="53"/>
  <c r="AI186" i="53"/>
  <c r="AI228" i="53"/>
  <c r="AI269" i="53"/>
  <c r="AI310" i="53"/>
  <c r="AI146" i="53"/>
  <c r="AI187" i="53"/>
  <c r="AI229" i="53"/>
  <c r="AI270" i="53"/>
  <c r="AI311" i="53"/>
  <c r="AI147" i="53"/>
  <c r="AI188" i="53"/>
  <c r="AI230" i="53"/>
  <c r="AI271" i="53"/>
  <c r="AI312" i="53"/>
  <c r="AI148" i="53"/>
  <c r="AI189" i="53"/>
  <c r="AI231" i="53"/>
  <c r="AI272" i="53"/>
  <c r="AI313" i="53"/>
  <c r="AI149" i="53"/>
  <c r="AI190" i="53"/>
  <c r="AI232" i="53"/>
  <c r="AI273" i="53"/>
  <c r="AI314" i="53"/>
  <c r="AI150" i="53"/>
  <c r="AI191" i="53"/>
  <c r="AI233" i="53"/>
  <c r="AI274" i="53"/>
  <c r="AI315" i="53"/>
  <c r="AI151" i="53"/>
  <c r="AI192" i="53"/>
  <c r="AI234" i="53"/>
  <c r="AI275" i="53"/>
  <c r="AI316" i="53"/>
  <c r="AI152" i="53"/>
  <c r="AI193" i="53"/>
  <c r="AI235" i="53"/>
  <c r="AI276" i="53"/>
  <c r="AI317" i="53"/>
  <c r="AI153" i="53"/>
  <c r="AI194" i="53"/>
  <c r="AI236" i="53"/>
  <c r="AI277" i="53"/>
  <c r="AI318" i="53"/>
  <c r="AI154" i="53"/>
  <c r="AI195" i="53"/>
  <c r="AI237" i="53"/>
  <c r="AI278" i="53"/>
  <c r="AI319" i="53"/>
  <c r="AI155" i="53"/>
  <c r="AI196" i="53"/>
  <c r="AI238" i="53"/>
  <c r="AI279" i="53"/>
  <c r="AI320" i="53"/>
  <c r="AI156" i="53"/>
  <c r="AI197" i="53"/>
  <c r="AI239" i="53"/>
  <c r="AI280" i="53"/>
  <c r="AI321" i="53"/>
  <c r="AI157" i="53"/>
  <c r="AI198" i="53"/>
  <c r="AI240" i="53"/>
  <c r="AI281" i="53"/>
  <c r="AI322" i="53"/>
  <c r="AI158" i="53"/>
  <c r="AI199" i="53"/>
  <c r="AI241" i="53"/>
  <c r="AI282" i="53"/>
  <c r="AI323" i="53"/>
  <c r="AI159" i="53"/>
  <c r="AI200" i="53"/>
  <c r="AI242" i="53"/>
  <c r="AI283" i="53"/>
  <c r="AI324" i="53"/>
  <c r="AI160" i="53"/>
  <c r="AI201" i="53"/>
  <c r="AI243" i="53"/>
  <c r="AI284" i="53"/>
  <c r="AH160" i="53"/>
  <c r="AH201" i="53"/>
  <c r="AH284" i="53"/>
  <c r="AI325" i="53"/>
  <c r="AI339" i="53"/>
  <c r="AD12" i="32"/>
  <c r="AD29" i="32"/>
  <c r="AD85" i="32"/>
  <c r="AD86" i="32"/>
  <c r="AD87" i="32"/>
  <c r="AJ7" i="53"/>
  <c r="AJ48" i="53"/>
  <c r="AJ89" i="53"/>
  <c r="AJ8" i="53"/>
  <c r="AJ49" i="53"/>
  <c r="AJ90" i="53"/>
  <c r="AJ9" i="53"/>
  <c r="AJ50" i="53"/>
  <c r="AJ91" i="53"/>
  <c r="AJ10" i="53"/>
  <c r="AJ51" i="53"/>
  <c r="AJ92" i="53"/>
  <c r="AJ11" i="53"/>
  <c r="AJ52" i="53"/>
  <c r="AJ93" i="53"/>
  <c r="AJ12" i="53"/>
  <c r="AJ53" i="53"/>
  <c r="AJ94" i="53"/>
  <c r="AJ13" i="53"/>
  <c r="AJ54" i="53"/>
  <c r="AJ95" i="53"/>
  <c r="AJ14" i="53"/>
  <c r="AJ55" i="53"/>
  <c r="AJ96" i="53"/>
  <c r="AJ15" i="53"/>
  <c r="AJ56" i="53"/>
  <c r="AJ97" i="53"/>
  <c r="AJ16" i="53"/>
  <c r="AJ57" i="53"/>
  <c r="AJ98" i="53"/>
  <c r="AJ17" i="53"/>
  <c r="AJ58" i="53"/>
  <c r="AJ99" i="53"/>
  <c r="AJ18" i="53"/>
  <c r="AJ59" i="53"/>
  <c r="AJ100" i="53"/>
  <c r="AJ19" i="53"/>
  <c r="AJ60" i="53"/>
  <c r="AJ101" i="53"/>
  <c r="AJ20" i="53"/>
  <c r="AJ61" i="53"/>
  <c r="AJ102" i="53"/>
  <c r="AJ21" i="53"/>
  <c r="AJ62" i="53"/>
  <c r="AJ103" i="53"/>
  <c r="AJ22" i="53"/>
  <c r="AJ63" i="53"/>
  <c r="AJ104" i="53"/>
  <c r="AJ23" i="53"/>
  <c r="AJ64" i="53"/>
  <c r="AJ105" i="53"/>
  <c r="AJ24" i="53"/>
  <c r="AJ65" i="53"/>
  <c r="AJ106" i="53"/>
  <c r="AJ25" i="53"/>
  <c r="AJ66" i="53"/>
  <c r="AJ107" i="53"/>
  <c r="AJ26" i="53"/>
  <c r="AJ67" i="53"/>
  <c r="AJ108" i="53"/>
  <c r="AJ27" i="53"/>
  <c r="AJ68" i="53"/>
  <c r="AJ109" i="53"/>
  <c r="AJ28" i="53"/>
  <c r="AJ69" i="53"/>
  <c r="AJ110" i="53"/>
  <c r="AJ29" i="53"/>
  <c r="AJ70" i="53"/>
  <c r="AJ111" i="53"/>
  <c r="AJ30" i="53"/>
  <c r="AJ71" i="53"/>
  <c r="AJ112" i="53"/>
  <c r="AJ31" i="53"/>
  <c r="AJ72" i="53"/>
  <c r="AJ113" i="53"/>
  <c r="AJ32" i="53"/>
  <c r="AJ73" i="53"/>
  <c r="AJ114" i="53"/>
  <c r="AJ33" i="53"/>
  <c r="AJ74" i="53"/>
  <c r="AJ115" i="53"/>
  <c r="AJ34" i="53"/>
  <c r="AJ75" i="53"/>
  <c r="AI34" i="53"/>
  <c r="AI75" i="53"/>
  <c r="AJ116" i="53"/>
  <c r="AJ129" i="53"/>
  <c r="AJ134" i="53"/>
  <c r="AJ175" i="53"/>
  <c r="AJ215" i="53"/>
  <c r="AJ217" i="53"/>
  <c r="AJ258" i="53"/>
  <c r="AJ299" i="53"/>
  <c r="AJ135" i="53"/>
  <c r="AJ176" i="53"/>
  <c r="AJ218" i="53"/>
  <c r="AJ259" i="53"/>
  <c r="AJ300" i="53"/>
  <c r="AJ136" i="53"/>
  <c r="AJ177" i="53"/>
  <c r="AJ219" i="53"/>
  <c r="AJ260" i="53"/>
  <c r="AJ301" i="53"/>
  <c r="AJ137" i="53"/>
  <c r="AJ178" i="53"/>
  <c r="AJ220" i="53"/>
  <c r="AJ261" i="53"/>
  <c r="AJ302" i="53"/>
  <c r="AJ138" i="53"/>
  <c r="AJ179" i="53"/>
  <c r="AJ221" i="53"/>
  <c r="AJ262" i="53"/>
  <c r="AJ303" i="53"/>
  <c r="AJ139" i="53"/>
  <c r="AJ180" i="53"/>
  <c r="AJ222" i="53"/>
  <c r="AJ263" i="53"/>
  <c r="AJ304" i="53"/>
  <c r="AJ140" i="53"/>
  <c r="AJ181" i="53"/>
  <c r="AJ223" i="53"/>
  <c r="AJ264" i="53"/>
  <c r="AJ305" i="53"/>
  <c r="AJ141" i="53"/>
  <c r="AJ182" i="53"/>
  <c r="AJ224" i="53"/>
  <c r="AJ265" i="53"/>
  <c r="AJ306" i="53"/>
  <c r="AJ142" i="53"/>
  <c r="AJ183" i="53"/>
  <c r="AJ225" i="53"/>
  <c r="AJ266" i="53"/>
  <c r="AJ307" i="53"/>
  <c r="AJ143" i="53"/>
  <c r="AJ184" i="53"/>
  <c r="AJ226" i="53"/>
  <c r="AJ267" i="53"/>
  <c r="AJ308" i="53"/>
  <c r="AJ144" i="53"/>
  <c r="AJ185" i="53"/>
  <c r="AJ227" i="53"/>
  <c r="AJ268" i="53"/>
  <c r="AJ309" i="53"/>
  <c r="AJ145" i="53"/>
  <c r="AJ186" i="53"/>
  <c r="AJ228" i="53"/>
  <c r="AJ269" i="53"/>
  <c r="AJ310" i="53"/>
  <c r="AJ146" i="53"/>
  <c r="AJ187" i="53"/>
  <c r="AJ229" i="53"/>
  <c r="AJ270" i="53"/>
  <c r="AJ311" i="53"/>
  <c r="AJ147" i="53"/>
  <c r="AJ188" i="53"/>
  <c r="AJ230" i="53"/>
  <c r="AJ271" i="53"/>
  <c r="AJ312" i="53"/>
  <c r="AJ148" i="53"/>
  <c r="AJ189" i="53"/>
  <c r="AJ231" i="53"/>
  <c r="AJ272" i="53"/>
  <c r="AJ313" i="53"/>
  <c r="AJ149" i="53"/>
  <c r="AJ190" i="53"/>
  <c r="AJ232" i="53"/>
  <c r="AJ273" i="53"/>
  <c r="AJ314" i="53"/>
  <c r="AJ150" i="53"/>
  <c r="AJ191" i="53"/>
  <c r="AJ233" i="53"/>
  <c r="AJ274" i="53"/>
  <c r="AJ315" i="53"/>
  <c r="AJ151" i="53"/>
  <c r="AJ192" i="53"/>
  <c r="AJ234" i="53"/>
  <c r="AJ275" i="53"/>
  <c r="AJ316" i="53"/>
  <c r="AJ152" i="53"/>
  <c r="AJ193" i="53"/>
  <c r="AJ235" i="53"/>
  <c r="AJ276" i="53"/>
  <c r="AJ317" i="53"/>
  <c r="AJ153" i="53"/>
  <c r="AJ194" i="53"/>
  <c r="AJ236" i="53"/>
  <c r="AJ277" i="53"/>
  <c r="AJ318" i="53"/>
  <c r="AJ154" i="53"/>
  <c r="AJ195" i="53"/>
  <c r="AJ237" i="53"/>
  <c r="AJ278" i="53"/>
  <c r="AJ319" i="53"/>
  <c r="AJ155" i="53"/>
  <c r="AJ196" i="53"/>
  <c r="AJ238" i="53"/>
  <c r="AJ279" i="53"/>
  <c r="AJ320" i="53"/>
  <c r="AJ156" i="53"/>
  <c r="AJ197" i="53"/>
  <c r="AJ239" i="53"/>
  <c r="AJ280" i="53"/>
  <c r="AJ321" i="53"/>
  <c r="AJ157" i="53"/>
  <c r="AJ198" i="53"/>
  <c r="AJ240" i="53"/>
  <c r="AJ281" i="53"/>
  <c r="AJ322" i="53"/>
  <c r="AJ158" i="53"/>
  <c r="AJ199" i="53"/>
  <c r="AJ241" i="53"/>
  <c r="AJ282" i="53"/>
  <c r="AJ323" i="53"/>
  <c r="AJ159" i="53"/>
  <c r="AJ200" i="53"/>
  <c r="AJ242" i="53"/>
  <c r="AJ283" i="53"/>
  <c r="AJ324" i="53"/>
  <c r="AJ160" i="53"/>
  <c r="AJ201" i="53"/>
  <c r="AJ243" i="53"/>
  <c r="AJ284" i="53"/>
  <c r="AJ325" i="53"/>
  <c r="AJ161" i="53"/>
  <c r="AJ202" i="53"/>
  <c r="AJ244" i="53"/>
  <c r="AJ285" i="53"/>
  <c r="AI161" i="53"/>
  <c r="AI202" i="53"/>
  <c r="AI285" i="53"/>
  <c r="AJ326" i="53"/>
  <c r="AJ339" i="53"/>
  <c r="AE12" i="32"/>
  <c r="AE29" i="32"/>
  <c r="AE85" i="32"/>
  <c r="AE86" i="32"/>
  <c r="AE87" i="32"/>
  <c r="AK7" i="53"/>
  <c r="AK48" i="53"/>
  <c r="AK89" i="53"/>
  <c r="AK8" i="53"/>
  <c r="AK49" i="53"/>
  <c r="AK90" i="53"/>
  <c r="AK9" i="53"/>
  <c r="AK50" i="53"/>
  <c r="AK91" i="53"/>
  <c r="AK10" i="53"/>
  <c r="AK51" i="53"/>
  <c r="AK92" i="53"/>
  <c r="AK11" i="53"/>
  <c r="AK52" i="53"/>
  <c r="AK93" i="53"/>
  <c r="AK12" i="53"/>
  <c r="AK53" i="53"/>
  <c r="AK94" i="53"/>
  <c r="AK13" i="53"/>
  <c r="AK54" i="53"/>
  <c r="AK95" i="53"/>
  <c r="AK14" i="53"/>
  <c r="AK55" i="53"/>
  <c r="AK96" i="53"/>
  <c r="AK15" i="53"/>
  <c r="AK56" i="53"/>
  <c r="AK97" i="53"/>
  <c r="AK16" i="53"/>
  <c r="AK57" i="53"/>
  <c r="AK98" i="53"/>
  <c r="AK17" i="53"/>
  <c r="AK58" i="53"/>
  <c r="AK99" i="53"/>
  <c r="AK18" i="53"/>
  <c r="AK59" i="53"/>
  <c r="AK100" i="53"/>
  <c r="AK19" i="53"/>
  <c r="AK60" i="53"/>
  <c r="AK101" i="53"/>
  <c r="AK20" i="53"/>
  <c r="AK61" i="53"/>
  <c r="AK102" i="53"/>
  <c r="AK21" i="53"/>
  <c r="AK62" i="53"/>
  <c r="AK103" i="53"/>
  <c r="AK22" i="53"/>
  <c r="AK63" i="53"/>
  <c r="AK104" i="53"/>
  <c r="AK23" i="53"/>
  <c r="AK64" i="53"/>
  <c r="AK105" i="53"/>
  <c r="AK24" i="53"/>
  <c r="AK65" i="53"/>
  <c r="AK106" i="53"/>
  <c r="AK25" i="53"/>
  <c r="AK66" i="53"/>
  <c r="AK107" i="53"/>
  <c r="AK26" i="53"/>
  <c r="AK67" i="53"/>
  <c r="AK108" i="53"/>
  <c r="AK27" i="53"/>
  <c r="AK68" i="53"/>
  <c r="AK109" i="53"/>
  <c r="AK28" i="53"/>
  <c r="AK69" i="53"/>
  <c r="AK110" i="53"/>
  <c r="AK29" i="53"/>
  <c r="AK70" i="53"/>
  <c r="AK111" i="53"/>
  <c r="AK30" i="53"/>
  <c r="AK71" i="53"/>
  <c r="AK112" i="53"/>
  <c r="AK31" i="53"/>
  <c r="AK72" i="53"/>
  <c r="AK113" i="53"/>
  <c r="AK32" i="53"/>
  <c r="AK73" i="53"/>
  <c r="AK114" i="53"/>
  <c r="AK33" i="53"/>
  <c r="AK74" i="53"/>
  <c r="AK115" i="53"/>
  <c r="AK34" i="53"/>
  <c r="AK75" i="53"/>
  <c r="AK116" i="53"/>
  <c r="AK35" i="53"/>
  <c r="AK76" i="53"/>
  <c r="AJ35" i="53"/>
  <c r="AJ76" i="53"/>
  <c r="AK117" i="53"/>
  <c r="AK129" i="53"/>
  <c r="AK134" i="53"/>
  <c r="AK175" i="53"/>
  <c r="AK215" i="53"/>
  <c r="AK217" i="53"/>
  <c r="AK258" i="53"/>
  <c r="AK299" i="53"/>
  <c r="AK135" i="53"/>
  <c r="AK176" i="53"/>
  <c r="AK218" i="53"/>
  <c r="AK259" i="53"/>
  <c r="AK300" i="53"/>
  <c r="AK136" i="53"/>
  <c r="AK177" i="53"/>
  <c r="AK219" i="53"/>
  <c r="AK260" i="53"/>
  <c r="AK301" i="53"/>
  <c r="AK137" i="53"/>
  <c r="AK178" i="53"/>
  <c r="AK220" i="53"/>
  <c r="AK261" i="53"/>
  <c r="AK302" i="53"/>
  <c r="AK138" i="53"/>
  <c r="AK179" i="53"/>
  <c r="AK221" i="53"/>
  <c r="AK262" i="53"/>
  <c r="AK303" i="53"/>
  <c r="AK139" i="53"/>
  <c r="AK180" i="53"/>
  <c r="AK222" i="53"/>
  <c r="AK263" i="53"/>
  <c r="AK304" i="53"/>
  <c r="AK140" i="53"/>
  <c r="AK181" i="53"/>
  <c r="AK223" i="53"/>
  <c r="AK264" i="53"/>
  <c r="AK305" i="53"/>
  <c r="AK141" i="53"/>
  <c r="AK182" i="53"/>
  <c r="AK224" i="53"/>
  <c r="AK265" i="53"/>
  <c r="AK306" i="53"/>
  <c r="AK142" i="53"/>
  <c r="AK183" i="53"/>
  <c r="AK225" i="53"/>
  <c r="AK266" i="53"/>
  <c r="AK307" i="53"/>
  <c r="AK143" i="53"/>
  <c r="AK184" i="53"/>
  <c r="AK226" i="53"/>
  <c r="AK267" i="53"/>
  <c r="AK308" i="53"/>
  <c r="AK144" i="53"/>
  <c r="AK185" i="53"/>
  <c r="AK227" i="53"/>
  <c r="AK268" i="53"/>
  <c r="AK309" i="53"/>
  <c r="AK145" i="53"/>
  <c r="AK186" i="53"/>
  <c r="AK228" i="53"/>
  <c r="AK269" i="53"/>
  <c r="AK310" i="53"/>
  <c r="AK146" i="53"/>
  <c r="AK187" i="53"/>
  <c r="AK229" i="53"/>
  <c r="AK270" i="53"/>
  <c r="AK311" i="53"/>
  <c r="AK147" i="53"/>
  <c r="AK188" i="53"/>
  <c r="AK230" i="53"/>
  <c r="AK271" i="53"/>
  <c r="AK312" i="53"/>
  <c r="AK148" i="53"/>
  <c r="AK189" i="53"/>
  <c r="AK231" i="53"/>
  <c r="AK272" i="53"/>
  <c r="AK313" i="53"/>
  <c r="AK149" i="53"/>
  <c r="AK190" i="53"/>
  <c r="AK232" i="53"/>
  <c r="AK273" i="53"/>
  <c r="AK314" i="53"/>
  <c r="AK150" i="53"/>
  <c r="AK191" i="53"/>
  <c r="AK233" i="53"/>
  <c r="AK274" i="53"/>
  <c r="AK315" i="53"/>
  <c r="AK151" i="53"/>
  <c r="AK192" i="53"/>
  <c r="AK234" i="53"/>
  <c r="AK275" i="53"/>
  <c r="AK316" i="53"/>
  <c r="AK152" i="53"/>
  <c r="AK193" i="53"/>
  <c r="AK235" i="53"/>
  <c r="AK276" i="53"/>
  <c r="AK317" i="53"/>
  <c r="AK153" i="53"/>
  <c r="AK194" i="53"/>
  <c r="AK236" i="53"/>
  <c r="AK277" i="53"/>
  <c r="AK318" i="53"/>
  <c r="AK154" i="53"/>
  <c r="AK195" i="53"/>
  <c r="AK237" i="53"/>
  <c r="AK278" i="53"/>
  <c r="AK319" i="53"/>
  <c r="AK155" i="53"/>
  <c r="AK196" i="53"/>
  <c r="AK238" i="53"/>
  <c r="AK279" i="53"/>
  <c r="AK320" i="53"/>
  <c r="AK156" i="53"/>
  <c r="AK197" i="53"/>
  <c r="AK239" i="53"/>
  <c r="AK280" i="53"/>
  <c r="AK321" i="53"/>
  <c r="AK157" i="53"/>
  <c r="AK198" i="53"/>
  <c r="AK240" i="53"/>
  <c r="AK281" i="53"/>
  <c r="AK322" i="53"/>
  <c r="AK158" i="53"/>
  <c r="AK199" i="53"/>
  <c r="AK241" i="53"/>
  <c r="AK282" i="53"/>
  <c r="AK323" i="53"/>
  <c r="AK159" i="53"/>
  <c r="AK200" i="53"/>
  <c r="AK242" i="53"/>
  <c r="AK283" i="53"/>
  <c r="AK324" i="53"/>
  <c r="AK160" i="53"/>
  <c r="AK201" i="53"/>
  <c r="AK243" i="53"/>
  <c r="AK284" i="53"/>
  <c r="AK325" i="53"/>
  <c r="AK161" i="53"/>
  <c r="AK202" i="53"/>
  <c r="AK244" i="53"/>
  <c r="AK285" i="53"/>
  <c r="AK326" i="53"/>
  <c r="AK162" i="53"/>
  <c r="AK203" i="53"/>
  <c r="AK245" i="53"/>
  <c r="AK286" i="53"/>
  <c r="AJ162" i="53"/>
  <c r="AJ203" i="53"/>
  <c r="AJ286" i="53"/>
  <c r="AK327" i="53"/>
  <c r="AK339" i="53"/>
  <c r="AF12" i="32"/>
  <c r="AF29" i="32"/>
  <c r="AF85" i="32"/>
  <c r="AF86" i="32"/>
  <c r="AF87" i="32"/>
  <c r="AL7" i="53"/>
  <c r="AL48" i="53"/>
  <c r="AL89" i="53"/>
  <c r="AL8" i="53"/>
  <c r="AL49" i="53"/>
  <c r="AL90" i="53"/>
  <c r="AL9" i="53"/>
  <c r="AL50" i="53"/>
  <c r="AL91" i="53"/>
  <c r="AL10" i="53"/>
  <c r="AL51" i="53"/>
  <c r="AL92" i="53"/>
  <c r="AL11" i="53"/>
  <c r="AL52" i="53"/>
  <c r="AL93" i="53"/>
  <c r="AL12" i="53"/>
  <c r="AL53" i="53"/>
  <c r="AL94" i="53"/>
  <c r="AL13" i="53"/>
  <c r="AL54" i="53"/>
  <c r="AL95" i="53"/>
  <c r="AL14" i="53"/>
  <c r="AL55" i="53"/>
  <c r="AL96" i="53"/>
  <c r="AL15" i="53"/>
  <c r="AL56" i="53"/>
  <c r="AL97" i="53"/>
  <c r="AL16" i="53"/>
  <c r="AL57" i="53"/>
  <c r="AL98" i="53"/>
  <c r="AL17" i="53"/>
  <c r="AL58" i="53"/>
  <c r="AL99" i="53"/>
  <c r="AL18" i="53"/>
  <c r="AL59" i="53"/>
  <c r="AL100" i="53"/>
  <c r="AL19" i="53"/>
  <c r="AL60" i="53"/>
  <c r="AL101" i="53"/>
  <c r="AL20" i="53"/>
  <c r="AL61" i="53"/>
  <c r="AL102" i="53"/>
  <c r="AL21" i="53"/>
  <c r="AL62" i="53"/>
  <c r="AL103" i="53"/>
  <c r="AL22" i="53"/>
  <c r="AL63" i="53"/>
  <c r="AL104" i="53"/>
  <c r="AL23" i="53"/>
  <c r="AL64" i="53"/>
  <c r="AL105" i="53"/>
  <c r="AL24" i="53"/>
  <c r="AL65" i="53"/>
  <c r="AL106" i="53"/>
  <c r="AL25" i="53"/>
  <c r="AL66" i="53"/>
  <c r="AL107" i="53"/>
  <c r="AL26" i="53"/>
  <c r="AL67" i="53"/>
  <c r="AL108" i="53"/>
  <c r="AL27" i="53"/>
  <c r="AL68" i="53"/>
  <c r="AL109" i="53"/>
  <c r="AL28" i="53"/>
  <c r="AL69" i="53"/>
  <c r="AL110" i="53"/>
  <c r="AL29" i="53"/>
  <c r="AL70" i="53"/>
  <c r="AL111" i="53"/>
  <c r="AL30" i="53"/>
  <c r="AL71" i="53"/>
  <c r="AL112" i="53"/>
  <c r="AL31" i="53"/>
  <c r="AL72" i="53"/>
  <c r="AL113" i="53"/>
  <c r="AL32" i="53"/>
  <c r="AL73" i="53"/>
  <c r="AL114" i="53"/>
  <c r="AL33" i="53"/>
  <c r="AL74" i="53"/>
  <c r="AL115" i="53"/>
  <c r="AL34" i="53"/>
  <c r="AL75" i="53"/>
  <c r="AL116" i="53"/>
  <c r="AL35" i="53"/>
  <c r="AL76" i="53"/>
  <c r="AL117" i="53"/>
  <c r="AL36" i="53"/>
  <c r="AL77" i="53"/>
  <c r="AK36" i="53"/>
  <c r="AK77" i="53"/>
  <c r="AL118" i="53"/>
  <c r="AL129" i="53"/>
  <c r="AL134" i="53"/>
  <c r="AL175" i="53"/>
  <c r="AL215" i="53"/>
  <c r="AL217" i="53"/>
  <c r="AL258" i="53"/>
  <c r="AL299" i="53"/>
  <c r="AL135" i="53"/>
  <c r="AL176" i="53"/>
  <c r="AL218" i="53"/>
  <c r="AL259" i="53"/>
  <c r="AL300" i="53"/>
  <c r="AL136" i="53"/>
  <c r="AL177" i="53"/>
  <c r="AL219" i="53"/>
  <c r="AL260" i="53"/>
  <c r="AL301" i="53"/>
  <c r="AL137" i="53"/>
  <c r="AL178" i="53"/>
  <c r="AL220" i="53"/>
  <c r="AL261" i="53"/>
  <c r="AL302" i="53"/>
  <c r="AL138" i="53"/>
  <c r="AL179" i="53"/>
  <c r="AL221" i="53"/>
  <c r="AL262" i="53"/>
  <c r="AL303" i="53"/>
  <c r="AL139" i="53"/>
  <c r="AL180" i="53"/>
  <c r="AL222" i="53"/>
  <c r="AL263" i="53"/>
  <c r="AL304" i="53"/>
  <c r="AL140" i="53"/>
  <c r="AL181" i="53"/>
  <c r="AL223" i="53"/>
  <c r="AL264" i="53"/>
  <c r="AL305" i="53"/>
  <c r="AL141" i="53"/>
  <c r="AL182" i="53"/>
  <c r="AL224" i="53"/>
  <c r="AL265" i="53"/>
  <c r="AL306" i="53"/>
  <c r="AL142" i="53"/>
  <c r="AL183" i="53"/>
  <c r="AL225" i="53"/>
  <c r="AL266" i="53"/>
  <c r="AL307" i="53"/>
  <c r="AL143" i="53"/>
  <c r="AL184" i="53"/>
  <c r="AL226" i="53"/>
  <c r="AL267" i="53"/>
  <c r="AL308" i="53"/>
  <c r="AL144" i="53"/>
  <c r="AL185" i="53"/>
  <c r="AL227" i="53"/>
  <c r="AL268" i="53"/>
  <c r="AL309" i="53"/>
  <c r="AL145" i="53"/>
  <c r="AL186" i="53"/>
  <c r="AL228" i="53"/>
  <c r="AL269" i="53"/>
  <c r="AL310" i="53"/>
  <c r="AL146" i="53"/>
  <c r="AL187" i="53"/>
  <c r="AL229" i="53"/>
  <c r="AL270" i="53"/>
  <c r="AL311" i="53"/>
  <c r="AL147" i="53"/>
  <c r="AL188" i="53"/>
  <c r="AL230" i="53"/>
  <c r="AL271" i="53"/>
  <c r="AL312" i="53"/>
  <c r="AL148" i="53"/>
  <c r="AL189" i="53"/>
  <c r="AL231" i="53"/>
  <c r="AL272" i="53"/>
  <c r="AL313" i="53"/>
  <c r="AL149" i="53"/>
  <c r="AL190" i="53"/>
  <c r="AL232" i="53"/>
  <c r="AL273" i="53"/>
  <c r="AL314" i="53"/>
  <c r="AL150" i="53"/>
  <c r="AL191" i="53"/>
  <c r="AL233" i="53"/>
  <c r="AL274" i="53"/>
  <c r="AL315" i="53"/>
  <c r="AL151" i="53"/>
  <c r="AL192" i="53"/>
  <c r="AL234" i="53"/>
  <c r="AL275" i="53"/>
  <c r="AL316" i="53"/>
  <c r="AL152" i="53"/>
  <c r="AL193" i="53"/>
  <c r="AL235" i="53"/>
  <c r="AL276" i="53"/>
  <c r="AL317" i="53"/>
  <c r="AL153" i="53"/>
  <c r="AL194" i="53"/>
  <c r="AL236" i="53"/>
  <c r="AL277" i="53"/>
  <c r="AL318" i="53"/>
  <c r="AL154" i="53"/>
  <c r="AL195" i="53"/>
  <c r="AL237" i="53"/>
  <c r="AL278" i="53"/>
  <c r="AL319" i="53"/>
  <c r="AL155" i="53"/>
  <c r="AL196" i="53"/>
  <c r="AL238" i="53"/>
  <c r="AL279" i="53"/>
  <c r="AL320" i="53"/>
  <c r="AL156" i="53"/>
  <c r="AL197" i="53"/>
  <c r="AL239" i="53"/>
  <c r="AL280" i="53"/>
  <c r="AL321" i="53"/>
  <c r="AL157" i="53"/>
  <c r="AL198" i="53"/>
  <c r="AL240" i="53"/>
  <c r="AL281" i="53"/>
  <c r="AL322" i="53"/>
  <c r="AL158" i="53"/>
  <c r="AL199" i="53"/>
  <c r="AL241" i="53"/>
  <c r="AL282" i="53"/>
  <c r="AL323" i="53"/>
  <c r="AL159" i="53"/>
  <c r="AL200" i="53"/>
  <c r="AL242" i="53"/>
  <c r="AL283" i="53"/>
  <c r="AL324" i="53"/>
  <c r="AL160" i="53"/>
  <c r="AL201" i="53"/>
  <c r="AL243" i="53"/>
  <c r="AL284" i="53"/>
  <c r="AL325" i="53"/>
  <c r="AL161" i="53"/>
  <c r="AL202" i="53"/>
  <c r="AL244" i="53"/>
  <c r="AL285" i="53"/>
  <c r="AL326" i="53"/>
  <c r="AL162" i="53"/>
  <c r="AL203" i="53"/>
  <c r="AL245" i="53"/>
  <c r="AL286" i="53"/>
  <c r="AL327" i="53"/>
  <c r="AL163" i="53"/>
  <c r="AL204" i="53"/>
  <c r="AL246" i="53"/>
  <c r="AL287" i="53"/>
  <c r="AK163" i="53"/>
  <c r="AK204" i="53"/>
  <c r="AK287" i="53"/>
  <c r="AL328" i="53"/>
  <c r="AL339" i="53"/>
  <c r="AG12" i="32"/>
  <c r="AG29" i="32"/>
  <c r="AG85" i="32"/>
  <c r="AG86" i="32"/>
  <c r="AG87" i="32"/>
  <c r="AM7" i="53"/>
  <c r="AM48" i="53"/>
  <c r="AM89" i="53"/>
  <c r="AM8" i="53"/>
  <c r="AM49" i="53"/>
  <c r="AM90" i="53"/>
  <c r="AM9" i="53"/>
  <c r="AM50" i="53"/>
  <c r="AM91" i="53"/>
  <c r="AM10" i="53"/>
  <c r="AM51" i="53"/>
  <c r="AM92" i="53"/>
  <c r="AM11" i="53"/>
  <c r="AM52" i="53"/>
  <c r="AM93" i="53"/>
  <c r="AM12" i="53"/>
  <c r="AM53" i="53"/>
  <c r="AM94" i="53"/>
  <c r="AM13" i="53"/>
  <c r="AM54" i="53"/>
  <c r="AM95" i="53"/>
  <c r="AM14" i="53"/>
  <c r="AM55" i="53"/>
  <c r="AM96" i="53"/>
  <c r="AM15" i="53"/>
  <c r="AM56" i="53"/>
  <c r="AM97" i="53"/>
  <c r="AM16" i="53"/>
  <c r="AM57" i="53"/>
  <c r="AM98" i="53"/>
  <c r="AM17" i="53"/>
  <c r="AM58" i="53"/>
  <c r="AM99" i="53"/>
  <c r="AM18" i="53"/>
  <c r="AM59" i="53"/>
  <c r="AM100" i="53"/>
  <c r="AM19" i="53"/>
  <c r="AM60" i="53"/>
  <c r="AM101" i="53"/>
  <c r="AM20" i="53"/>
  <c r="AM61" i="53"/>
  <c r="AM102" i="53"/>
  <c r="AM21" i="53"/>
  <c r="AM62" i="53"/>
  <c r="AM103" i="53"/>
  <c r="AM22" i="53"/>
  <c r="AM63" i="53"/>
  <c r="AM104" i="53"/>
  <c r="AM23" i="53"/>
  <c r="AM64" i="53"/>
  <c r="AM105" i="53"/>
  <c r="AM24" i="53"/>
  <c r="AM65" i="53"/>
  <c r="AM106" i="53"/>
  <c r="AM25" i="53"/>
  <c r="AM66" i="53"/>
  <c r="AM107" i="53"/>
  <c r="AM26" i="53"/>
  <c r="AM67" i="53"/>
  <c r="AM108" i="53"/>
  <c r="AM27" i="53"/>
  <c r="AM68" i="53"/>
  <c r="AM109" i="53"/>
  <c r="AM28" i="53"/>
  <c r="AM69" i="53"/>
  <c r="AM110" i="53"/>
  <c r="AM29" i="53"/>
  <c r="AM70" i="53"/>
  <c r="AM111" i="53"/>
  <c r="AM30" i="53"/>
  <c r="AM71" i="53"/>
  <c r="AM112" i="53"/>
  <c r="AM31" i="53"/>
  <c r="AM72" i="53"/>
  <c r="AM113" i="53"/>
  <c r="AM32" i="53"/>
  <c r="AM73" i="53"/>
  <c r="AM114" i="53"/>
  <c r="AM33" i="53"/>
  <c r="AM74" i="53"/>
  <c r="AM115" i="53"/>
  <c r="AM34" i="53"/>
  <c r="AM75" i="53"/>
  <c r="AM116" i="53"/>
  <c r="AM35" i="53"/>
  <c r="AM76" i="53"/>
  <c r="AM117" i="53"/>
  <c r="AM36" i="53"/>
  <c r="AM77" i="53"/>
  <c r="AM118" i="53"/>
  <c r="AM37" i="53"/>
  <c r="AM78" i="53"/>
  <c r="AL37" i="53"/>
  <c r="AL78" i="53"/>
  <c r="AM119" i="53"/>
  <c r="AM129" i="53"/>
  <c r="AM134" i="53"/>
  <c r="AM175" i="53"/>
  <c r="AM215" i="53"/>
  <c r="AM217" i="53"/>
  <c r="AM258" i="53"/>
  <c r="AM299" i="53"/>
  <c r="AM135" i="53"/>
  <c r="AM176" i="53"/>
  <c r="AM218" i="53"/>
  <c r="AM259" i="53"/>
  <c r="AM300" i="53"/>
  <c r="AM136" i="53"/>
  <c r="AM177" i="53"/>
  <c r="AM219" i="53"/>
  <c r="AM260" i="53"/>
  <c r="AM301" i="53"/>
  <c r="AM137" i="53"/>
  <c r="AM178" i="53"/>
  <c r="AM220" i="53"/>
  <c r="AM261" i="53"/>
  <c r="AM302" i="53"/>
  <c r="AM138" i="53"/>
  <c r="AM179" i="53"/>
  <c r="AM221" i="53"/>
  <c r="AM262" i="53"/>
  <c r="AM303" i="53"/>
  <c r="AM139" i="53"/>
  <c r="AM180" i="53"/>
  <c r="AM222" i="53"/>
  <c r="AM263" i="53"/>
  <c r="AM304" i="53"/>
  <c r="AM140" i="53"/>
  <c r="AM181" i="53"/>
  <c r="AM223" i="53"/>
  <c r="AM264" i="53"/>
  <c r="AM305" i="53"/>
  <c r="AM141" i="53"/>
  <c r="AM182" i="53"/>
  <c r="AM224" i="53"/>
  <c r="AM265" i="53"/>
  <c r="AM306" i="53"/>
  <c r="AM142" i="53"/>
  <c r="AM183" i="53"/>
  <c r="AM225" i="53"/>
  <c r="AM266" i="53"/>
  <c r="AM307" i="53"/>
  <c r="AM143" i="53"/>
  <c r="AM184" i="53"/>
  <c r="AM226" i="53"/>
  <c r="AM267" i="53"/>
  <c r="AM308" i="53"/>
  <c r="AM144" i="53"/>
  <c r="AM185" i="53"/>
  <c r="AM227" i="53"/>
  <c r="AM268" i="53"/>
  <c r="AM309" i="53"/>
  <c r="AM145" i="53"/>
  <c r="AM186" i="53"/>
  <c r="AM228" i="53"/>
  <c r="AM269" i="53"/>
  <c r="AM310" i="53"/>
  <c r="AM146" i="53"/>
  <c r="AM187" i="53"/>
  <c r="AM229" i="53"/>
  <c r="AM270" i="53"/>
  <c r="AM311" i="53"/>
  <c r="AM147" i="53"/>
  <c r="AM188" i="53"/>
  <c r="AM230" i="53"/>
  <c r="AM271" i="53"/>
  <c r="AM312" i="53"/>
  <c r="AM148" i="53"/>
  <c r="AM189" i="53"/>
  <c r="AM231" i="53"/>
  <c r="AM272" i="53"/>
  <c r="AM313" i="53"/>
  <c r="AM149" i="53"/>
  <c r="AM190" i="53"/>
  <c r="AM232" i="53"/>
  <c r="AM273" i="53"/>
  <c r="AM314" i="53"/>
  <c r="AM150" i="53"/>
  <c r="AM191" i="53"/>
  <c r="AM233" i="53"/>
  <c r="AM274" i="53"/>
  <c r="AM315" i="53"/>
  <c r="AM151" i="53"/>
  <c r="AM192" i="53"/>
  <c r="AM234" i="53"/>
  <c r="AM275" i="53"/>
  <c r="AM316" i="53"/>
  <c r="AM152" i="53"/>
  <c r="AM193" i="53"/>
  <c r="AM235" i="53"/>
  <c r="AM276" i="53"/>
  <c r="AM317" i="53"/>
  <c r="AM153" i="53"/>
  <c r="AM194" i="53"/>
  <c r="AM236" i="53"/>
  <c r="AM277" i="53"/>
  <c r="AM318" i="53"/>
  <c r="AM154" i="53"/>
  <c r="AM195" i="53"/>
  <c r="AM237" i="53"/>
  <c r="AM278" i="53"/>
  <c r="AM319" i="53"/>
  <c r="AM155" i="53"/>
  <c r="AM196" i="53"/>
  <c r="AM238" i="53"/>
  <c r="AM279" i="53"/>
  <c r="AM320" i="53"/>
  <c r="AM156" i="53"/>
  <c r="AM197" i="53"/>
  <c r="AM239" i="53"/>
  <c r="AM280" i="53"/>
  <c r="AM321" i="53"/>
  <c r="AM157" i="53"/>
  <c r="AM198" i="53"/>
  <c r="AM240" i="53"/>
  <c r="AM281" i="53"/>
  <c r="AM322" i="53"/>
  <c r="AM158" i="53"/>
  <c r="AM199" i="53"/>
  <c r="AM241" i="53"/>
  <c r="AM282" i="53"/>
  <c r="AM323" i="53"/>
  <c r="AM159" i="53"/>
  <c r="AM200" i="53"/>
  <c r="AM242" i="53"/>
  <c r="AM283" i="53"/>
  <c r="AM324" i="53"/>
  <c r="AM160" i="53"/>
  <c r="AM201" i="53"/>
  <c r="AM243" i="53"/>
  <c r="AM284" i="53"/>
  <c r="AM325" i="53"/>
  <c r="AM161" i="53"/>
  <c r="AM202" i="53"/>
  <c r="AM244" i="53"/>
  <c r="AM285" i="53"/>
  <c r="AM326" i="53"/>
  <c r="AM162" i="53"/>
  <c r="AM203" i="53"/>
  <c r="AM245" i="53"/>
  <c r="AM286" i="53"/>
  <c r="AM327" i="53"/>
  <c r="AM163" i="53"/>
  <c r="AM204" i="53"/>
  <c r="AM246" i="53"/>
  <c r="AM287" i="53"/>
  <c r="AM328" i="53"/>
  <c r="AM164" i="53"/>
  <c r="AM205" i="53"/>
  <c r="AM247" i="53"/>
  <c r="AM288" i="53"/>
  <c r="AL164" i="53"/>
  <c r="AL205" i="53"/>
  <c r="AL288" i="53"/>
  <c r="AM329" i="53"/>
  <c r="AM339" i="53"/>
  <c r="AH12" i="32"/>
  <c r="AH29" i="32"/>
  <c r="AH85" i="32"/>
  <c r="AH86" i="32"/>
  <c r="AH87" i="32"/>
  <c r="AN7" i="53"/>
  <c r="AN48" i="53"/>
  <c r="AN89" i="53"/>
  <c r="AN8" i="53"/>
  <c r="AN49" i="53"/>
  <c r="AN90" i="53"/>
  <c r="AN9" i="53"/>
  <c r="AN50" i="53"/>
  <c r="AN91" i="53"/>
  <c r="AN10" i="53"/>
  <c r="AN51" i="53"/>
  <c r="AN92" i="53"/>
  <c r="AN11" i="53"/>
  <c r="AN52" i="53"/>
  <c r="AN93" i="53"/>
  <c r="AN12" i="53"/>
  <c r="AN53" i="53"/>
  <c r="AN94" i="53"/>
  <c r="AN13" i="53"/>
  <c r="AN54" i="53"/>
  <c r="AN95" i="53"/>
  <c r="AN14" i="53"/>
  <c r="AN55" i="53"/>
  <c r="AN96" i="53"/>
  <c r="AN15" i="53"/>
  <c r="AN56" i="53"/>
  <c r="AN97" i="53"/>
  <c r="AN16" i="53"/>
  <c r="AN57" i="53"/>
  <c r="AN98" i="53"/>
  <c r="AN17" i="53"/>
  <c r="AN58" i="53"/>
  <c r="AN99" i="53"/>
  <c r="AN18" i="53"/>
  <c r="AN59" i="53"/>
  <c r="AN100" i="53"/>
  <c r="AN19" i="53"/>
  <c r="AN60" i="53"/>
  <c r="AN101" i="53"/>
  <c r="AN20" i="53"/>
  <c r="AN61" i="53"/>
  <c r="AN102" i="53"/>
  <c r="AN21" i="53"/>
  <c r="AN62" i="53"/>
  <c r="AN103" i="53"/>
  <c r="AN22" i="53"/>
  <c r="AN63" i="53"/>
  <c r="AN104" i="53"/>
  <c r="AN23" i="53"/>
  <c r="AN64" i="53"/>
  <c r="AN105" i="53"/>
  <c r="AN24" i="53"/>
  <c r="AN65" i="53"/>
  <c r="AN106" i="53"/>
  <c r="AN25" i="53"/>
  <c r="AN66" i="53"/>
  <c r="AN107" i="53"/>
  <c r="AN26" i="53"/>
  <c r="AN67" i="53"/>
  <c r="AN108" i="53"/>
  <c r="AN27" i="53"/>
  <c r="AN68" i="53"/>
  <c r="AN109" i="53"/>
  <c r="AN28" i="53"/>
  <c r="AN69" i="53"/>
  <c r="AN110" i="53"/>
  <c r="AN29" i="53"/>
  <c r="AN70" i="53"/>
  <c r="AN111" i="53"/>
  <c r="AN30" i="53"/>
  <c r="AN71" i="53"/>
  <c r="AN112" i="53"/>
  <c r="AN31" i="53"/>
  <c r="AN72" i="53"/>
  <c r="AN113" i="53"/>
  <c r="AN32" i="53"/>
  <c r="AN73" i="53"/>
  <c r="AN114" i="53"/>
  <c r="AN33" i="53"/>
  <c r="AN74" i="53"/>
  <c r="AN115" i="53"/>
  <c r="AN34" i="53"/>
  <c r="AN75" i="53"/>
  <c r="AN116" i="53"/>
  <c r="AN35" i="53"/>
  <c r="AN76" i="53"/>
  <c r="AN117" i="53"/>
  <c r="AN36" i="53"/>
  <c r="AN77" i="53"/>
  <c r="AN118" i="53"/>
  <c r="AN37" i="53"/>
  <c r="AN78" i="53"/>
  <c r="AN119" i="53"/>
  <c r="AN38" i="53"/>
  <c r="AN79" i="53"/>
  <c r="AM38" i="53"/>
  <c r="AM79" i="53"/>
  <c r="AN120" i="53"/>
  <c r="AN129" i="53"/>
  <c r="AN134" i="53"/>
  <c r="AN175" i="53"/>
  <c r="AN215" i="53"/>
  <c r="AN217" i="53"/>
  <c r="AN258" i="53"/>
  <c r="AN299" i="53"/>
  <c r="AN135" i="53"/>
  <c r="AN176" i="53"/>
  <c r="AN218" i="53"/>
  <c r="AN259" i="53"/>
  <c r="AN300" i="53"/>
  <c r="AN136" i="53"/>
  <c r="AN177" i="53"/>
  <c r="AN219" i="53"/>
  <c r="AN260" i="53"/>
  <c r="AN301" i="53"/>
  <c r="AN137" i="53"/>
  <c r="AN178" i="53"/>
  <c r="AN220" i="53"/>
  <c r="AN261" i="53"/>
  <c r="AN302" i="53"/>
  <c r="AN138" i="53"/>
  <c r="AN179" i="53"/>
  <c r="AN221" i="53"/>
  <c r="AN262" i="53"/>
  <c r="AN303" i="53"/>
  <c r="AN139" i="53"/>
  <c r="AN180" i="53"/>
  <c r="AN222" i="53"/>
  <c r="AN263" i="53"/>
  <c r="AN304" i="53"/>
  <c r="AN140" i="53"/>
  <c r="AN181" i="53"/>
  <c r="AN223" i="53"/>
  <c r="AN264" i="53"/>
  <c r="AN305" i="53"/>
  <c r="AN141" i="53"/>
  <c r="AN182" i="53"/>
  <c r="AN224" i="53"/>
  <c r="AN265" i="53"/>
  <c r="AN306" i="53"/>
  <c r="AN142" i="53"/>
  <c r="AN183" i="53"/>
  <c r="AN225" i="53"/>
  <c r="AN266" i="53"/>
  <c r="AN307" i="53"/>
  <c r="AN143" i="53"/>
  <c r="AN184" i="53"/>
  <c r="AN226" i="53"/>
  <c r="AN267" i="53"/>
  <c r="AN308" i="53"/>
  <c r="AN144" i="53"/>
  <c r="AN185" i="53"/>
  <c r="AN227" i="53"/>
  <c r="AN268" i="53"/>
  <c r="AN309" i="53"/>
  <c r="AN145" i="53"/>
  <c r="AN186" i="53"/>
  <c r="AN228" i="53"/>
  <c r="AN269" i="53"/>
  <c r="AN310" i="53"/>
  <c r="AN146" i="53"/>
  <c r="AN187" i="53"/>
  <c r="AN229" i="53"/>
  <c r="AN270" i="53"/>
  <c r="AN311" i="53"/>
  <c r="AN147" i="53"/>
  <c r="AN188" i="53"/>
  <c r="AN230" i="53"/>
  <c r="AN271" i="53"/>
  <c r="AN312" i="53"/>
  <c r="AN148" i="53"/>
  <c r="AN189" i="53"/>
  <c r="AN231" i="53"/>
  <c r="AN272" i="53"/>
  <c r="AN313" i="53"/>
  <c r="AN149" i="53"/>
  <c r="AN190" i="53"/>
  <c r="AN232" i="53"/>
  <c r="AN273" i="53"/>
  <c r="AN314" i="53"/>
  <c r="AN150" i="53"/>
  <c r="AN191" i="53"/>
  <c r="AN233" i="53"/>
  <c r="AN274" i="53"/>
  <c r="AN315" i="53"/>
  <c r="AN151" i="53"/>
  <c r="AN192" i="53"/>
  <c r="AN234" i="53"/>
  <c r="AN275" i="53"/>
  <c r="AN316" i="53"/>
  <c r="AN152" i="53"/>
  <c r="AN193" i="53"/>
  <c r="AN235" i="53"/>
  <c r="AN276" i="53"/>
  <c r="AN317" i="53"/>
  <c r="AN153" i="53"/>
  <c r="AN194" i="53"/>
  <c r="AN236" i="53"/>
  <c r="AN277" i="53"/>
  <c r="AN318" i="53"/>
  <c r="AN154" i="53"/>
  <c r="AN195" i="53"/>
  <c r="AN237" i="53"/>
  <c r="AN278" i="53"/>
  <c r="AN319" i="53"/>
  <c r="AN155" i="53"/>
  <c r="AN196" i="53"/>
  <c r="AN238" i="53"/>
  <c r="AN279" i="53"/>
  <c r="AN320" i="53"/>
  <c r="AN156" i="53"/>
  <c r="AN197" i="53"/>
  <c r="AN239" i="53"/>
  <c r="AN280" i="53"/>
  <c r="AN321" i="53"/>
  <c r="AN157" i="53"/>
  <c r="AN198" i="53"/>
  <c r="AN240" i="53"/>
  <c r="AN281" i="53"/>
  <c r="AN322" i="53"/>
  <c r="AN158" i="53"/>
  <c r="AN199" i="53"/>
  <c r="AN241" i="53"/>
  <c r="AN282" i="53"/>
  <c r="AN323" i="53"/>
  <c r="AN159" i="53"/>
  <c r="AN200" i="53"/>
  <c r="AN242" i="53"/>
  <c r="AN283" i="53"/>
  <c r="AN324" i="53"/>
  <c r="AN160" i="53"/>
  <c r="AN201" i="53"/>
  <c r="AN243" i="53"/>
  <c r="AN284" i="53"/>
  <c r="AN325" i="53"/>
  <c r="AN161" i="53"/>
  <c r="AN202" i="53"/>
  <c r="AN244" i="53"/>
  <c r="AN285" i="53"/>
  <c r="AN326" i="53"/>
  <c r="AN162" i="53"/>
  <c r="AN203" i="53"/>
  <c r="AN245" i="53"/>
  <c r="AN286" i="53"/>
  <c r="AN327" i="53"/>
  <c r="AN163" i="53"/>
  <c r="AN204" i="53"/>
  <c r="AN246" i="53"/>
  <c r="AN287" i="53"/>
  <c r="AN328" i="53"/>
  <c r="AN164" i="53"/>
  <c r="AN205" i="53"/>
  <c r="AN247" i="53"/>
  <c r="AN288" i="53"/>
  <c r="AN329" i="53"/>
  <c r="AN165" i="53"/>
  <c r="AN206" i="53"/>
  <c r="AN248" i="53"/>
  <c r="AN289" i="53"/>
  <c r="AM165" i="53"/>
  <c r="AM206" i="53"/>
  <c r="AM289" i="53"/>
  <c r="AN330" i="53"/>
  <c r="AN339" i="53"/>
  <c r="AI12" i="32"/>
  <c r="AI29" i="32"/>
  <c r="AI85" i="32"/>
  <c r="AI86" i="32"/>
  <c r="AI87" i="32"/>
  <c r="AO7" i="53"/>
  <c r="AO48" i="53"/>
  <c r="AO89" i="53"/>
  <c r="AO8" i="53"/>
  <c r="AO49" i="53"/>
  <c r="AO90" i="53"/>
  <c r="AO9" i="53"/>
  <c r="AO50" i="53"/>
  <c r="AO91" i="53"/>
  <c r="AO10" i="53"/>
  <c r="AO51" i="53"/>
  <c r="AO92" i="53"/>
  <c r="AO11" i="53"/>
  <c r="AO52" i="53"/>
  <c r="AO93" i="53"/>
  <c r="AO12" i="53"/>
  <c r="AO53" i="53"/>
  <c r="AO94" i="53"/>
  <c r="AO13" i="53"/>
  <c r="AO54" i="53"/>
  <c r="AO95" i="53"/>
  <c r="AO14" i="53"/>
  <c r="AO55" i="53"/>
  <c r="AO96" i="53"/>
  <c r="AO15" i="53"/>
  <c r="AO56" i="53"/>
  <c r="AO97" i="53"/>
  <c r="AO16" i="53"/>
  <c r="AO57" i="53"/>
  <c r="AO98" i="53"/>
  <c r="AO17" i="53"/>
  <c r="AO58" i="53"/>
  <c r="AO99" i="53"/>
  <c r="AO18" i="53"/>
  <c r="AO59" i="53"/>
  <c r="AO100" i="53"/>
  <c r="AO19" i="53"/>
  <c r="AO60" i="53"/>
  <c r="AO101" i="53"/>
  <c r="AO20" i="53"/>
  <c r="AO61" i="53"/>
  <c r="AO102" i="53"/>
  <c r="AO21" i="53"/>
  <c r="AO62" i="53"/>
  <c r="AO103" i="53"/>
  <c r="AO22" i="53"/>
  <c r="AO63" i="53"/>
  <c r="AO104" i="53"/>
  <c r="AO23" i="53"/>
  <c r="AO64" i="53"/>
  <c r="AO105" i="53"/>
  <c r="AO24" i="53"/>
  <c r="AO65" i="53"/>
  <c r="AO106" i="53"/>
  <c r="AO25" i="53"/>
  <c r="AO66" i="53"/>
  <c r="AO107" i="53"/>
  <c r="AO26" i="53"/>
  <c r="AO67" i="53"/>
  <c r="AO108" i="53"/>
  <c r="AO27" i="53"/>
  <c r="AO68" i="53"/>
  <c r="AO109" i="53"/>
  <c r="AO28" i="53"/>
  <c r="AO69" i="53"/>
  <c r="AO110" i="53"/>
  <c r="AO29" i="53"/>
  <c r="AO70" i="53"/>
  <c r="AO111" i="53"/>
  <c r="AO30" i="53"/>
  <c r="AO71" i="53"/>
  <c r="AO112" i="53"/>
  <c r="AO31" i="53"/>
  <c r="AO72" i="53"/>
  <c r="AO113" i="53"/>
  <c r="AO32" i="53"/>
  <c r="AO73" i="53"/>
  <c r="AO114" i="53"/>
  <c r="AO33" i="53"/>
  <c r="AO74" i="53"/>
  <c r="AO115" i="53"/>
  <c r="AO34" i="53"/>
  <c r="AO75" i="53"/>
  <c r="AO116" i="53"/>
  <c r="AO35" i="53"/>
  <c r="AO76" i="53"/>
  <c r="AO117" i="53"/>
  <c r="AO36" i="53"/>
  <c r="AO77" i="53"/>
  <c r="AO118" i="53"/>
  <c r="AO37" i="53"/>
  <c r="AO78" i="53"/>
  <c r="AO119" i="53"/>
  <c r="AO38" i="53"/>
  <c r="AO79" i="53"/>
  <c r="AO120" i="53"/>
  <c r="AO39" i="53"/>
  <c r="AO80" i="53"/>
  <c r="AN39" i="53"/>
  <c r="AN80" i="53"/>
  <c r="AO121" i="53"/>
  <c r="AO129" i="53"/>
  <c r="AO134" i="53"/>
  <c r="AO175" i="53"/>
  <c r="AO215" i="53"/>
  <c r="AO217" i="53"/>
  <c r="AO258" i="53"/>
  <c r="AO299" i="53"/>
  <c r="AO135" i="53"/>
  <c r="AO176" i="53"/>
  <c r="AO218" i="53"/>
  <c r="AO259" i="53"/>
  <c r="AO300" i="53"/>
  <c r="AO136" i="53"/>
  <c r="AO177" i="53"/>
  <c r="AO219" i="53"/>
  <c r="AO260" i="53"/>
  <c r="AO301" i="53"/>
  <c r="AO137" i="53"/>
  <c r="AO178" i="53"/>
  <c r="AO220" i="53"/>
  <c r="AO261" i="53"/>
  <c r="AO302" i="53"/>
  <c r="AO138" i="53"/>
  <c r="AO179" i="53"/>
  <c r="AO221" i="53"/>
  <c r="AO262" i="53"/>
  <c r="AO303" i="53"/>
  <c r="AO139" i="53"/>
  <c r="AO180" i="53"/>
  <c r="AO222" i="53"/>
  <c r="AO263" i="53"/>
  <c r="AO304" i="53"/>
  <c r="AO140" i="53"/>
  <c r="AO181" i="53"/>
  <c r="AO223" i="53"/>
  <c r="AO264" i="53"/>
  <c r="AO305" i="53"/>
  <c r="AO141" i="53"/>
  <c r="AO182" i="53"/>
  <c r="AO224" i="53"/>
  <c r="AO265" i="53"/>
  <c r="AO306" i="53"/>
  <c r="AO142" i="53"/>
  <c r="AO183" i="53"/>
  <c r="AO225" i="53"/>
  <c r="AO266" i="53"/>
  <c r="AO307" i="53"/>
  <c r="AO143" i="53"/>
  <c r="AO184" i="53"/>
  <c r="AO226" i="53"/>
  <c r="AO267" i="53"/>
  <c r="AO308" i="53"/>
  <c r="AO144" i="53"/>
  <c r="AO185" i="53"/>
  <c r="AO227" i="53"/>
  <c r="AO268" i="53"/>
  <c r="AO309" i="53"/>
  <c r="AO145" i="53"/>
  <c r="AO186" i="53"/>
  <c r="AO228" i="53"/>
  <c r="AO269" i="53"/>
  <c r="AO310" i="53"/>
  <c r="AO146" i="53"/>
  <c r="AO187" i="53"/>
  <c r="AO229" i="53"/>
  <c r="AO270" i="53"/>
  <c r="AO311" i="53"/>
  <c r="AO147" i="53"/>
  <c r="AO188" i="53"/>
  <c r="AO230" i="53"/>
  <c r="AO271" i="53"/>
  <c r="AO312" i="53"/>
  <c r="AO148" i="53"/>
  <c r="AO189" i="53"/>
  <c r="AO231" i="53"/>
  <c r="AO272" i="53"/>
  <c r="AO313" i="53"/>
  <c r="AO149" i="53"/>
  <c r="AO190" i="53"/>
  <c r="AO232" i="53"/>
  <c r="AO273" i="53"/>
  <c r="AO314" i="53"/>
  <c r="AO150" i="53"/>
  <c r="AO191" i="53"/>
  <c r="AO233" i="53"/>
  <c r="AO274" i="53"/>
  <c r="AO315" i="53"/>
  <c r="AO151" i="53"/>
  <c r="AO192" i="53"/>
  <c r="AO234" i="53"/>
  <c r="AO275" i="53"/>
  <c r="AO316" i="53"/>
  <c r="AO152" i="53"/>
  <c r="AO193" i="53"/>
  <c r="AO235" i="53"/>
  <c r="AO276" i="53"/>
  <c r="AO317" i="53"/>
  <c r="AO153" i="53"/>
  <c r="AO194" i="53"/>
  <c r="AO236" i="53"/>
  <c r="AO277" i="53"/>
  <c r="AO318" i="53"/>
  <c r="AO154" i="53"/>
  <c r="AO195" i="53"/>
  <c r="AO237" i="53"/>
  <c r="AO278" i="53"/>
  <c r="AO319" i="53"/>
  <c r="AO155" i="53"/>
  <c r="AO196" i="53"/>
  <c r="AO238" i="53"/>
  <c r="AO279" i="53"/>
  <c r="AO320" i="53"/>
  <c r="AO156" i="53"/>
  <c r="AO197" i="53"/>
  <c r="AO239" i="53"/>
  <c r="AO280" i="53"/>
  <c r="AO321" i="53"/>
  <c r="AO157" i="53"/>
  <c r="AO198" i="53"/>
  <c r="AO240" i="53"/>
  <c r="AO281" i="53"/>
  <c r="AO322" i="53"/>
  <c r="AO158" i="53"/>
  <c r="AO199" i="53"/>
  <c r="AO241" i="53"/>
  <c r="AO282" i="53"/>
  <c r="AO323" i="53"/>
  <c r="AO159" i="53"/>
  <c r="AO200" i="53"/>
  <c r="AO242" i="53"/>
  <c r="AO283" i="53"/>
  <c r="AO324" i="53"/>
  <c r="AO160" i="53"/>
  <c r="AO201" i="53"/>
  <c r="AO243" i="53"/>
  <c r="AO284" i="53"/>
  <c r="AO325" i="53"/>
  <c r="AO161" i="53"/>
  <c r="AO202" i="53"/>
  <c r="AO244" i="53"/>
  <c r="AO285" i="53"/>
  <c r="AO326" i="53"/>
  <c r="AO162" i="53"/>
  <c r="AO203" i="53"/>
  <c r="AO245" i="53"/>
  <c r="AO286" i="53"/>
  <c r="AO327" i="53"/>
  <c r="AO163" i="53"/>
  <c r="AO204" i="53"/>
  <c r="AO246" i="53"/>
  <c r="AO287" i="53"/>
  <c r="AO328" i="53"/>
  <c r="AO164" i="53"/>
  <c r="AO205" i="53"/>
  <c r="AO247" i="53"/>
  <c r="AO288" i="53"/>
  <c r="AO329" i="53"/>
  <c r="AO165" i="53"/>
  <c r="AO206" i="53"/>
  <c r="AO248" i="53"/>
  <c r="AO289" i="53"/>
  <c r="AO330" i="53"/>
  <c r="AO166" i="53"/>
  <c r="AO207" i="53"/>
  <c r="AO249" i="53"/>
  <c r="AO290" i="53"/>
  <c r="AN166" i="53"/>
  <c r="AN207" i="53"/>
  <c r="AN290" i="53"/>
  <c r="AO331" i="53"/>
  <c r="AO339" i="53"/>
  <c r="AJ12" i="32"/>
  <c r="AJ29" i="32"/>
  <c r="AJ85" i="32"/>
  <c r="AJ86" i="32"/>
  <c r="AJ87" i="32"/>
  <c r="AP7" i="53"/>
  <c r="AP48" i="53"/>
  <c r="AP89" i="53"/>
  <c r="AP8" i="53"/>
  <c r="AP49" i="53"/>
  <c r="AP90" i="53"/>
  <c r="AP9" i="53"/>
  <c r="AP50" i="53"/>
  <c r="AP91" i="53"/>
  <c r="AP10" i="53"/>
  <c r="AP51" i="53"/>
  <c r="AP92" i="53"/>
  <c r="AP11" i="53"/>
  <c r="AP52" i="53"/>
  <c r="AP93" i="53"/>
  <c r="AP12" i="53"/>
  <c r="AP53" i="53"/>
  <c r="AP94" i="53"/>
  <c r="AP13" i="53"/>
  <c r="AP54" i="53"/>
  <c r="AP95" i="53"/>
  <c r="AP14" i="53"/>
  <c r="AP55" i="53"/>
  <c r="AP96" i="53"/>
  <c r="AP15" i="53"/>
  <c r="AP56" i="53"/>
  <c r="AP97" i="53"/>
  <c r="AP16" i="53"/>
  <c r="AP57" i="53"/>
  <c r="AP98" i="53"/>
  <c r="AP17" i="53"/>
  <c r="AP58" i="53"/>
  <c r="AP99" i="53"/>
  <c r="AP18" i="53"/>
  <c r="AP59" i="53"/>
  <c r="AP100" i="53"/>
  <c r="AP19" i="53"/>
  <c r="AP60" i="53"/>
  <c r="AP101" i="53"/>
  <c r="AP20" i="53"/>
  <c r="AP61" i="53"/>
  <c r="AP102" i="53"/>
  <c r="AP21" i="53"/>
  <c r="AP62" i="53"/>
  <c r="AP103" i="53"/>
  <c r="AP22" i="53"/>
  <c r="AP63" i="53"/>
  <c r="AP104" i="53"/>
  <c r="AP23" i="53"/>
  <c r="AP64" i="53"/>
  <c r="AP105" i="53"/>
  <c r="AP24" i="53"/>
  <c r="AP65" i="53"/>
  <c r="AP106" i="53"/>
  <c r="AP25" i="53"/>
  <c r="AP66" i="53"/>
  <c r="AP107" i="53"/>
  <c r="AP26" i="53"/>
  <c r="AP67" i="53"/>
  <c r="AP108" i="53"/>
  <c r="AP27" i="53"/>
  <c r="AP68" i="53"/>
  <c r="AP109" i="53"/>
  <c r="AP28" i="53"/>
  <c r="AP69" i="53"/>
  <c r="AP110" i="53"/>
  <c r="AP29" i="53"/>
  <c r="AP70" i="53"/>
  <c r="AP111" i="53"/>
  <c r="AP30" i="53"/>
  <c r="AP71" i="53"/>
  <c r="AP112" i="53"/>
  <c r="AP31" i="53"/>
  <c r="AP72" i="53"/>
  <c r="AP113" i="53"/>
  <c r="AP32" i="53"/>
  <c r="AP73" i="53"/>
  <c r="AP114" i="53"/>
  <c r="AP33" i="53"/>
  <c r="AP74" i="53"/>
  <c r="AP115" i="53"/>
  <c r="AP34" i="53"/>
  <c r="AP75" i="53"/>
  <c r="AP116" i="53"/>
  <c r="AP35" i="53"/>
  <c r="AP76" i="53"/>
  <c r="AP117" i="53"/>
  <c r="AP36" i="53"/>
  <c r="AP77" i="53"/>
  <c r="AP118" i="53"/>
  <c r="AP37" i="53"/>
  <c r="AP78" i="53"/>
  <c r="AP119" i="53"/>
  <c r="AP38" i="53"/>
  <c r="AP79" i="53"/>
  <c r="AP120" i="53"/>
  <c r="AP39" i="53"/>
  <c r="AP80" i="53"/>
  <c r="AP121" i="53"/>
  <c r="AP40" i="53"/>
  <c r="AP81" i="53"/>
  <c r="AO40" i="53"/>
  <c r="AO81" i="53"/>
  <c r="AP122" i="53"/>
  <c r="AP129" i="53"/>
  <c r="AP134" i="53"/>
  <c r="AP175" i="53"/>
  <c r="AP215" i="53"/>
  <c r="AP217" i="53"/>
  <c r="AP258" i="53"/>
  <c r="AP299" i="53"/>
  <c r="AP135" i="53"/>
  <c r="AP176" i="53"/>
  <c r="AP218" i="53"/>
  <c r="AP259" i="53"/>
  <c r="AP300" i="53"/>
  <c r="AP136" i="53"/>
  <c r="AP177" i="53"/>
  <c r="AP219" i="53"/>
  <c r="AP260" i="53"/>
  <c r="AP301" i="53"/>
  <c r="AP137" i="53"/>
  <c r="AP178" i="53"/>
  <c r="AP220" i="53"/>
  <c r="AP261" i="53"/>
  <c r="AP302" i="53"/>
  <c r="AP138" i="53"/>
  <c r="AP179" i="53"/>
  <c r="AP221" i="53"/>
  <c r="AP262" i="53"/>
  <c r="AP303" i="53"/>
  <c r="AP139" i="53"/>
  <c r="AP180" i="53"/>
  <c r="AP222" i="53"/>
  <c r="AP263" i="53"/>
  <c r="AP304" i="53"/>
  <c r="AP140" i="53"/>
  <c r="AP181" i="53"/>
  <c r="AP223" i="53"/>
  <c r="AP264" i="53"/>
  <c r="AP305" i="53"/>
  <c r="AP141" i="53"/>
  <c r="AP182" i="53"/>
  <c r="AP224" i="53"/>
  <c r="AP265" i="53"/>
  <c r="AP306" i="53"/>
  <c r="AP142" i="53"/>
  <c r="AP183" i="53"/>
  <c r="AP225" i="53"/>
  <c r="AP266" i="53"/>
  <c r="AP307" i="53"/>
  <c r="AP143" i="53"/>
  <c r="AP184" i="53"/>
  <c r="AP226" i="53"/>
  <c r="AP267" i="53"/>
  <c r="AP308" i="53"/>
  <c r="AP144" i="53"/>
  <c r="AP185" i="53"/>
  <c r="AP227" i="53"/>
  <c r="AP268" i="53"/>
  <c r="AP309" i="53"/>
  <c r="AP145" i="53"/>
  <c r="AP186" i="53"/>
  <c r="AP228" i="53"/>
  <c r="AP269" i="53"/>
  <c r="AP310" i="53"/>
  <c r="AP146" i="53"/>
  <c r="AP187" i="53"/>
  <c r="AP229" i="53"/>
  <c r="AP270" i="53"/>
  <c r="AP311" i="53"/>
  <c r="AP147" i="53"/>
  <c r="AP188" i="53"/>
  <c r="AP230" i="53"/>
  <c r="AP271" i="53"/>
  <c r="AP312" i="53"/>
  <c r="AP148" i="53"/>
  <c r="AP189" i="53"/>
  <c r="AP231" i="53"/>
  <c r="AP272" i="53"/>
  <c r="AP313" i="53"/>
  <c r="AP149" i="53"/>
  <c r="AP190" i="53"/>
  <c r="AP232" i="53"/>
  <c r="AP273" i="53"/>
  <c r="AP314" i="53"/>
  <c r="AP150" i="53"/>
  <c r="AP191" i="53"/>
  <c r="AP233" i="53"/>
  <c r="AP274" i="53"/>
  <c r="AP315" i="53"/>
  <c r="AP151" i="53"/>
  <c r="AP192" i="53"/>
  <c r="AP234" i="53"/>
  <c r="AP275" i="53"/>
  <c r="AP316" i="53"/>
  <c r="AP152" i="53"/>
  <c r="AP193" i="53"/>
  <c r="AP235" i="53"/>
  <c r="AP276" i="53"/>
  <c r="AP317" i="53"/>
  <c r="AP153" i="53"/>
  <c r="AP194" i="53"/>
  <c r="AP236" i="53"/>
  <c r="AP277" i="53"/>
  <c r="AP318" i="53"/>
  <c r="AP154" i="53"/>
  <c r="AP195" i="53"/>
  <c r="AP237" i="53"/>
  <c r="AP278" i="53"/>
  <c r="AP319" i="53"/>
  <c r="AP155" i="53"/>
  <c r="AP196" i="53"/>
  <c r="AP238" i="53"/>
  <c r="AP279" i="53"/>
  <c r="AP320" i="53"/>
  <c r="AP156" i="53"/>
  <c r="AP197" i="53"/>
  <c r="AP239" i="53"/>
  <c r="AP280" i="53"/>
  <c r="AP321" i="53"/>
  <c r="AP157" i="53"/>
  <c r="AP198" i="53"/>
  <c r="AP240" i="53"/>
  <c r="AP281" i="53"/>
  <c r="AP322" i="53"/>
  <c r="AP158" i="53"/>
  <c r="AP199" i="53"/>
  <c r="AP241" i="53"/>
  <c r="AP282" i="53"/>
  <c r="AP323" i="53"/>
  <c r="AP159" i="53"/>
  <c r="AP200" i="53"/>
  <c r="AP242" i="53"/>
  <c r="AP283" i="53"/>
  <c r="AP324" i="53"/>
  <c r="AP160" i="53"/>
  <c r="AP201" i="53"/>
  <c r="AP243" i="53"/>
  <c r="AP284" i="53"/>
  <c r="AP325" i="53"/>
  <c r="AP161" i="53"/>
  <c r="AP202" i="53"/>
  <c r="AP244" i="53"/>
  <c r="AP285" i="53"/>
  <c r="AP326" i="53"/>
  <c r="AP162" i="53"/>
  <c r="AP203" i="53"/>
  <c r="AP245" i="53"/>
  <c r="AP286" i="53"/>
  <c r="AP327" i="53"/>
  <c r="AP163" i="53"/>
  <c r="AP204" i="53"/>
  <c r="AP246" i="53"/>
  <c r="AP287" i="53"/>
  <c r="AP328" i="53"/>
  <c r="AP164" i="53"/>
  <c r="AP205" i="53"/>
  <c r="AP247" i="53"/>
  <c r="AP288" i="53"/>
  <c r="AP329" i="53"/>
  <c r="AP165" i="53"/>
  <c r="AP206" i="53"/>
  <c r="AP248" i="53"/>
  <c r="AP289" i="53"/>
  <c r="AP330" i="53"/>
  <c r="AP166" i="53"/>
  <c r="AP207" i="53"/>
  <c r="AP249" i="53"/>
  <c r="AP290" i="53"/>
  <c r="AP331" i="53"/>
  <c r="AP167" i="53"/>
  <c r="AP208" i="53"/>
  <c r="AP250" i="53"/>
  <c r="AP291" i="53"/>
  <c r="AO167" i="53"/>
  <c r="AO208" i="53"/>
  <c r="AO291" i="53"/>
  <c r="AP332" i="53"/>
  <c r="AP339" i="53"/>
  <c r="AK12" i="32"/>
  <c r="AK29" i="32"/>
  <c r="AK85" i="32"/>
  <c r="AK86" i="32"/>
  <c r="AK87" i="32"/>
  <c r="AQ7" i="53"/>
  <c r="AQ48" i="53"/>
  <c r="AQ89" i="53"/>
  <c r="AQ8" i="53"/>
  <c r="AQ49" i="53"/>
  <c r="AQ90" i="53"/>
  <c r="AQ9" i="53"/>
  <c r="AQ50" i="53"/>
  <c r="AQ91" i="53"/>
  <c r="AQ10" i="53"/>
  <c r="AQ51" i="53"/>
  <c r="AQ92" i="53"/>
  <c r="AQ11" i="53"/>
  <c r="AQ52" i="53"/>
  <c r="AQ93" i="53"/>
  <c r="AQ12" i="53"/>
  <c r="AQ53" i="53"/>
  <c r="AQ94" i="53"/>
  <c r="AQ13" i="53"/>
  <c r="AQ54" i="53"/>
  <c r="AQ95" i="53"/>
  <c r="AQ14" i="53"/>
  <c r="AQ55" i="53"/>
  <c r="AQ96" i="53"/>
  <c r="AQ15" i="53"/>
  <c r="AQ56" i="53"/>
  <c r="AQ97" i="53"/>
  <c r="AQ16" i="53"/>
  <c r="AQ57" i="53"/>
  <c r="AQ98" i="53"/>
  <c r="AQ17" i="53"/>
  <c r="AQ58" i="53"/>
  <c r="AQ99" i="53"/>
  <c r="AQ18" i="53"/>
  <c r="AQ59" i="53"/>
  <c r="AQ100" i="53"/>
  <c r="AQ19" i="53"/>
  <c r="AQ60" i="53"/>
  <c r="AQ101" i="53"/>
  <c r="AQ20" i="53"/>
  <c r="AQ61" i="53"/>
  <c r="AQ102" i="53"/>
  <c r="AQ21" i="53"/>
  <c r="AQ62" i="53"/>
  <c r="AQ103" i="53"/>
  <c r="AQ22" i="53"/>
  <c r="AQ63" i="53"/>
  <c r="AQ104" i="53"/>
  <c r="AQ23" i="53"/>
  <c r="AQ64" i="53"/>
  <c r="AQ105" i="53"/>
  <c r="AQ24" i="53"/>
  <c r="AQ65" i="53"/>
  <c r="AQ106" i="53"/>
  <c r="AQ25" i="53"/>
  <c r="AQ66" i="53"/>
  <c r="AQ107" i="53"/>
  <c r="AQ26" i="53"/>
  <c r="AQ67" i="53"/>
  <c r="AQ108" i="53"/>
  <c r="AQ27" i="53"/>
  <c r="AQ68" i="53"/>
  <c r="AQ109" i="53"/>
  <c r="AQ28" i="53"/>
  <c r="AQ69" i="53"/>
  <c r="AQ110" i="53"/>
  <c r="AQ29" i="53"/>
  <c r="AQ70" i="53"/>
  <c r="AQ111" i="53"/>
  <c r="AQ30" i="53"/>
  <c r="AQ71" i="53"/>
  <c r="AQ112" i="53"/>
  <c r="AQ31" i="53"/>
  <c r="AQ72" i="53"/>
  <c r="AQ113" i="53"/>
  <c r="AQ32" i="53"/>
  <c r="AQ73" i="53"/>
  <c r="AQ114" i="53"/>
  <c r="AQ33" i="53"/>
  <c r="AQ74" i="53"/>
  <c r="AQ115" i="53"/>
  <c r="AQ34" i="53"/>
  <c r="AQ75" i="53"/>
  <c r="AQ116" i="53"/>
  <c r="AQ35" i="53"/>
  <c r="AQ76" i="53"/>
  <c r="AQ117" i="53"/>
  <c r="AQ36" i="53"/>
  <c r="AQ77" i="53"/>
  <c r="AQ118" i="53"/>
  <c r="AQ37" i="53"/>
  <c r="AQ78" i="53"/>
  <c r="AQ119" i="53"/>
  <c r="AQ38" i="53"/>
  <c r="AQ79" i="53"/>
  <c r="AQ120" i="53"/>
  <c r="AQ39" i="53"/>
  <c r="AQ80" i="53"/>
  <c r="AQ121" i="53"/>
  <c r="AQ40" i="53"/>
  <c r="AQ81" i="53"/>
  <c r="AQ122" i="53"/>
  <c r="AQ41" i="53"/>
  <c r="AQ82" i="53"/>
  <c r="AP41" i="53"/>
  <c r="AP82" i="53"/>
  <c r="AQ123" i="53"/>
  <c r="AQ129" i="53"/>
  <c r="AQ134" i="53"/>
  <c r="AQ175" i="53"/>
  <c r="AQ215" i="53"/>
  <c r="AQ217" i="53"/>
  <c r="AQ258" i="53"/>
  <c r="AQ299" i="53"/>
  <c r="AQ135" i="53"/>
  <c r="AQ176" i="53"/>
  <c r="AQ218" i="53"/>
  <c r="AQ259" i="53"/>
  <c r="AQ300" i="53"/>
  <c r="AQ136" i="53"/>
  <c r="AQ177" i="53"/>
  <c r="AQ219" i="53"/>
  <c r="AQ260" i="53"/>
  <c r="AQ301" i="53"/>
  <c r="AQ137" i="53"/>
  <c r="AQ178" i="53"/>
  <c r="AQ220" i="53"/>
  <c r="AQ261" i="53"/>
  <c r="AQ302" i="53"/>
  <c r="AQ138" i="53"/>
  <c r="AQ179" i="53"/>
  <c r="AQ221" i="53"/>
  <c r="AQ262" i="53"/>
  <c r="AQ303" i="53"/>
  <c r="AQ139" i="53"/>
  <c r="AQ180" i="53"/>
  <c r="AQ222" i="53"/>
  <c r="AQ263" i="53"/>
  <c r="AQ304" i="53"/>
  <c r="AQ140" i="53"/>
  <c r="AQ181" i="53"/>
  <c r="AQ223" i="53"/>
  <c r="AQ264" i="53"/>
  <c r="AQ305" i="53"/>
  <c r="AQ141" i="53"/>
  <c r="AQ182" i="53"/>
  <c r="AQ224" i="53"/>
  <c r="AQ265" i="53"/>
  <c r="AQ306" i="53"/>
  <c r="AQ142" i="53"/>
  <c r="AQ183" i="53"/>
  <c r="AQ225" i="53"/>
  <c r="AQ266" i="53"/>
  <c r="AQ307" i="53"/>
  <c r="AQ143" i="53"/>
  <c r="AQ184" i="53"/>
  <c r="AQ226" i="53"/>
  <c r="AQ267" i="53"/>
  <c r="AQ308" i="53"/>
  <c r="AQ144" i="53"/>
  <c r="AQ185" i="53"/>
  <c r="AQ227" i="53"/>
  <c r="AQ268" i="53"/>
  <c r="AQ309" i="53"/>
  <c r="AQ145" i="53"/>
  <c r="AQ186" i="53"/>
  <c r="AQ228" i="53"/>
  <c r="AQ269" i="53"/>
  <c r="AQ310" i="53"/>
  <c r="AQ146" i="53"/>
  <c r="AQ187" i="53"/>
  <c r="AQ229" i="53"/>
  <c r="AQ270" i="53"/>
  <c r="AQ311" i="53"/>
  <c r="AQ147" i="53"/>
  <c r="AQ188" i="53"/>
  <c r="AQ230" i="53"/>
  <c r="AQ271" i="53"/>
  <c r="AQ312" i="53"/>
  <c r="AQ148" i="53"/>
  <c r="AQ189" i="53"/>
  <c r="AQ231" i="53"/>
  <c r="AQ272" i="53"/>
  <c r="AQ313" i="53"/>
  <c r="AQ149" i="53"/>
  <c r="AQ190" i="53"/>
  <c r="AQ232" i="53"/>
  <c r="AQ273" i="53"/>
  <c r="AQ314" i="53"/>
  <c r="AQ150" i="53"/>
  <c r="AQ191" i="53"/>
  <c r="AQ233" i="53"/>
  <c r="AQ274" i="53"/>
  <c r="AQ315" i="53"/>
  <c r="AQ151" i="53"/>
  <c r="AQ192" i="53"/>
  <c r="AQ234" i="53"/>
  <c r="AQ275" i="53"/>
  <c r="AQ316" i="53"/>
  <c r="AQ152" i="53"/>
  <c r="AQ193" i="53"/>
  <c r="AQ235" i="53"/>
  <c r="AQ276" i="53"/>
  <c r="AQ317" i="53"/>
  <c r="AQ153" i="53"/>
  <c r="AQ194" i="53"/>
  <c r="AQ236" i="53"/>
  <c r="AQ277" i="53"/>
  <c r="AQ318" i="53"/>
  <c r="AQ154" i="53"/>
  <c r="AQ195" i="53"/>
  <c r="AQ237" i="53"/>
  <c r="AQ278" i="53"/>
  <c r="AQ319" i="53"/>
  <c r="AQ155" i="53"/>
  <c r="AQ196" i="53"/>
  <c r="AQ238" i="53"/>
  <c r="AQ279" i="53"/>
  <c r="AQ320" i="53"/>
  <c r="AQ156" i="53"/>
  <c r="AQ197" i="53"/>
  <c r="AQ239" i="53"/>
  <c r="AQ280" i="53"/>
  <c r="AQ321" i="53"/>
  <c r="AQ157" i="53"/>
  <c r="AQ198" i="53"/>
  <c r="AQ240" i="53"/>
  <c r="AQ281" i="53"/>
  <c r="AQ322" i="53"/>
  <c r="AQ158" i="53"/>
  <c r="AQ199" i="53"/>
  <c r="AQ241" i="53"/>
  <c r="AQ282" i="53"/>
  <c r="AQ323" i="53"/>
  <c r="AQ159" i="53"/>
  <c r="AQ200" i="53"/>
  <c r="AQ242" i="53"/>
  <c r="AQ283" i="53"/>
  <c r="AQ324" i="53"/>
  <c r="AQ160" i="53"/>
  <c r="AQ201" i="53"/>
  <c r="AQ243" i="53"/>
  <c r="AQ284" i="53"/>
  <c r="AQ325" i="53"/>
  <c r="AQ161" i="53"/>
  <c r="AQ202" i="53"/>
  <c r="AQ244" i="53"/>
  <c r="AQ285" i="53"/>
  <c r="AQ326" i="53"/>
  <c r="AQ162" i="53"/>
  <c r="AQ203" i="53"/>
  <c r="AQ245" i="53"/>
  <c r="AQ286" i="53"/>
  <c r="AQ327" i="53"/>
  <c r="AQ163" i="53"/>
  <c r="AQ204" i="53"/>
  <c r="AQ246" i="53"/>
  <c r="AQ287" i="53"/>
  <c r="AQ328" i="53"/>
  <c r="AQ164" i="53"/>
  <c r="AQ205" i="53"/>
  <c r="AQ247" i="53"/>
  <c r="AQ288" i="53"/>
  <c r="AQ329" i="53"/>
  <c r="AQ165" i="53"/>
  <c r="AQ206" i="53"/>
  <c r="AQ248" i="53"/>
  <c r="AQ289" i="53"/>
  <c r="AQ330" i="53"/>
  <c r="AQ166" i="53"/>
  <c r="AQ207" i="53"/>
  <c r="AQ249" i="53"/>
  <c r="AQ290" i="53"/>
  <c r="AQ331" i="53"/>
  <c r="AQ167" i="53"/>
  <c r="AQ208" i="53"/>
  <c r="AQ250" i="53"/>
  <c r="AQ291" i="53"/>
  <c r="AQ332" i="53"/>
  <c r="AQ168" i="53"/>
  <c r="AQ209" i="53"/>
  <c r="AQ251" i="53"/>
  <c r="AQ292" i="53"/>
  <c r="AP168" i="53"/>
  <c r="AP209" i="53"/>
  <c r="AP292" i="53"/>
  <c r="AQ333" i="53"/>
  <c r="AQ339" i="53"/>
  <c r="AL12" i="32"/>
  <c r="AL29" i="32"/>
  <c r="AL85" i="32"/>
  <c r="AL86" i="32"/>
  <c r="AL87" i="32"/>
  <c r="AR7" i="53"/>
  <c r="AR48" i="53"/>
  <c r="AR89" i="53"/>
  <c r="AR8" i="53"/>
  <c r="AR49" i="53"/>
  <c r="AR90" i="53"/>
  <c r="AR9" i="53"/>
  <c r="AR50" i="53"/>
  <c r="AR91" i="53"/>
  <c r="AR10" i="53"/>
  <c r="AR51" i="53"/>
  <c r="AR92" i="53"/>
  <c r="AR11" i="53"/>
  <c r="AR52" i="53"/>
  <c r="AR93" i="53"/>
  <c r="AR12" i="53"/>
  <c r="AR53" i="53"/>
  <c r="AR94" i="53"/>
  <c r="AR13" i="53"/>
  <c r="AR54" i="53"/>
  <c r="AR95" i="53"/>
  <c r="AR14" i="53"/>
  <c r="AR55" i="53"/>
  <c r="AR96" i="53"/>
  <c r="AR15" i="53"/>
  <c r="AR56" i="53"/>
  <c r="AR97" i="53"/>
  <c r="AR16" i="53"/>
  <c r="AR57" i="53"/>
  <c r="AR98" i="53"/>
  <c r="AR17" i="53"/>
  <c r="AR58" i="53"/>
  <c r="AR99" i="53"/>
  <c r="AR18" i="53"/>
  <c r="AR59" i="53"/>
  <c r="AR100" i="53"/>
  <c r="AR19" i="53"/>
  <c r="AR60" i="53"/>
  <c r="AR101" i="53"/>
  <c r="AR20" i="53"/>
  <c r="AR61" i="53"/>
  <c r="AR102" i="53"/>
  <c r="AR21" i="53"/>
  <c r="AR62" i="53"/>
  <c r="AR103" i="53"/>
  <c r="AR22" i="53"/>
  <c r="AR63" i="53"/>
  <c r="AR104" i="53"/>
  <c r="AR23" i="53"/>
  <c r="AR64" i="53"/>
  <c r="AR105" i="53"/>
  <c r="AR24" i="53"/>
  <c r="AR65" i="53"/>
  <c r="AR106" i="53"/>
  <c r="AR25" i="53"/>
  <c r="AR66" i="53"/>
  <c r="AR107" i="53"/>
  <c r="AR26" i="53"/>
  <c r="AR67" i="53"/>
  <c r="AR108" i="53"/>
  <c r="AR27" i="53"/>
  <c r="AR68" i="53"/>
  <c r="AR109" i="53"/>
  <c r="AR28" i="53"/>
  <c r="AR69" i="53"/>
  <c r="AR110" i="53"/>
  <c r="AR29" i="53"/>
  <c r="AR70" i="53"/>
  <c r="AR111" i="53"/>
  <c r="AR30" i="53"/>
  <c r="AR71" i="53"/>
  <c r="AR112" i="53"/>
  <c r="AR31" i="53"/>
  <c r="AR72" i="53"/>
  <c r="AR113" i="53"/>
  <c r="AR32" i="53"/>
  <c r="AR73" i="53"/>
  <c r="AR114" i="53"/>
  <c r="AR33" i="53"/>
  <c r="AR74" i="53"/>
  <c r="AR115" i="53"/>
  <c r="AR34" i="53"/>
  <c r="AR75" i="53"/>
  <c r="AR116" i="53"/>
  <c r="AR35" i="53"/>
  <c r="AR76" i="53"/>
  <c r="AR117" i="53"/>
  <c r="AR36" i="53"/>
  <c r="AR77" i="53"/>
  <c r="AR118" i="53"/>
  <c r="AR37" i="53"/>
  <c r="AR78" i="53"/>
  <c r="AR119" i="53"/>
  <c r="AR38" i="53"/>
  <c r="AR79" i="53"/>
  <c r="AR120" i="53"/>
  <c r="AR39" i="53"/>
  <c r="AR80" i="53"/>
  <c r="AR121" i="53"/>
  <c r="AR40" i="53"/>
  <c r="AR81" i="53"/>
  <c r="AR122" i="53"/>
  <c r="AR41" i="53"/>
  <c r="AR82" i="53"/>
  <c r="AR123" i="53"/>
  <c r="AR42" i="53"/>
  <c r="AR83" i="53"/>
  <c r="AQ42" i="53"/>
  <c r="AQ83" i="53"/>
  <c r="AR124" i="53"/>
  <c r="AR129" i="53"/>
  <c r="AR134" i="53"/>
  <c r="AR175" i="53"/>
  <c r="AR215" i="53"/>
  <c r="AR217" i="53"/>
  <c r="AR258" i="53"/>
  <c r="AR299" i="53"/>
  <c r="AR135" i="53"/>
  <c r="AR176" i="53"/>
  <c r="AR218" i="53"/>
  <c r="AR259" i="53"/>
  <c r="AR300" i="53"/>
  <c r="AR136" i="53"/>
  <c r="AR177" i="53"/>
  <c r="AR219" i="53"/>
  <c r="AR260" i="53"/>
  <c r="AR301" i="53"/>
  <c r="AR137" i="53"/>
  <c r="AR178" i="53"/>
  <c r="AR220" i="53"/>
  <c r="AR261" i="53"/>
  <c r="AR302" i="53"/>
  <c r="AR138" i="53"/>
  <c r="AR179" i="53"/>
  <c r="AR221" i="53"/>
  <c r="AR262" i="53"/>
  <c r="AR303" i="53"/>
  <c r="AR139" i="53"/>
  <c r="AR180" i="53"/>
  <c r="AR222" i="53"/>
  <c r="AR263" i="53"/>
  <c r="AR304" i="53"/>
  <c r="AR140" i="53"/>
  <c r="AR181" i="53"/>
  <c r="AR223" i="53"/>
  <c r="AR264" i="53"/>
  <c r="AR305" i="53"/>
  <c r="AR141" i="53"/>
  <c r="AR182" i="53"/>
  <c r="AR224" i="53"/>
  <c r="AR265" i="53"/>
  <c r="AR306" i="53"/>
  <c r="AR142" i="53"/>
  <c r="AR183" i="53"/>
  <c r="AR225" i="53"/>
  <c r="AR266" i="53"/>
  <c r="AR307" i="53"/>
  <c r="AR143" i="53"/>
  <c r="AR184" i="53"/>
  <c r="AR226" i="53"/>
  <c r="AR267" i="53"/>
  <c r="AR308" i="53"/>
  <c r="AR144" i="53"/>
  <c r="AR185" i="53"/>
  <c r="AR227" i="53"/>
  <c r="AR268" i="53"/>
  <c r="AR309" i="53"/>
  <c r="AR145" i="53"/>
  <c r="AR186" i="53"/>
  <c r="AR228" i="53"/>
  <c r="AR269" i="53"/>
  <c r="AR310" i="53"/>
  <c r="AR146" i="53"/>
  <c r="AR187" i="53"/>
  <c r="AR229" i="53"/>
  <c r="AR270" i="53"/>
  <c r="AR311" i="53"/>
  <c r="AR147" i="53"/>
  <c r="AR188" i="53"/>
  <c r="AR230" i="53"/>
  <c r="AR271" i="53"/>
  <c r="AR312" i="53"/>
  <c r="AR148" i="53"/>
  <c r="AR189" i="53"/>
  <c r="AR231" i="53"/>
  <c r="AR272" i="53"/>
  <c r="AR313" i="53"/>
  <c r="AR149" i="53"/>
  <c r="AR190" i="53"/>
  <c r="AR232" i="53"/>
  <c r="AR273" i="53"/>
  <c r="AR314" i="53"/>
  <c r="AR150" i="53"/>
  <c r="AR191" i="53"/>
  <c r="AR233" i="53"/>
  <c r="AR274" i="53"/>
  <c r="AR315" i="53"/>
  <c r="AR151" i="53"/>
  <c r="AR192" i="53"/>
  <c r="AR234" i="53"/>
  <c r="AR275" i="53"/>
  <c r="AR316" i="53"/>
  <c r="AR152" i="53"/>
  <c r="AR193" i="53"/>
  <c r="AR235" i="53"/>
  <c r="AR276" i="53"/>
  <c r="AR317" i="53"/>
  <c r="AR153" i="53"/>
  <c r="AR194" i="53"/>
  <c r="AR236" i="53"/>
  <c r="AR277" i="53"/>
  <c r="AR318" i="53"/>
  <c r="AR154" i="53"/>
  <c r="AR195" i="53"/>
  <c r="AR237" i="53"/>
  <c r="AR278" i="53"/>
  <c r="AR319" i="53"/>
  <c r="AR155" i="53"/>
  <c r="AR196" i="53"/>
  <c r="AR238" i="53"/>
  <c r="AR279" i="53"/>
  <c r="AR320" i="53"/>
  <c r="AR156" i="53"/>
  <c r="AR197" i="53"/>
  <c r="AR239" i="53"/>
  <c r="AR280" i="53"/>
  <c r="AR321" i="53"/>
  <c r="AR157" i="53"/>
  <c r="AR198" i="53"/>
  <c r="AR240" i="53"/>
  <c r="AR281" i="53"/>
  <c r="AR322" i="53"/>
  <c r="AR158" i="53"/>
  <c r="AR199" i="53"/>
  <c r="AR241" i="53"/>
  <c r="AR282" i="53"/>
  <c r="AR323" i="53"/>
  <c r="AR159" i="53"/>
  <c r="AR200" i="53"/>
  <c r="AR242" i="53"/>
  <c r="AR283" i="53"/>
  <c r="AR324" i="53"/>
  <c r="AR160" i="53"/>
  <c r="AR201" i="53"/>
  <c r="AR243" i="53"/>
  <c r="AR284" i="53"/>
  <c r="AR325" i="53"/>
  <c r="AR161" i="53"/>
  <c r="AR202" i="53"/>
  <c r="AR244" i="53"/>
  <c r="AR285" i="53"/>
  <c r="AR326" i="53"/>
  <c r="AR162" i="53"/>
  <c r="AR203" i="53"/>
  <c r="AR245" i="53"/>
  <c r="AR286" i="53"/>
  <c r="AR327" i="53"/>
  <c r="AR163" i="53"/>
  <c r="AR204" i="53"/>
  <c r="AR246" i="53"/>
  <c r="AR287" i="53"/>
  <c r="AR328" i="53"/>
  <c r="AR164" i="53"/>
  <c r="AR205" i="53"/>
  <c r="AR247" i="53"/>
  <c r="AR288" i="53"/>
  <c r="AR329" i="53"/>
  <c r="AR165" i="53"/>
  <c r="AR206" i="53"/>
  <c r="AR248" i="53"/>
  <c r="AR289" i="53"/>
  <c r="AR330" i="53"/>
  <c r="AR166" i="53"/>
  <c r="AR207" i="53"/>
  <c r="AR249" i="53"/>
  <c r="AR290" i="53"/>
  <c r="AR331" i="53"/>
  <c r="AR167" i="53"/>
  <c r="AR208" i="53"/>
  <c r="AR250" i="53"/>
  <c r="AR291" i="53"/>
  <c r="AR332" i="53"/>
  <c r="AR168" i="53"/>
  <c r="AR209" i="53"/>
  <c r="AR251" i="53"/>
  <c r="AR292" i="53"/>
  <c r="AR333" i="53"/>
  <c r="AR169" i="53"/>
  <c r="AR210" i="53"/>
  <c r="AR252" i="53"/>
  <c r="AR293" i="53"/>
  <c r="AQ169" i="53"/>
  <c r="AQ210" i="53"/>
  <c r="AQ293" i="53"/>
  <c r="AR334" i="53"/>
  <c r="AR339" i="53"/>
  <c r="AM12" i="32"/>
  <c r="AM29" i="32"/>
  <c r="AM85" i="32"/>
  <c r="AM86" i="32"/>
  <c r="AM87" i="32"/>
  <c r="AS7" i="53"/>
  <c r="AS48" i="53"/>
  <c r="AS89" i="53"/>
  <c r="AS8" i="53"/>
  <c r="AS49" i="53"/>
  <c r="AS90" i="53"/>
  <c r="AS9" i="53"/>
  <c r="AS50" i="53"/>
  <c r="AS91" i="53"/>
  <c r="AS10" i="53"/>
  <c r="AS51" i="53"/>
  <c r="AS92" i="53"/>
  <c r="AS11" i="53"/>
  <c r="AS52" i="53"/>
  <c r="AS93" i="53"/>
  <c r="AS12" i="53"/>
  <c r="AS53" i="53"/>
  <c r="AS94" i="53"/>
  <c r="AS13" i="53"/>
  <c r="AS54" i="53"/>
  <c r="AS95" i="53"/>
  <c r="AS14" i="53"/>
  <c r="AS55" i="53"/>
  <c r="AS96" i="53"/>
  <c r="AS15" i="53"/>
  <c r="AS56" i="53"/>
  <c r="AS97" i="53"/>
  <c r="AS16" i="53"/>
  <c r="AS57" i="53"/>
  <c r="AS98" i="53"/>
  <c r="AS17" i="53"/>
  <c r="AS58" i="53"/>
  <c r="AS99" i="53"/>
  <c r="AS18" i="53"/>
  <c r="AS59" i="53"/>
  <c r="AS100" i="53"/>
  <c r="AS19" i="53"/>
  <c r="AS60" i="53"/>
  <c r="AS101" i="53"/>
  <c r="AS20" i="53"/>
  <c r="AS61" i="53"/>
  <c r="AS102" i="53"/>
  <c r="AS21" i="53"/>
  <c r="AS62" i="53"/>
  <c r="AS103" i="53"/>
  <c r="AS22" i="53"/>
  <c r="AS63" i="53"/>
  <c r="AS104" i="53"/>
  <c r="AS23" i="53"/>
  <c r="AS64" i="53"/>
  <c r="AS105" i="53"/>
  <c r="AS24" i="53"/>
  <c r="AS65" i="53"/>
  <c r="AS106" i="53"/>
  <c r="AS25" i="53"/>
  <c r="AS66" i="53"/>
  <c r="AS107" i="53"/>
  <c r="AS26" i="53"/>
  <c r="AS67" i="53"/>
  <c r="AS108" i="53"/>
  <c r="AS27" i="53"/>
  <c r="AS68" i="53"/>
  <c r="AS109" i="53"/>
  <c r="AS28" i="53"/>
  <c r="AS69" i="53"/>
  <c r="AS110" i="53"/>
  <c r="AS29" i="53"/>
  <c r="AS70" i="53"/>
  <c r="AS111" i="53"/>
  <c r="AS30" i="53"/>
  <c r="AS71" i="53"/>
  <c r="AS112" i="53"/>
  <c r="AS31" i="53"/>
  <c r="AS72" i="53"/>
  <c r="AS113" i="53"/>
  <c r="AS32" i="53"/>
  <c r="AS73" i="53"/>
  <c r="AS114" i="53"/>
  <c r="AS33" i="53"/>
  <c r="AS74" i="53"/>
  <c r="AS115" i="53"/>
  <c r="AS34" i="53"/>
  <c r="AS75" i="53"/>
  <c r="AS116" i="53"/>
  <c r="AS35" i="53"/>
  <c r="AS76" i="53"/>
  <c r="AS117" i="53"/>
  <c r="AS36" i="53"/>
  <c r="AS77" i="53"/>
  <c r="AS118" i="53"/>
  <c r="AS37" i="53"/>
  <c r="AS78" i="53"/>
  <c r="AS119" i="53"/>
  <c r="AS38" i="53"/>
  <c r="AS79" i="53"/>
  <c r="AS120" i="53"/>
  <c r="AS39" i="53"/>
  <c r="AS80" i="53"/>
  <c r="AS121" i="53"/>
  <c r="AS40" i="53"/>
  <c r="AS81" i="53"/>
  <c r="AS122" i="53"/>
  <c r="AS41" i="53"/>
  <c r="AS82" i="53"/>
  <c r="AS123" i="53"/>
  <c r="AS42" i="53"/>
  <c r="AS83" i="53"/>
  <c r="AS124" i="53"/>
  <c r="AS43" i="53"/>
  <c r="AS84" i="53"/>
  <c r="AR43" i="53"/>
  <c r="AR84" i="53"/>
  <c r="AS125" i="53"/>
  <c r="AS129" i="53"/>
  <c r="AS134" i="53"/>
  <c r="AS175" i="53"/>
  <c r="AS215" i="53"/>
  <c r="AS217" i="53"/>
  <c r="AS258" i="53"/>
  <c r="AS299" i="53"/>
  <c r="AS135" i="53"/>
  <c r="AS176" i="53"/>
  <c r="AS218" i="53"/>
  <c r="AS259" i="53"/>
  <c r="AS300" i="53"/>
  <c r="AS136" i="53"/>
  <c r="AS177" i="53"/>
  <c r="AS219" i="53"/>
  <c r="AS260" i="53"/>
  <c r="AS301" i="53"/>
  <c r="AS137" i="53"/>
  <c r="AS178" i="53"/>
  <c r="AS220" i="53"/>
  <c r="AS261" i="53"/>
  <c r="AS302" i="53"/>
  <c r="AS138" i="53"/>
  <c r="AS179" i="53"/>
  <c r="AS221" i="53"/>
  <c r="AS262" i="53"/>
  <c r="AS303" i="53"/>
  <c r="AS139" i="53"/>
  <c r="AS180" i="53"/>
  <c r="AS222" i="53"/>
  <c r="AS263" i="53"/>
  <c r="AS304" i="53"/>
  <c r="AS140" i="53"/>
  <c r="AS181" i="53"/>
  <c r="AS223" i="53"/>
  <c r="AS264" i="53"/>
  <c r="AS305" i="53"/>
  <c r="AS141" i="53"/>
  <c r="AS182" i="53"/>
  <c r="AS224" i="53"/>
  <c r="AS265" i="53"/>
  <c r="AS306" i="53"/>
  <c r="AS142" i="53"/>
  <c r="AS183" i="53"/>
  <c r="AS225" i="53"/>
  <c r="AS266" i="53"/>
  <c r="AS307" i="53"/>
  <c r="AS143" i="53"/>
  <c r="AS184" i="53"/>
  <c r="AS226" i="53"/>
  <c r="AS267" i="53"/>
  <c r="AS308" i="53"/>
  <c r="AS144" i="53"/>
  <c r="AS185" i="53"/>
  <c r="AS227" i="53"/>
  <c r="AS268" i="53"/>
  <c r="AS309" i="53"/>
  <c r="AS145" i="53"/>
  <c r="AS186" i="53"/>
  <c r="AS228" i="53"/>
  <c r="AS269" i="53"/>
  <c r="AS310" i="53"/>
  <c r="AS146" i="53"/>
  <c r="AS187" i="53"/>
  <c r="AS229" i="53"/>
  <c r="AS270" i="53"/>
  <c r="AS311" i="53"/>
  <c r="AS147" i="53"/>
  <c r="AS188" i="53"/>
  <c r="AS230" i="53"/>
  <c r="AS271" i="53"/>
  <c r="AS312" i="53"/>
  <c r="AS148" i="53"/>
  <c r="AS189" i="53"/>
  <c r="AS231" i="53"/>
  <c r="AS272" i="53"/>
  <c r="AS313" i="53"/>
  <c r="AS149" i="53"/>
  <c r="AS190" i="53"/>
  <c r="AS232" i="53"/>
  <c r="AS273" i="53"/>
  <c r="AS314" i="53"/>
  <c r="AS150" i="53"/>
  <c r="AS191" i="53"/>
  <c r="AS233" i="53"/>
  <c r="AS274" i="53"/>
  <c r="AS315" i="53"/>
  <c r="AS151" i="53"/>
  <c r="AS192" i="53"/>
  <c r="AS234" i="53"/>
  <c r="AS275" i="53"/>
  <c r="AS316" i="53"/>
  <c r="AS152" i="53"/>
  <c r="AS193" i="53"/>
  <c r="AS235" i="53"/>
  <c r="AS276" i="53"/>
  <c r="AS317" i="53"/>
  <c r="AS153" i="53"/>
  <c r="AS194" i="53"/>
  <c r="AS236" i="53"/>
  <c r="AS277" i="53"/>
  <c r="AS318" i="53"/>
  <c r="AS154" i="53"/>
  <c r="AS195" i="53"/>
  <c r="AS237" i="53"/>
  <c r="AS278" i="53"/>
  <c r="AS319" i="53"/>
  <c r="AS155" i="53"/>
  <c r="AS196" i="53"/>
  <c r="AS238" i="53"/>
  <c r="AS279" i="53"/>
  <c r="AS320" i="53"/>
  <c r="AS156" i="53"/>
  <c r="AS197" i="53"/>
  <c r="AS239" i="53"/>
  <c r="AS280" i="53"/>
  <c r="AS321" i="53"/>
  <c r="AS157" i="53"/>
  <c r="AS198" i="53"/>
  <c r="AS240" i="53"/>
  <c r="AS281" i="53"/>
  <c r="AS322" i="53"/>
  <c r="AS158" i="53"/>
  <c r="AS199" i="53"/>
  <c r="AS241" i="53"/>
  <c r="AS282" i="53"/>
  <c r="AS323" i="53"/>
  <c r="AS159" i="53"/>
  <c r="AS200" i="53"/>
  <c r="AS242" i="53"/>
  <c r="AS283" i="53"/>
  <c r="AS324" i="53"/>
  <c r="AS160" i="53"/>
  <c r="AS201" i="53"/>
  <c r="AS243" i="53"/>
  <c r="AS284" i="53"/>
  <c r="AS325" i="53"/>
  <c r="AS161" i="53"/>
  <c r="AS202" i="53"/>
  <c r="AS244" i="53"/>
  <c r="AS285" i="53"/>
  <c r="AS326" i="53"/>
  <c r="AS162" i="53"/>
  <c r="AS203" i="53"/>
  <c r="AS245" i="53"/>
  <c r="AS286" i="53"/>
  <c r="AS327" i="53"/>
  <c r="AS163" i="53"/>
  <c r="AS204" i="53"/>
  <c r="AS246" i="53"/>
  <c r="AS287" i="53"/>
  <c r="AS328" i="53"/>
  <c r="AS164" i="53"/>
  <c r="AS205" i="53"/>
  <c r="AS247" i="53"/>
  <c r="AS288" i="53"/>
  <c r="AS329" i="53"/>
  <c r="AS165" i="53"/>
  <c r="AS206" i="53"/>
  <c r="AS248" i="53"/>
  <c r="AS289" i="53"/>
  <c r="AS330" i="53"/>
  <c r="AS166" i="53"/>
  <c r="AS207" i="53"/>
  <c r="AS249" i="53"/>
  <c r="AS290" i="53"/>
  <c r="AS331" i="53"/>
  <c r="AS167" i="53"/>
  <c r="AS208" i="53"/>
  <c r="AS250" i="53"/>
  <c r="AS291" i="53"/>
  <c r="AS332" i="53"/>
  <c r="AS168" i="53"/>
  <c r="AS209" i="53"/>
  <c r="AS251" i="53"/>
  <c r="AS292" i="53"/>
  <c r="AS333" i="53"/>
  <c r="AS169" i="53"/>
  <c r="AS210" i="53"/>
  <c r="AS252" i="53"/>
  <c r="AS293" i="53"/>
  <c r="AS334" i="53"/>
  <c r="AS170" i="53"/>
  <c r="AS211" i="53"/>
  <c r="AS253" i="53"/>
  <c r="AS294" i="53"/>
  <c r="AR170" i="53"/>
  <c r="AR211" i="53"/>
  <c r="AR294" i="53"/>
  <c r="AS335" i="53"/>
  <c r="AS339" i="53"/>
  <c r="AN12" i="32"/>
  <c r="AN29" i="32"/>
  <c r="AN85" i="32"/>
  <c r="AN86" i="32"/>
  <c r="AN87" i="32"/>
  <c r="AT7" i="53"/>
  <c r="AT48" i="53"/>
  <c r="AT89" i="53"/>
  <c r="AT8" i="53"/>
  <c r="AT49" i="53"/>
  <c r="AT90" i="53"/>
  <c r="AT9" i="53"/>
  <c r="AT50" i="53"/>
  <c r="AT91" i="53"/>
  <c r="AT10" i="53"/>
  <c r="AT51" i="53"/>
  <c r="AT92" i="53"/>
  <c r="AT11" i="53"/>
  <c r="AT52" i="53"/>
  <c r="AT93" i="53"/>
  <c r="AT12" i="53"/>
  <c r="AT53" i="53"/>
  <c r="AT94" i="53"/>
  <c r="AT13" i="53"/>
  <c r="AT54" i="53"/>
  <c r="AT95" i="53"/>
  <c r="AT14" i="53"/>
  <c r="AT55" i="53"/>
  <c r="AT96" i="53"/>
  <c r="AT15" i="53"/>
  <c r="AT56" i="53"/>
  <c r="AT97" i="53"/>
  <c r="AT16" i="53"/>
  <c r="AT57" i="53"/>
  <c r="AT98" i="53"/>
  <c r="AT17" i="53"/>
  <c r="AT58" i="53"/>
  <c r="AT99" i="53"/>
  <c r="AT18" i="53"/>
  <c r="AT59" i="53"/>
  <c r="AT100" i="53"/>
  <c r="AT19" i="53"/>
  <c r="AT60" i="53"/>
  <c r="AT101" i="53"/>
  <c r="AT20" i="53"/>
  <c r="AT61" i="53"/>
  <c r="AT102" i="53"/>
  <c r="AT21" i="53"/>
  <c r="AT62" i="53"/>
  <c r="AT103" i="53"/>
  <c r="AT22" i="53"/>
  <c r="AT63" i="53"/>
  <c r="AT104" i="53"/>
  <c r="AT23" i="53"/>
  <c r="AT64" i="53"/>
  <c r="AT105" i="53"/>
  <c r="AT24" i="53"/>
  <c r="AT65" i="53"/>
  <c r="AT106" i="53"/>
  <c r="AT25" i="53"/>
  <c r="AT66" i="53"/>
  <c r="AT107" i="53"/>
  <c r="AT26" i="53"/>
  <c r="AT67" i="53"/>
  <c r="AT108" i="53"/>
  <c r="AT27" i="53"/>
  <c r="AT68" i="53"/>
  <c r="AT109" i="53"/>
  <c r="AT28" i="53"/>
  <c r="AT69" i="53"/>
  <c r="AT110" i="53"/>
  <c r="AT29" i="53"/>
  <c r="AT70" i="53"/>
  <c r="AT111" i="53"/>
  <c r="AT30" i="53"/>
  <c r="AT71" i="53"/>
  <c r="AT112" i="53"/>
  <c r="AT31" i="53"/>
  <c r="AT72" i="53"/>
  <c r="AT113" i="53"/>
  <c r="AT32" i="53"/>
  <c r="AT73" i="53"/>
  <c r="AT114" i="53"/>
  <c r="AT33" i="53"/>
  <c r="AT74" i="53"/>
  <c r="AT115" i="53"/>
  <c r="AT34" i="53"/>
  <c r="AT75" i="53"/>
  <c r="AT116" i="53"/>
  <c r="AT35" i="53"/>
  <c r="AT76" i="53"/>
  <c r="AT117" i="53"/>
  <c r="AT36" i="53"/>
  <c r="AT77" i="53"/>
  <c r="AT118" i="53"/>
  <c r="AT37" i="53"/>
  <c r="AT78" i="53"/>
  <c r="AT119" i="53"/>
  <c r="AT38" i="53"/>
  <c r="AT79" i="53"/>
  <c r="AT120" i="53"/>
  <c r="AT39" i="53"/>
  <c r="AT80" i="53"/>
  <c r="AT121" i="53"/>
  <c r="AT40" i="53"/>
  <c r="AT81" i="53"/>
  <c r="AT122" i="53"/>
  <c r="AT41" i="53"/>
  <c r="AT82" i="53"/>
  <c r="AT123" i="53"/>
  <c r="AT42" i="53"/>
  <c r="AT83" i="53"/>
  <c r="AT124" i="53"/>
  <c r="AT43" i="53"/>
  <c r="AT84" i="53"/>
  <c r="AT125" i="53"/>
  <c r="AT44" i="53"/>
  <c r="AT85" i="53"/>
  <c r="AS44" i="53"/>
  <c r="AS85" i="53"/>
  <c r="AT126" i="53"/>
  <c r="AT129" i="53"/>
  <c r="AT134" i="53"/>
  <c r="AT175" i="53"/>
  <c r="AT215" i="53"/>
  <c r="AT217" i="53"/>
  <c r="AT258" i="53"/>
  <c r="AT299" i="53"/>
  <c r="AT135" i="53"/>
  <c r="AT176" i="53"/>
  <c r="AT218" i="53"/>
  <c r="AT259" i="53"/>
  <c r="AT300" i="53"/>
  <c r="AT136" i="53"/>
  <c r="AT177" i="53"/>
  <c r="AT219" i="53"/>
  <c r="AT260" i="53"/>
  <c r="AT301" i="53"/>
  <c r="AT137" i="53"/>
  <c r="AT178" i="53"/>
  <c r="AT220" i="53"/>
  <c r="AT261" i="53"/>
  <c r="AT302" i="53"/>
  <c r="AT138" i="53"/>
  <c r="AT179" i="53"/>
  <c r="AT221" i="53"/>
  <c r="AT262" i="53"/>
  <c r="AT303" i="53"/>
  <c r="AT139" i="53"/>
  <c r="AT180" i="53"/>
  <c r="AT222" i="53"/>
  <c r="AT263" i="53"/>
  <c r="AT304" i="53"/>
  <c r="AT140" i="53"/>
  <c r="AT181" i="53"/>
  <c r="AT223" i="53"/>
  <c r="AT264" i="53"/>
  <c r="AT305" i="53"/>
  <c r="AT141" i="53"/>
  <c r="AT182" i="53"/>
  <c r="AT224" i="53"/>
  <c r="AT265" i="53"/>
  <c r="AT306" i="53"/>
  <c r="AT142" i="53"/>
  <c r="AT183" i="53"/>
  <c r="AT225" i="53"/>
  <c r="AT266" i="53"/>
  <c r="AT307" i="53"/>
  <c r="AT143" i="53"/>
  <c r="AT184" i="53"/>
  <c r="AT226" i="53"/>
  <c r="AT267" i="53"/>
  <c r="AT308" i="53"/>
  <c r="AT144" i="53"/>
  <c r="AT185" i="53"/>
  <c r="AT227" i="53"/>
  <c r="AT268" i="53"/>
  <c r="AT309" i="53"/>
  <c r="AT145" i="53"/>
  <c r="AT186" i="53"/>
  <c r="AT228" i="53"/>
  <c r="AT269" i="53"/>
  <c r="AT310" i="53"/>
  <c r="AT146" i="53"/>
  <c r="AT187" i="53"/>
  <c r="AT229" i="53"/>
  <c r="AT270" i="53"/>
  <c r="AT311" i="53"/>
  <c r="AT147" i="53"/>
  <c r="AT188" i="53"/>
  <c r="AT230" i="53"/>
  <c r="AT271" i="53"/>
  <c r="AT312" i="53"/>
  <c r="AT148" i="53"/>
  <c r="AT189" i="53"/>
  <c r="AT231" i="53"/>
  <c r="AT272" i="53"/>
  <c r="AT313" i="53"/>
  <c r="AT149" i="53"/>
  <c r="AT190" i="53"/>
  <c r="AT232" i="53"/>
  <c r="AT273" i="53"/>
  <c r="AT314" i="53"/>
  <c r="AT150" i="53"/>
  <c r="AT191" i="53"/>
  <c r="AT233" i="53"/>
  <c r="AT274" i="53"/>
  <c r="AT315" i="53"/>
  <c r="AT151" i="53"/>
  <c r="AT192" i="53"/>
  <c r="AT234" i="53"/>
  <c r="AT275" i="53"/>
  <c r="AT316" i="53"/>
  <c r="AT152" i="53"/>
  <c r="AT193" i="53"/>
  <c r="AT235" i="53"/>
  <c r="AT276" i="53"/>
  <c r="AT317" i="53"/>
  <c r="AT153" i="53"/>
  <c r="AT194" i="53"/>
  <c r="AT236" i="53"/>
  <c r="AT277" i="53"/>
  <c r="AT318" i="53"/>
  <c r="AT154" i="53"/>
  <c r="AT195" i="53"/>
  <c r="AT237" i="53"/>
  <c r="AT278" i="53"/>
  <c r="AT319" i="53"/>
  <c r="AT155" i="53"/>
  <c r="AT196" i="53"/>
  <c r="AT238" i="53"/>
  <c r="AT279" i="53"/>
  <c r="AT320" i="53"/>
  <c r="AT156" i="53"/>
  <c r="AT197" i="53"/>
  <c r="AT239" i="53"/>
  <c r="AT280" i="53"/>
  <c r="AT321" i="53"/>
  <c r="AT157" i="53"/>
  <c r="AT198" i="53"/>
  <c r="AT240" i="53"/>
  <c r="AT281" i="53"/>
  <c r="AT322" i="53"/>
  <c r="AT158" i="53"/>
  <c r="AT199" i="53"/>
  <c r="AT241" i="53"/>
  <c r="AT282" i="53"/>
  <c r="AT323" i="53"/>
  <c r="AT159" i="53"/>
  <c r="AT200" i="53"/>
  <c r="AT242" i="53"/>
  <c r="AT283" i="53"/>
  <c r="AT324" i="53"/>
  <c r="AT160" i="53"/>
  <c r="AT201" i="53"/>
  <c r="AT243" i="53"/>
  <c r="AT284" i="53"/>
  <c r="AT325" i="53"/>
  <c r="AT161" i="53"/>
  <c r="AT202" i="53"/>
  <c r="AT244" i="53"/>
  <c r="AT285" i="53"/>
  <c r="AT326" i="53"/>
  <c r="AT162" i="53"/>
  <c r="AT203" i="53"/>
  <c r="AT245" i="53"/>
  <c r="AT286" i="53"/>
  <c r="AT327" i="53"/>
  <c r="AT163" i="53"/>
  <c r="AT204" i="53"/>
  <c r="AT246" i="53"/>
  <c r="AT287" i="53"/>
  <c r="AT328" i="53"/>
  <c r="AT164" i="53"/>
  <c r="AT205" i="53"/>
  <c r="AT247" i="53"/>
  <c r="AT288" i="53"/>
  <c r="AT329" i="53"/>
  <c r="AT165" i="53"/>
  <c r="AT206" i="53"/>
  <c r="AT248" i="53"/>
  <c r="AT289" i="53"/>
  <c r="AT330" i="53"/>
  <c r="AT166" i="53"/>
  <c r="AT207" i="53"/>
  <c r="AT249" i="53"/>
  <c r="AT290" i="53"/>
  <c r="AT331" i="53"/>
  <c r="AT167" i="53"/>
  <c r="AT208" i="53"/>
  <c r="AT250" i="53"/>
  <c r="AT291" i="53"/>
  <c r="AT332" i="53"/>
  <c r="AT168" i="53"/>
  <c r="AT209" i="53"/>
  <c r="AT251" i="53"/>
  <c r="AT292" i="53"/>
  <c r="AT333" i="53"/>
  <c r="AT169" i="53"/>
  <c r="AT210" i="53"/>
  <c r="AT252" i="53"/>
  <c r="AT293" i="53"/>
  <c r="AT334" i="53"/>
  <c r="AT170" i="53"/>
  <c r="AT211" i="53"/>
  <c r="AT253" i="53"/>
  <c r="AT294" i="53"/>
  <c r="AT335" i="53"/>
  <c r="AT171" i="53"/>
  <c r="AT212" i="53"/>
  <c r="AT254" i="53"/>
  <c r="AT295" i="53"/>
  <c r="AS171" i="53"/>
  <c r="AS212" i="53"/>
  <c r="AS295" i="53"/>
  <c r="AT336" i="53"/>
  <c r="AT339" i="53"/>
  <c r="AO12" i="32"/>
  <c r="AO29" i="32"/>
  <c r="AO85" i="32"/>
  <c r="AO86" i="32"/>
  <c r="AO87" i="32"/>
  <c r="AU7" i="53"/>
  <c r="AU48" i="53"/>
  <c r="AU89" i="53"/>
  <c r="AU8" i="53"/>
  <c r="AU49" i="53"/>
  <c r="AU90" i="53"/>
  <c r="AU9" i="53"/>
  <c r="AU50" i="53"/>
  <c r="AU91" i="53"/>
  <c r="AU10" i="53"/>
  <c r="AU51" i="53"/>
  <c r="AU92" i="53"/>
  <c r="AU11" i="53"/>
  <c r="AU52" i="53"/>
  <c r="AU93" i="53"/>
  <c r="AU12" i="53"/>
  <c r="AU53" i="53"/>
  <c r="AU94" i="53"/>
  <c r="AU13" i="53"/>
  <c r="AU54" i="53"/>
  <c r="AU95" i="53"/>
  <c r="AU14" i="53"/>
  <c r="AU55" i="53"/>
  <c r="AU96" i="53"/>
  <c r="AU15" i="53"/>
  <c r="AU56" i="53"/>
  <c r="AU97" i="53"/>
  <c r="AU16" i="53"/>
  <c r="AU57" i="53"/>
  <c r="AU98" i="53"/>
  <c r="AU17" i="53"/>
  <c r="AU58" i="53"/>
  <c r="AU99" i="53"/>
  <c r="AU18" i="53"/>
  <c r="AU59" i="53"/>
  <c r="AU100" i="53"/>
  <c r="AU19" i="53"/>
  <c r="AU60" i="53"/>
  <c r="AU101" i="53"/>
  <c r="AU20" i="53"/>
  <c r="AU61" i="53"/>
  <c r="AU102" i="53"/>
  <c r="AU21" i="53"/>
  <c r="AU62" i="53"/>
  <c r="AU103" i="53"/>
  <c r="AU22" i="53"/>
  <c r="AU63" i="53"/>
  <c r="AU104" i="53"/>
  <c r="AU23" i="53"/>
  <c r="AU64" i="53"/>
  <c r="AU105" i="53"/>
  <c r="AU24" i="53"/>
  <c r="AU65" i="53"/>
  <c r="AU106" i="53"/>
  <c r="AU25" i="53"/>
  <c r="AU66" i="53"/>
  <c r="AU107" i="53"/>
  <c r="AU26" i="53"/>
  <c r="AU67" i="53"/>
  <c r="AU108" i="53"/>
  <c r="AU27" i="53"/>
  <c r="AU68" i="53"/>
  <c r="AU109" i="53"/>
  <c r="AU28" i="53"/>
  <c r="AU69" i="53"/>
  <c r="AU110" i="53"/>
  <c r="AU29" i="53"/>
  <c r="AU70" i="53"/>
  <c r="AU111" i="53"/>
  <c r="AU30" i="53"/>
  <c r="AU71" i="53"/>
  <c r="AU112" i="53"/>
  <c r="AU31" i="53"/>
  <c r="AU72" i="53"/>
  <c r="AU113" i="53"/>
  <c r="AU32" i="53"/>
  <c r="AU73" i="53"/>
  <c r="AU114" i="53"/>
  <c r="AU33" i="53"/>
  <c r="AU74" i="53"/>
  <c r="AU115" i="53"/>
  <c r="AU34" i="53"/>
  <c r="AU75" i="53"/>
  <c r="AU116" i="53"/>
  <c r="AU35" i="53"/>
  <c r="AU76" i="53"/>
  <c r="AU117" i="53"/>
  <c r="AU36" i="53"/>
  <c r="AU77" i="53"/>
  <c r="AU118" i="53"/>
  <c r="AU37" i="53"/>
  <c r="AU78" i="53"/>
  <c r="AU119" i="53"/>
  <c r="AU38" i="53"/>
  <c r="AU79" i="53"/>
  <c r="AU120" i="53"/>
  <c r="AU39" i="53"/>
  <c r="AU80" i="53"/>
  <c r="AU121" i="53"/>
  <c r="AU40" i="53"/>
  <c r="AU81" i="53"/>
  <c r="AU122" i="53"/>
  <c r="AU41" i="53"/>
  <c r="AU82" i="53"/>
  <c r="AU123" i="53"/>
  <c r="AU42" i="53"/>
  <c r="AU83" i="53"/>
  <c r="AU124" i="53"/>
  <c r="AU43" i="53"/>
  <c r="AU84" i="53"/>
  <c r="AU125" i="53"/>
  <c r="AU44" i="53"/>
  <c r="AU85" i="53"/>
  <c r="AU126" i="53"/>
  <c r="AU45" i="53"/>
  <c r="AU86" i="53"/>
  <c r="AT45" i="53"/>
  <c r="AT86" i="53"/>
  <c r="AU127" i="53"/>
  <c r="AU129" i="53"/>
  <c r="AU134" i="53"/>
  <c r="AU175" i="53"/>
  <c r="AU215" i="53"/>
  <c r="AU217" i="53"/>
  <c r="AU258" i="53"/>
  <c r="AU299" i="53"/>
  <c r="AU135" i="53"/>
  <c r="AU176" i="53"/>
  <c r="AU218" i="53"/>
  <c r="AU259" i="53"/>
  <c r="AU300" i="53"/>
  <c r="AU136" i="53"/>
  <c r="AU177" i="53"/>
  <c r="AU219" i="53"/>
  <c r="AU260" i="53"/>
  <c r="AU301" i="53"/>
  <c r="AU137" i="53"/>
  <c r="AU178" i="53"/>
  <c r="AU220" i="53"/>
  <c r="AU261" i="53"/>
  <c r="AU302" i="53"/>
  <c r="AU138" i="53"/>
  <c r="AU179" i="53"/>
  <c r="AU221" i="53"/>
  <c r="AU262" i="53"/>
  <c r="AU303" i="53"/>
  <c r="AU139" i="53"/>
  <c r="AU180" i="53"/>
  <c r="AU222" i="53"/>
  <c r="AU263" i="53"/>
  <c r="AU304" i="53"/>
  <c r="AU140" i="53"/>
  <c r="AU181" i="53"/>
  <c r="AU223" i="53"/>
  <c r="AU264" i="53"/>
  <c r="AU305" i="53"/>
  <c r="AU141" i="53"/>
  <c r="AU182" i="53"/>
  <c r="AU224" i="53"/>
  <c r="AU265" i="53"/>
  <c r="AU306" i="53"/>
  <c r="AU142" i="53"/>
  <c r="AU183" i="53"/>
  <c r="AU225" i="53"/>
  <c r="AU266" i="53"/>
  <c r="AU307" i="53"/>
  <c r="AU143" i="53"/>
  <c r="AU184" i="53"/>
  <c r="AU226" i="53"/>
  <c r="AU267" i="53"/>
  <c r="AU308" i="53"/>
  <c r="AU144" i="53"/>
  <c r="AU185" i="53"/>
  <c r="AU227" i="53"/>
  <c r="AU268" i="53"/>
  <c r="AU309" i="53"/>
  <c r="AU145" i="53"/>
  <c r="AU186" i="53"/>
  <c r="AU228" i="53"/>
  <c r="AU269" i="53"/>
  <c r="AU310" i="53"/>
  <c r="AU146" i="53"/>
  <c r="AU187" i="53"/>
  <c r="AU229" i="53"/>
  <c r="AU270" i="53"/>
  <c r="AU311" i="53"/>
  <c r="AU147" i="53"/>
  <c r="AU188" i="53"/>
  <c r="AU230" i="53"/>
  <c r="AU271" i="53"/>
  <c r="AU312" i="53"/>
  <c r="AU148" i="53"/>
  <c r="AU189" i="53"/>
  <c r="AU231" i="53"/>
  <c r="AU272" i="53"/>
  <c r="AU313" i="53"/>
  <c r="AU149" i="53"/>
  <c r="AU190" i="53"/>
  <c r="AU232" i="53"/>
  <c r="AU273" i="53"/>
  <c r="AU314" i="53"/>
  <c r="AU150" i="53"/>
  <c r="AU191" i="53"/>
  <c r="AU233" i="53"/>
  <c r="AU274" i="53"/>
  <c r="AU315" i="53"/>
  <c r="AU151" i="53"/>
  <c r="AU192" i="53"/>
  <c r="AU234" i="53"/>
  <c r="AU275" i="53"/>
  <c r="AU316" i="53"/>
  <c r="AU152" i="53"/>
  <c r="AU193" i="53"/>
  <c r="AU235" i="53"/>
  <c r="AU276" i="53"/>
  <c r="AU317" i="53"/>
  <c r="AU153" i="53"/>
  <c r="AU194" i="53"/>
  <c r="AU236" i="53"/>
  <c r="AU277" i="53"/>
  <c r="AU318" i="53"/>
  <c r="AU154" i="53"/>
  <c r="AU195" i="53"/>
  <c r="AU237" i="53"/>
  <c r="AU278" i="53"/>
  <c r="AU319" i="53"/>
  <c r="AU155" i="53"/>
  <c r="AU196" i="53"/>
  <c r="AU238" i="53"/>
  <c r="AU279" i="53"/>
  <c r="AU320" i="53"/>
  <c r="AU156" i="53"/>
  <c r="AU197" i="53"/>
  <c r="AU239" i="53"/>
  <c r="AU280" i="53"/>
  <c r="AU321" i="53"/>
  <c r="AU157" i="53"/>
  <c r="AU198" i="53"/>
  <c r="AU240" i="53"/>
  <c r="AU281" i="53"/>
  <c r="AU322" i="53"/>
  <c r="AU158" i="53"/>
  <c r="AU199" i="53"/>
  <c r="AU241" i="53"/>
  <c r="AU282" i="53"/>
  <c r="AU323" i="53"/>
  <c r="AU159" i="53"/>
  <c r="AU200" i="53"/>
  <c r="AU242" i="53"/>
  <c r="AU283" i="53"/>
  <c r="AU324" i="53"/>
  <c r="AU160" i="53"/>
  <c r="AU201" i="53"/>
  <c r="AU243" i="53"/>
  <c r="AU284" i="53"/>
  <c r="AU325" i="53"/>
  <c r="AU161" i="53"/>
  <c r="AU202" i="53"/>
  <c r="AU244" i="53"/>
  <c r="AU285" i="53"/>
  <c r="AU326" i="53"/>
  <c r="AU162" i="53"/>
  <c r="AU203" i="53"/>
  <c r="AU245" i="53"/>
  <c r="AU286" i="53"/>
  <c r="AU327" i="53"/>
  <c r="AU163" i="53"/>
  <c r="AU204" i="53"/>
  <c r="AU246" i="53"/>
  <c r="AU287" i="53"/>
  <c r="AU328" i="53"/>
  <c r="AU164" i="53"/>
  <c r="AU205" i="53"/>
  <c r="AU247" i="53"/>
  <c r="AU288" i="53"/>
  <c r="AU329" i="53"/>
  <c r="AU165" i="53"/>
  <c r="AU206" i="53"/>
  <c r="AU248" i="53"/>
  <c r="AU289" i="53"/>
  <c r="AU330" i="53"/>
  <c r="AU166" i="53"/>
  <c r="AU207" i="53"/>
  <c r="AU249" i="53"/>
  <c r="AU290" i="53"/>
  <c r="AU331" i="53"/>
  <c r="AU167" i="53"/>
  <c r="AU208" i="53"/>
  <c r="AU250" i="53"/>
  <c r="AU291" i="53"/>
  <c r="AU332" i="53"/>
  <c r="AU168" i="53"/>
  <c r="AU209" i="53"/>
  <c r="AU251" i="53"/>
  <c r="AU292" i="53"/>
  <c r="AU333" i="53"/>
  <c r="AU169" i="53"/>
  <c r="AU210" i="53"/>
  <c r="AU252" i="53"/>
  <c r="AU293" i="53"/>
  <c r="AU334" i="53"/>
  <c r="AU170" i="53"/>
  <c r="AU211" i="53"/>
  <c r="AU253" i="53"/>
  <c r="AU294" i="53"/>
  <c r="AU335" i="53"/>
  <c r="AU171" i="53"/>
  <c r="AU212" i="53"/>
  <c r="AU254" i="53"/>
  <c r="AU295" i="53"/>
  <c r="AU336" i="53"/>
  <c r="AU172" i="53"/>
  <c r="AU213" i="53"/>
  <c r="AU255" i="53"/>
  <c r="AU296" i="53"/>
  <c r="AT172" i="53"/>
  <c r="AT213" i="53"/>
  <c r="AT296" i="53"/>
  <c r="AU337" i="53"/>
  <c r="AU339" i="53"/>
  <c r="AP12" i="32"/>
  <c r="AP29" i="32"/>
  <c r="AP85" i="32"/>
  <c r="AP86" i="32"/>
  <c r="AP87" i="32"/>
  <c r="AV7" i="53"/>
  <c r="AV48" i="53"/>
  <c r="AV89" i="53"/>
  <c r="AV8" i="53"/>
  <c r="AV49" i="53"/>
  <c r="AV90" i="53"/>
  <c r="AV9" i="53"/>
  <c r="AV50" i="53"/>
  <c r="AV91" i="53"/>
  <c r="AV10" i="53"/>
  <c r="AV51" i="53"/>
  <c r="AV92" i="53"/>
  <c r="AV11" i="53"/>
  <c r="AV52" i="53"/>
  <c r="AV93" i="53"/>
  <c r="AV12" i="53"/>
  <c r="AV53" i="53"/>
  <c r="AV94" i="53"/>
  <c r="AV13" i="53"/>
  <c r="AV54" i="53"/>
  <c r="AV95" i="53"/>
  <c r="AV14" i="53"/>
  <c r="AV55" i="53"/>
  <c r="AV96" i="53"/>
  <c r="AV15" i="53"/>
  <c r="AV56" i="53"/>
  <c r="AV97" i="53"/>
  <c r="AV16" i="53"/>
  <c r="AV57" i="53"/>
  <c r="AV98" i="53"/>
  <c r="AV17" i="53"/>
  <c r="AV58" i="53"/>
  <c r="AV99" i="53"/>
  <c r="AV18" i="53"/>
  <c r="AV59" i="53"/>
  <c r="AV100" i="53"/>
  <c r="AV19" i="53"/>
  <c r="AV60" i="53"/>
  <c r="AV101" i="53"/>
  <c r="AV20" i="53"/>
  <c r="AV61" i="53"/>
  <c r="AV102" i="53"/>
  <c r="AV21" i="53"/>
  <c r="AV62" i="53"/>
  <c r="AV103" i="53"/>
  <c r="AV22" i="53"/>
  <c r="AV63" i="53"/>
  <c r="AV104" i="53"/>
  <c r="AV23" i="53"/>
  <c r="AV64" i="53"/>
  <c r="AV105" i="53"/>
  <c r="AV24" i="53"/>
  <c r="AV65" i="53"/>
  <c r="AV106" i="53"/>
  <c r="AV25" i="53"/>
  <c r="AV66" i="53"/>
  <c r="AV107" i="53"/>
  <c r="AV26" i="53"/>
  <c r="AV67" i="53"/>
  <c r="AV108" i="53"/>
  <c r="AV27" i="53"/>
  <c r="AV68" i="53"/>
  <c r="AV109" i="53"/>
  <c r="AV28" i="53"/>
  <c r="AV69" i="53"/>
  <c r="AV110" i="53"/>
  <c r="AV29" i="53"/>
  <c r="AV70" i="53"/>
  <c r="AV111" i="53"/>
  <c r="AV30" i="53"/>
  <c r="AV71" i="53"/>
  <c r="AV112" i="53"/>
  <c r="AV31" i="53"/>
  <c r="AV72" i="53"/>
  <c r="AV113" i="53"/>
  <c r="AV32" i="53"/>
  <c r="AV73" i="53"/>
  <c r="AV114" i="53"/>
  <c r="AV33" i="53"/>
  <c r="AV74" i="53"/>
  <c r="AV115" i="53"/>
  <c r="AV34" i="53"/>
  <c r="AV75" i="53"/>
  <c r="AV116" i="53"/>
  <c r="AV35" i="53"/>
  <c r="AV76" i="53"/>
  <c r="AV117" i="53"/>
  <c r="AV36" i="53"/>
  <c r="AV77" i="53"/>
  <c r="AV118" i="53"/>
  <c r="AV37" i="53"/>
  <c r="AV78" i="53"/>
  <c r="AV119" i="53"/>
  <c r="AV38" i="53"/>
  <c r="AV79" i="53"/>
  <c r="AV120" i="53"/>
  <c r="AV39" i="53"/>
  <c r="AV80" i="53"/>
  <c r="AV121" i="53"/>
  <c r="AV40" i="53"/>
  <c r="AV81" i="53"/>
  <c r="AV122" i="53"/>
  <c r="AV41" i="53"/>
  <c r="AV82" i="53"/>
  <c r="AV123" i="53"/>
  <c r="AV42" i="53"/>
  <c r="AV83" i="53"/>
  <c r="AV124" i="53"/>
  <c r="AV43" i="53"/>
  <c r="AV84" i="53"/>
  <c r="AV125" i="53"/>
  <c r="AV44" i="53"/>
  <c r="AV85" i="53"/>
  <c r="AV126" i="53"/>
  <c r="AV45" i="53"/>
  <c r="AV86" i="53"/>
  <c r="AV127" i="53"/>
  <c r="AV46" i="53"/>
  <c r="AV87" i="53"/>
  <c r="AU46" i="53"/>
  <c r="AU87" i="53"/>
  <c r="AV128" i="53"/>
  <c r="AV129" i="53"/>
  <c r="AV134" i="53"/>
  <c r="AV175" i="53"/>
  <c r="AV215" i="53"/>
  <c r="AV217" i="53"/>
  <c r="AV258" i="53"/>
  <c r="AV299" i="53"/>
  <c r="AV135" i="53"/>
  <c r="AV176" i="53"/>
  <c r="AV218" i="53"/>
  <c r="AV259" i="53"/>
  <c r="AV300" i="53"/>
  <c r="AV136" i="53"/>
  <c r="AV177" i="53"/>
  <c r="AV219" i="53"/>
  <c r="AV260" i="53"/>
  <c r="AV301" i="53"/>
  <c r="AV137" i="53"/>
  <c r="AV178" i="53"/>
  <c r="AV220" i="53"/>
  <c r="AV261" i="53"/>
  <c r="AV302" i="53"/>
  <c r="AV138" i="53"/>
  <c r="AV179" i="53"/>
  <c r="AV221" i="53"/>
  <c r="AV262" i="53"/>
  <c r="AV303" i="53"/>
  <c r="AV139" i="53"/>
  <c r="AV180" i="53"/>
  <c r="AV222" i="53"/>
  <c r="AV263" i="53"/>
  <c r="AV304" i="53"/>
  <c r="AV140" i="53"/>
  <c r="AV181" i="53"/>
  <c r="AV223" i="53"/>
  <c r="AV264" i="53"/>
  <c r="AV305" i="53"/>
  <c r="AV141" i="53"/>
  <c r="AV182" i="53"/>
  <c r="AV224" i="53"/>
  <c r="AV265" i="53"/>
  <c r="AV306" i="53"/>
  <c r="AV142" i="53"/>
  <c r="AV183" i="53"/>
  <c r="AV225" i="53"/>
  <c r="AV266" i="53"/>
  <c r="AV307" i="53"/>
  <c r="AV143" i="53"/>
  <c r="AV184" i="53"/>
  <c r="AV226" i="53"/>
  <c r="AV267" i="53"/>
  <c r="AV308" i="53"/>
  <c r="AV144" i="53"/>
  <c r="AV185" i="53"/>
  <c r="AV227" i="53"/>
  <c r="AV268" i="53"/>
  <c r="AV309" i="53"/>
  <c r="AV145" i="53"/>
  <c r="AV186" i="53"/>
  <c r="AV228" i="53"/>
  <c r="AV269" i="53"/>
  <c r="AV310" i="53"/>
  <c r="AV146" i="53"/>
  <c r="AV187" i="53"/>
  <c r="AV229" i="53"/>
  <c r="AV270" i="53"/>
  <c r="AV311" i="53"/>
  <c r="AV147" i="53"/>
  <c r="AV188" i="53"/>
  <c r="AV230" i="53"/>
  <c r="AV271" i="53"/>
  <c r="AV312" i="53"/>
  <c r="AV148" i="53"/>
  <c r="AV189" i="53"/>
  <c r="AV231" i="53"/>
  <c r="AV272" i="53"/>
  <c r="AV313" i="53"/>
  <c r="AV149" i="53"/>
  <c r="AV190" i="53"/>
  <c r="AV232" i="53"/>
  <c r="AV273" i="53"/>
  <c r="AV314" i="53"/>
  <c r="AV150" i="53"/>
  <c r="AV191" i="53"/>
  <c r="AV233" i="53"/>
  <c r="AV274" i="53"/>
  <c r="AV315" i="53"/>
  <c r="AV151" i="53"/>
  <c r="AV192" i="53"/>
  <c r="AV234" i="53"/>
  <c r="AV275" i="53"/>
  <c r="AV316" i="53"/>
  <c r="AV152" i="53"/>
  <c r="AV193" i="53"/>
  <c r="AV235" i="53"/>
  <c r="AV276" i="53"/>
  <c r="AV317" i="53"/>
  <c r="AV153" i="53"/>
  <c r="AV194" i="53"/>
  <c r="AV236" i="53"/>
  <c r="AV277" i="53"/>
  <c r="AV318" i="53"/>
  <c r="AV154" i="53"/>
  <c r="AV195" i="53"/>
  <c r="AV237" i="53"/>
  <c r="AV278" i="53"/>
  <c r="AV319" i="53"/>
  <c r="AV155" i="53"/>
  <c r="AV196" i="53"/>
  <c r="AV238" i="53"/>
  <c r="AV279" i="53"/>
  <c r="AV320" i="53"/>
  <c r="AV156" i="53"/>
  <c r="AV197" i="53"/>
  <c r="AV239" i="53"/>
  <c r="AV280" i="53"/>
  <c r="AV321" i="53"/>
  <c r="AV157" i="53"/>
  <c r="AV198" i="53"/>
  <c r="AV240" i="53"/>
  <c r="AV281" i="53"/>
  <c r="AV322" i="53"/>
  <c r="AV158" i="53"/>
  <c r="AV199" i="53"/>
  <c r="AV241" i="53"/>
  <c r="AV282" i="53"/>
  <c r="AV323" i="53"/>
  <c r="AV159" i="53"/>
  <c r="AV200" i="53"/>
  <c r="AV242" i="53"/>
  <c r="AV283" i="53"/>
  <c r="AV324" i="53"/>
  <c r="AV160" i="53"/>
  <c r="AV201" i="53"/>
  <c r="AV243" i="53"/>
  <c r="AV284" i="53"/>
  <c r="AV325" i="53"/>
  <c r="AV161" i="53"/>
  <c r="AV202" i="53"/>
  <c r="AV244" i="53"/>
  <c r="AV285" i="53"/>
  <c r="AV326" i="53"/>
  <c r="AV162" i="53"/>
  <c r="AV203" i="53"/>
  <c r="AV245" i="53"/>
  <c r="AV286" i="53"/>
  <c r="AV327" i="53"/>
  <c r="AV163" i="53"/>
  <c r="AV204" i="53"/>
  <c r="AV246" i="53"/>
  <c r="AV287" i="53"/>
  <c r="AV328" i="53"/>
  <c r="AV164" i="53"/>
  <c r="AV205" i="53"/>
  <c r="AV247" i="53"/>
  <c r="AV288" i="53"/>
  <c r="AV329" i="53"/>
  <c r="AV165" i="53"/>
  <c r="AV206" i="53"/>
  <c r="AV248" i="53"/>
  <c r="AV289" i="53"/>
  <c r="AV330" i="53"/>
  <c r="AV166" i="53"/>
  <c r="AV207" i="53"/>
  <c r="AV249" i="53"/>
  <c r="AV290" i="53"/>
  <c r="AV331" i="53"/>
  <c r="AV167" i="53"/>
  <c r="AV208" i="53"/>
  <c r="AV250" i="53"/>
  <c r="AV291" i="53"/>
  <c r="AV332" i="53"/>
  <c r="AV168" i="53"/>
  <c r="AV209" i="53"/>
  <c r="AV251" i="53"/>
  <c r="AV292" i="53"/>
  <c r="AV333" i="53"/>
  <c r="AV169" i="53"/>
  <c r="AV210" i="53"/>
  <c r="AV252" i="53"/>
  <c r="AV293" i="53"/>
  <c r="AV334" i="53"/>
  <c r="AV170" i="53"/>
  <c r="AV211" i="53"/>
  <c r="AV253" i="53"/>
  <c r="AV294" i="53"/>
  <c r="AV335" i="53"/>
  <c r="AV171" i="53"/>
  <c r="AV212" i="53"/>
  <c r="AV254" i="53"/>
  <c r="AV295" i="53"/>
  <c r="AV336" i="53"/>
  <c r="AV172" i="53"/>
  <c r="AV213" i="53"/>
  <c r="AV255" i="53"/>
  <c r="AV296" i="53"/>
  <c r="AV337" i="53"/>
  <c r="AV173" i="53"/>
  <c r="AV214" i="53"/>
  <c r="AV256" i="53"/>
  <c r="AV297" i="53"/>
  <c r="AU173" i="53"/>
  <c r="AU214" i="53"/>
  <c r="AU297" i="53"/>
  <c r="AV338" i="53"/>
  <c r="AV339" i="53"/>
  <c r="AQ12" i="32"/>
  <c r="AQ29" i="32"/>
  <c r="AQ85" i="32"/>
  <c r="AQ86" i="32"/>
  <c r="AQ87" i="32"/>
  <c r="M21" i="48"/>
  <c r="G21" i="48"/>
  <c r="F156" i="20"/>
  <c r="E17" i="23"/>
  <c r="F21" i="29"/>
  <c r="F12" i="29"/>
  <c r="F37" i="29"/>
  <c r="F38" i="29"/>
  <c r="F39" i="29"/>
  <c r="F40" i="29"/>
  <c r="F22" i="29"/>
  <c r="F20" i="29"/>
  <c r="F23" i="29"/>
  <c r="F11" i="29"/>
  <c r="F24" i="29"/>
  <c r="AG7" i="25"/>
  <c r="F25" i="29"/>
  <c r="F26" i="29"/>
  <c r="H134" i="52"/>
  <c r="H7" i="52"/>
  <c r="I7" i="52"/>
  <c r="AH7" i="25"/>
  <c r="I48" i="52"/>
  <c r="H48" i="52"/>
  <c r="I89" i="52"/>
  <c r="I129" i="52"/>
  <c r="I134" i="52"/>
  <c r="I7" i="25"/>
  <c r="I175" i="52"/>
  <c r="I216" i="52"/>
  <c r="I256" i="52"/>
  <c r="D11" i="32"/>
  <c r="D28" i="32"/>
  <c r="F45" i="29"/>
  <c r="D80" i="32"/>
  <c r="D81" i="32"/>
  <c r="D82" i="32"/>
  <c r="J7" i="52"/>
  <c r="AI7" i="25"/>
  <c r="J48" i="52"/>
  <c r="J89" i="52"/>
  <c r="J8" i="52"/>
  <c r="J49" i="52"/>
  <c r="I8" i="52"/>
  <c r="I49" i="52"/>
  <c r="J90" i="52"/>
  <c r="J129" i="52"/>
  <c r="J134" i="52"/>
  <c r="J7" i="25"/>
  <c r="J175" i="52"/>
  <c r="J216" i="52"/>
  <c r="J135" i="52"/>
  <c r="J176" i="52"/>
  <c r="J217" i="52"/>
  <c r="J256" i="52"/>
  <c r="E11" i="32"/>
  <c r="E28" i="32"/>
  <c r="E80" i="32"/>
  <c r="E81" i="32"/>
  <c r="E82" i="32"/>
  <c r="K7" i="52"/>
  <c r="AJ7" i="25"/>
  <c r="K48" i="52"/>
  <c r="K89" i="52"/>
  <c r="K8" i="52"/>
  <c r="K49" i="52"/>
  <c r="K90" i="52"/>
  <c r="K9" i="52"/>
  <c r="K50" i="52"/>
  <c r="J9" i="52"/>
  <c r="J50" i="52"/>
  <c r="K91" i="52"/>
  <c r="K129" i="52"/>
  <c r="K134" i="52"/>
  <c r="K7" i="25"/>
  <c r="K175" i="52"/>
  <c r="K216" i="52"/>
  <c r="K135" i="52"/>
  <c r="K176" i="52"/>
  <c r="K217" i="52"/>
  <c r="K136" i="52"/>
  <c r="K177" i="52"/>
  <c r="K218" i="52"/>
  <c r="K256" i="52"/>
  <c r="F11" i="32"/>
  <c r="F28" i="32"/>
  <c r="F80" i="32"/>
  <c r="F81" i="32"/>
  <c r="F82" i="32"/>
  <c r="L7" i="52"/>
  <c r="AK7" i="25"/>
  <c r="L48" i="52"/>
  <c r="L89" i="52"/>
  <c r="L8" i="52"/>
  <c r="L49" i="52"/>
  <c r="L90" i="52"/>
  <c r="L9" i="52"/>
  <c r="L50" i="52"/>
  <c r="L91" i="52"/>
  <c r="L10" i="52"/>
  <c r="L51" i="52"/>
  <c r="K10" i="52"/>
  <c r="K51" i="52"/>
  <c r="L92" i="52"/>
  <c r="L129" i="52"/>
  <c r="L134" i="52"/>
  <c r="L7" i="25"/>
  <c r="L175" i="52"/>
  <c r="L216" i="52"/>
  <c r="L135" i="52"/>
  <c r="L176" i="52"/>
  <c r="L217" i="52"/>
  <c r="L136" i="52"/>
  <c r="L177" i="52"/>
  <c r="L218" i="52"/>
  <c r="L137" i="52"/>
  <c r="L178" i="52"/>
  <c r="L219" i="52"/>
  <c r="L256" i="52"/>
  <c r="G11" i="32"/>
  <c r="G28" i="32"/>
  <c r="G80" i="32"/>
  <c r="G81" i="32"/>
  <c r="G82" i="32"/>
  <c r="M7" i="52"/>
  <c r="AL7" i="25"/>
  <c r="M48" i="52"/>
  <c r="M89" i="52"/>
  <c r="M8" i="52"/>
  <c r="M49" i="52"/>
  <c r="M90" i="52"/>
  <c r="M9" i="52"/>
  <c r="M50" i="52"/>
  <c r="M91" i="52"/>
  <c r="M10" i="52"/>
  <c r="M51" i="52"/>
  <c r="M92" i="52"/>
  <c r="M11" i="52"/>
  <c r="M52" i="52"/>
  <c r="L11" i="52"/>
  <c r="L52" i="52"/>
  <c r="M93" i="52"/>
  <c r="M129" i="52"/>
  <c r="M134" i="52"/>
  <c r="M7" i="25"/>
  <c r="M175" i="52"/>
  <c r="M216" i="52"/>
  <c r="M135" i="52"/>
  <c r="M176" i="52"/>
  <c r="M217" i="52"/>
  <c r="M136" i="52"/>
  <c r="M177" i="52"/>
  <c r="M218" i="52"/>
  <c r="M137" i="52"/>
  <c r="M178" i="52"/>
  <c r="M219" i="52"/>
  <c r="M138" i="52"/>
  <c r="M179" i="52"/>
  <c r="M220" i="52"/>
  <c r="M256" i="52"/>
  <c r="H11" i="32"/>
  <c r="H28" i="32"/>
  <c r="H80" i="32"/>
  <c r="H81" i="32"/>
  <c r="H82" i="32"/>
  <c r="N7" i="52"/>
  <c r="AM7" i="25"/>
  <c r="N48" i="52"/>
  <c r="N89" i="52"/>
  <c r="N8" i="52"/>
  <c r="N49" i="52"/>
  <c r="N90" i="52"/>
  <c r="N9" i="52"/>
  <c r="N50" i="52"/>
  <c r="N91" i="52"/>
  <c r="N10" i="52"/>
  <c r="N51" i="52"/>
  <c r="N92" i="52"/>
  <c r="N11" i="52"/>
  <c r="N52" i="52"/>
  <c r="N93" i="52"/>
  <c r="N12" i="52"/>
  <c r="N53" i="52"/>
  <c r="M12" i="52"/>
  <c r="M53" i="52"/>
  <c r="N94" i="52"/>
  <c r="N129" i="52"/>
  <c r="N134" i="52"/>
  <c r="N7" i="25"/>
  <c r="N175" i="52"/>
  <c r="N216" i="52"/>
  <c r="N135" i="52"/>
  <c r="N176" i="52"/>
  <c r="N217" i="52"/>
  <c r="N136" i="52"/>
  <c r="N177" i="52"/>
  <c r="N218" i="52"/>
  <c r="N137" i="52"/>
  <c r="N178" i="52"/>
  <c r="N219" i="52"/>
  <c r="N138" i="52"/>
  <c r="N179" i="52"/>
  <c r="N220" i="52"/>
  <c r="N139" i="52"/>
  <c r="N180" i="52"/>
  <c r="N221" i="52"/>
  <c r="N256" i="52"/>
  <c r="I11" i="32"/>
  <c r="I28" i="32"/>
  <c r="I80" i="32"/>
  <c r="I81" i="32"/>
  <c r="I82" i="32"/>
  <c r="O7" i="52"/>
  <c r="AN7" i="25"/>
  <c r="O48" i="52"/>
  <c r="O89" i="52"/>
  <c r="O8" i="52"/>
  <c r="O49" i="52"/>
  <c r="O90" i="52"/>
  <c r="O9" i="52"/>
  <c r="O50" i="52"/>
  <c r="O91" i="52"/>
  <c r="O10" i="52"/>
  <c r="O51" i="52"/>
  <c r="O92" i="52"/>
  <c r="O11" i="52"/>
  <c r="O52" i="52"/>
  <c r="O93" i="52"/>
  <c r="O12" i="52"/>
  <c r="O53" i="52"/>
  <c r="O94" i="52"/>
  <c r="O13" i="52"/>
  <c r="O54" i="52"/>
  <c r="N13" i="52"/>
  <c r="N54" i="52"/>
  <c r="O95" i="52"/>
  <c r="O129" i="52"/>
  <c r="O134" i="52"/>
  <c r="O7" i="25"/>
  <c r="O175" i="52"/>
  <c r="O216" i="52"/>
  <c r="O135" i="52"/>
  <c r="O176" i="52"/>
  <c r="O217" i="52"/>
  <c r="O136" i="52"/>
  <c r="O177" i="52"/>
  <c r="O218" i="52"/>
  <c r="O137" i="52"/>
  <c r="O178" i="52"/>
  <c r="O219" i="52"/>
  <c r="O138" i="52"/>
  <c r="O179" i="52"/>
  <c r="O220" i="52"/>
  <c r="O139" i="52"/>
  <c r="O180" i="52"/>
  <c r="O221" i="52"/>
  <c r="O140" i="52"/>
  <c r="O181" i="52"/>
  <c r="O222" i="52"/>
  <c r="O256" i="52"/>
  <c r="J11" i="32"/>
  <c r="J28" i="32"/>
  <c r="J80" i="32"/>
  <c r="J81" i="32"/>
  <c r="J82" i="32"/>
  <c r="P7" i="52"/>
  <c r="AO7" i="25"/>
  <c r="P48" i="52"/>
  <c r="P89" i="52"/>
  <c r="P8" i="52"/>
  <c r="P49" i="52"/>
  <c r="P90" i="52"/>
  <c r="P9" i="52"/>
  <c r="P50" i="52"/>
  <c r="P91" i="52"/>
  <c r="P10" i="52"/>
  <c r="P51" i="52"/>
  <c r="P92" i="52"/>
  <c r="P11" i="52"/>
  <c r="P52" i="52"/>
  <c r="P93" i="52"/>
  <c r="P12" i="52"/>
  <c r="P53" i="52"/>
  <c r="P94" i="52"/>
  <c r="P13" i="52"/>
  <c r="P54" i="52"/>
  <c r="P95" i="52"/>
  <c r="P14" i="52"/>
  <c r="P55" i="52"/>
  <c r="O14" i="52"/>
  <c r="O55" i="52"/>
  <c r="P96" i="52"/>
  <c r="P129" i="52"/>
  <c r="P134" i="52"/>
  <c r="P7" i="25"/>
  <c r="P175" i="52"/>
  <c r="P216" i="52"/>
  <c r="P135" i="52"/>
  <c r="P176" i="52"/>
  <c r="P217" i="52"/>
  <c r="P136" i="52"/>
  <c r="P177" i="52"/>
  <c r="P218" i="52"/>
  <c r="P137" i="52"/>
  <c r="P178" i="52"/>
  <c r="P219" i="52"/>
  <c r="P138" i="52"/>
  <c r="P179" i="52"/>
  <c r="P220" i="52"/>
  <c r="P139" i="52"/>
  <c r="P180" i="52"/>
  <c r="P221" i="52"/>
  <c r="P140" i="52"/>
  <c r="P181" i="52"/>
  <c r="P222" i="52"/>
  <c r="P141" i="52"/>
  <c r="P182" i="52"/>
  <c r="P223" i="52"/>
  <c r="P256" i="52"/>
  <c r="K11" i="32"/>
  <c r="K28" i="32"/>
  <c r="K80" i="32"/>
  <c r="K81" i="32"/>
  <c r="K82" i="32"/>
  <c r="Q7" i="52"/>
  <c r="AP7" i="25"/>
  <c r="Q48" i="52"/>
  <c r="Q89" i="52"/>
  <c r="Q8" i="52"/>
  <c r="Q49" i="52"/>
  <c r="Q90" i="52"/>
  <c r="Q9" i="52"/>
  <c r="Q50" i="52"/>
  <c r="Q91" i="52"/>
  <c r="Q10" i="52"/>
  <c r="Q51" i="52"/>
  <c r="Q92" i="52"/>
  <c r="Q11" i="52"/>
  <c r="Q52" i="52"/>
  <c r="Q93" i="52"/>
  <c r="Q12" i="52"/>
  <c r="Q53" i="52"/>
  <c r="Q94" i="52"/>
  <c r="Q13" i="52"/>
  <c r="Q54" i="52"/>
  <c r="Q95" i="52"/>
  <c r="Q14" i="52"/>
  <c r="Q55" i="52"/>
  <c r="Q96" i="52"/>
  <c r="Q15" i="52"/>
  <c r="Q56" i="52"/>
  <c r="P15" i="52"/>
  <c r="P56" i="52"/>
  <c r="Q97" i="52"/>
  <c r="Q129" i="52"/>
  <c r="Q134" i="52"/>
  <c r="Q7" i="25"/>
  <c r="Q175" i="52"/>
  <c r="Q216" i="52"/>
  <c r="Q135" i="52"/>
  <c r="Q176" i="52"/>
  <c r="Q217" i="52"/>
  <c r="Q136" i="52"/>
  <c r="Q177" i="52"/>
  <c r="Q218" i="52"/>
  <c r="Q137" i="52"/>
  <c r="Q178" i="52"/>
  <c r="Q219" i="52"/>
  <c r="Q138" i="52"/>
  <c r="Q179" i="52"/>
  <c r="Q220" i="52"/>
  <c r="Q139" i="52"/>
  <c r="Q180" i="52"/>
  <c r="Q221" i="52"/>
  <c r="Q140" i="52"/>
  <c r="Q181" i="52"/>
  <c r="Q222" i="52"/>
  <c r="Q141" i="52"/>
  <c r="Q182" i="52"/>
  <c r="Q223" i="52"/>
  <c r="Q142" i="52"/>
  <c r="Q183" i="52"/>
  <c r="Q224" i="52"/>
  <c r="Q256" i="52"/>
  <c r="L11" i="32"/>
  <c r="L28" i="32"/>
  <c r="L80" i="32"/>
  <c r="L81" i="32"/>
  <c r="L82" i="32"/>
  <c r="R7" i="52"/>
  <c r="AQ7" i="25"/>
  <c r="R48" i="52"/>
  <c r="R89" i="52"/>
  <c r="R8" i="52"/>
  <c r="R49" i="52"/>
  <c r="R90" i="52"/>
  <c r="R9" i="52"/>
  <c r="R50" i="52"/>
  <c r="R91" i="52"/>
  <c r="R10" i="52"/>
  <c r="R51" i="52"/>
  <c r="R92" i="52"/>
  <c r="R11" i="52"/>
  <c r="R52" i="52"/>
  <c r="R93" i="52"/>
  <c r="R12" i="52"/>
  <c r="R53" i="52"/>
  <c r="R94" i="52"/>
  <c r="R13" i="52"/>
  <c r="R54" i="52"/>
  <c r="R95" i="52"/>
  <c r="R14" i="52"/>
  <c r="R55" i="52"/>
  <c r="R96" i="52"/>
  <c r="R15" i="52"/>
  <c r="R56" i="52"/>
  <c r="R97" i="52"/>
  <c r="R16" i="52"/>
  <c r="R57" i="52"/>
  <c r="Q16" i="52"/>
  <c r="Q57" i="52"/>
  <c r="R98" i="52"/>
  <c r="R129" i="52"/>
  <c r="R134" i="52"/>
  <c r="R7" i="25"/>
  <c r="R175" i="52"/>
  <c r="R216" i="52"/>
  <c r="R135" i="52"/>
  <c r="R176" i="52"/>
  <c r="R217" i="52"/>
  <c r="R136" i="52"/>
  <c r="R177" i="52"/>
  <c r="R218" i="52"/>
  <c r="R137" i="52"/>
  <c r="R178" i="52"/>
  <c r="R219" i="52"/>
  <c r="R138" i="52"/>
  <c r="R179" i="52"/>
  <c r="R220" i="52"/>
  <c r="R139" i="52"/>
  <c r="R180" i="52"/>
  <c r="R221" i="52"/>
  <c r="R140" i="52"/>
  <c r="R181" i="52"/>
  <c r="R222" i="52"/>
  <c r="R141" i="52"/>
  <c r="R182" i="52"/>
  <c r="R223" i="52"/>
  <c r="R142" i="52"/>
  <c r="R183" i="52"/>
  <c r="R224" i="52"/>
  <c r="R143" i="52"/>
  <c r="R184" i="52"/>
  <c r="R225" i="52"/>
  <c r="R256" i="52"/>
  <c r="M11" i="32"/>
  <c r="M28" i="32"/>
  <c r="M80" i="32"/>
  <c r="M81" i="32"/>
  <c r="M82" i="32"/>
  <c r="S7" i="52"/>
  <c r="AR7" i="25"/>
  <c r="S48" i="52"/>
  <c r="S89" i="52"/>
  <c r="S8" i="52"/>
  <c r="S49" i="52"/>
  <c r="S90" i="52"/>
  <c r="S9" i="52"/>
  <c r="S50" i="52"/>
  <c r="S91" i="52"/>
  <c r="S10" i="52"/>
  <c r="S51" i="52"/>
  <c r="S92" i="52"/>
  <c r="S11" i="52"/>
  <c r="S52" i="52"/>
  <c r="S93" i="52"/>
  <c r="S12" i="52"/>
  <c r="S53" i="52"/>
  <c r="S94" i="52"/>
  <c r="S13" i="52"/>
  <c r="S54" i="52"/>
  <c r="S95" i="52"/>
  <c r="S14" i="52"/>
  <c r="S55" i="52"/>
  <c r="S96" i="52"/>
  <c r="S15" i="52"/>
  <c r="S56" i="52"/>
  <c r="S97" i="52"/>
  <c r="S16" i="52"/>
  <c r="S57" i="52"/>
  <c r="S98" i="52"/>
  <c r="S17" i="52"/>
  <c r="S58" i="52"/>
  <c r="R17" i="52"/>
  <c r="R58" i="52"/>
  <c r="S99" i="52"/>
  <c r="S129" i="52"/>
  <c r="S134" i="52"/>
  <c r="S7" i="25"/>
  <c r="S175" i="52"/>
  <c r="S216" i="52"/>
  <c r="S135" i="52"/>
  <c r="S176" i="52"/>
  <c r="S217" i="52"/>
  <c r="S136" i="52"/>
  <c r="S177" i="52"/>
  <c r="S218" i="52"/>
  <c r="S137" i="52"/>
  <c r="S178" i="52"/>
  <c r="S219" i="52"/>
  <c r="S138" i="52"/>
  <c r="S179" i="52"/>
  <c r="S220" i="52"/>
  <c r="S139" i="52"/>
  <c r="S180" i="52"/>
  <c r="S221" i="52"/>
  <c r="S140" i="52"/>
  <c r="S181" i="52"/>
  <c r="S222" i="52"/>
  <c r="S141" i="52"/>
  <c r="S182" i="52"/>
  <c r="S223" i="52"/>
  <c r="S142" i="52"/>
  <c r="S183" i="52"/>
  <c r="S224" i="52"/>
  <c r="S143" i="52"/>
  <c r="S184" i="52"/>
  <c r="S225" i="52"/>
  <c r="S144" i="52"/>
  <c r="S185" i="52"/>
  <c r="S226" i="52"/>
  <c r="S256" i="52"/>
  <c r="N11" i="32"/>
  <c r="N28" i="32"/>
  <c r="N80" i="32"/>
  <c r="N81" i="32"/>
  <c r="N82" i="32"/>
  <c r="T7" i="52"/>
  <c r="AS7" i="25"/>
  <c r="T48" i="52"/>
  <c r="T89" i="52"/>
  <c r="T8" i="52"/>
  <c r="T49" i="52"/>
  <c r="T90" i="52"/>
  <c r="T9" i="52"/>
  <c r="T50" i="52"/>
  <c r="T91" i="52"/>
  <c r="T10" i="52"/>
  <c r="T51" i="52"/>
  <c r="T92" i="52"/>
  <c r="T11" i="52"/>
  <c r="T52" i="52"/>
  <c r="T93" i="52"/>
  <c r="T12" i="52"/>
  <c r="T53" i="52"/>
  <c r="T94" i="52"/>
  <c r="T13" i="52"/>
  <c r="T54" i="52"/>
  <c r="T95" i="52"/>
  <c r="T14" i="52"/>
  <c r="T55" i="52"/>
  <c r="T96" i="52"/>
  <c r="T15" i="52"/>
  <c r="T56" i="52"/>
  <c r="T97" i="52"/>
  <c r="T16" i="52"/>
  <c r="T57" i="52"/>
  <c r="T98" i="52"/>
  <c r="T17" i="52"/>
  <c r="T58" i="52"/>
  <c r="T99" i="52"/>
  <c r="T18" i="52"/>
  <c r="T59" i="52"/>
  <c r="S18" i="52"/>
  <c r="S59" i="52"/>
  <c r="T100" i="52"/>
  <c r="T129" i="52"/>
  <c r="T134" i="52"/>
  <c r="T7" i="25"/>
  <c r="T175" i="52"/>
  <c r="T216" i="52"/>
  <c r="T135" i="52"/>
  <c r="T176" i="52"/>
  <c r="T217" i="52"/>
  <c r="T136" i="52"/>
  <c r="T177" i="52"/>
  <c r="T218" i="52"/>
  <c r="T137" i="52"/>
  <c r="T178" i="52"/>
  <c r="T219" i="52"/>
  <c r="T138" i="52"/>
  <c r="T179" i="52"/>
  <c r="T220" i="52"/>
  <c r="T139" i="52"/>
  <c r="T180" i="52"/>
  <c r="T221" i="52"/>
  <c r="T140" i="52"/>
  <c r="T181" i="52"/>
  <c r="T222" i="52"/>
  <c r="T141" i="52"/>
  <c r="T182" i="52"/>
  <c r="T223" i="52"/>
  <c r="T142" i="52"/>
  <c r="T183" i="52"/>
  <c r="T224" i="52"/>
  <c r="T143" i="52"/>
  <c r="T184" i="52"/>
  <c r="T225" i="52"/>
  <c r="T144" i="52"/>
  <c r="T185" i="52"/>
  <c r="T226" i="52"/>
  <c r="T145" i="52"/>
  <c r="T186" i="52"/>
  <c r="T227" i="52"/>
  <c r="T256" i="52"/>
  <c r="O11" i="32"/>
  <c r="O28" i="32"/>
  <c r="O80" i="32"/>
  <c r="O81" i="32"/>
  <c r="O82" i="32"/>
  <c r="U7" i="52"/>
  <c r="AT7" i="25"/>
  <c r="U48" i="52"/>
  <c r="U89" i="52"/>
  <c r="U8" i="52"/>
  <c r="U49" i="52"/>
  <c r="U90" i="52"/>
  <c r="U9" i="52"/>
  <c r="U50" i="52"/>
  <c r="U91" i="52"/>
  <c r="U10" i="52"/>
  <c r="U51" i="52"/>
  <c r="U92" i="52"/>
  <c r="U11" i="52"/>
  <c r="U52" i="52"/>
  <c r="U93" i="52"/>
  <c r="U12" i="52"/>
  <c r="U53" i="52"/>
  <c r="U94" i="52"/>
  <c r="U13" i="52"/>
  <c r="U54" i="52"/>
  <c r="U95" i="52"/>
  <c r="U14" i="52"/>
  <c r="U55" i="52"/>
  <c r="U96" i="52"/>
  <c r="U15" i="52"/>
  <c r="U56" i="52"/>
  <c r="U97" i="52"/>
  <c r="U16" i="52"/>
  <c r="U57" i="52"/>
  <c r="U98" i="52"/>
  <c r="U17" i="52"/>
  <c r="U58" i="52"/>
  <c r="U99" i="52"/>
  <c r="U18" i="52"/>
  <c r="U59" i="52"/>
  <c r="U100" i="52"/>
  <c r="U19" i="52"/>
  <c r="U60" i="52"/>
  <c r="T19" i="52"/>
  <c r="T60" i="52"/>
  <c r="U101" i="52"/>
  <c r="U129" i="52"/>
  <c r="U134" i="52"/>
  <c r="U7" i="25"/>
  <c r="U175" i="52"/>
  <c r="U216" i="52"/>
  <c r="U135" i="52"/>
  <c r="U176" i="52"/>
  <c r="U217" i="52"/>
  <c r="U136" i="52"/>
  <c r="U177" i="52"/>
  <c r="U218" i="52"/>
  <c r="U137" i="52"/>
  <c r="U178" i="52"/>
  <c r="U219" i="52"/>
  <c r="U138" i="52"/>
  <c r="U179" i="52"/>
  <c r="U220" i="52"/>
  <c r="U139" i="52"/>
  <c r="U180" i="52"/>
  <c r="U221" i="52"/>
  <c r="U140" i="52"/>
  <c r="U181" i="52"/>
  <c r="U222" i="52"/>
  <c r="U141" i="52"/>
  <c r="U182" i="52"/>
  <c r="U223" i="52"/>
  <c r="U142" i="52"/>
  <c r="U183" i="52"/>
  <c r="U224" i="52"/>
  <c r="U143" i="52"/>
  <c r="U184" i="52"/>
  <c r="U225" i="52"/>
  <c r="U144" i="52"/>
  <c r="U185" i="52"/>
  <c r="U226" i="52"/>
  <c r="U145" i="52"/>
  <c r="U186" i="52"/>
  <c r="U227" i="52"/>
  <c r="U146" i="52"/>
  <c r="U187" i="52"/>
  <c r="U228" i="52"/>
  <c r="U256" i="52"/>
  <c r="P11" i="32"/>
  <c r="P28" i="32"/>
  <c r="P80" i="32"/>
  <c r="P81" i="32"/>
  <c r="P82" i="32"/>
  <c r="V7" i="52"/>
  <c r="AU7" i="25"/>
  <c r="V48" i="52"/>
  <c r="V89" i="52"/>
  <c r="V8" i="52"/>
  <c r="V49" i="52"/>
  <c r="V90" i="52"/>
  <c r="V9" i="52"/>
  <c r="V50" i="52"/>
  <c r="V91" i="52"/>
  <c r="V10" i="52"/>
  <c r="V51" i="52"/>
  <c r="V92" i="52"/>
  <c r="V11" i="52"/>
  <c r="V52" i="52"/>
  <c r="V93" i="52"/>
  <c r="V12" i="52"/>
  <c r="V53" i="52"/>
  <c r="V94" i="52"/>
  <c r="V13" i="52"/>
  <c r="V54" i="52"/>
  <c r="V95" i="52"/>
  <c r="V14" i="52"/>
  <c r="V55" i="52"/>
  <c r="V96" i="52"/>
  <c r="V15" i="52"/>
  <c r="V56" i="52"/>
  <c r="V97" i="52"/>
  <c r="V16" i="52"/>
  <c r="V57" i="52"/>
  <c r="V98" i="52"/>
  <c r="V17" i="52"/>
  <c r="V58" i="52"/>
  <c r="V99" i="52"/>
  <c r="V18" i="52"/>
  <c r="V59" i="52"/>
  <c r="V100" i="52"/>
  <c r="V19" i="52"/>
  <c r="V60" i="52"/>
  <c r="V101" i="52"/>
  <c r="V20" i="52"/>
  <c r="V61" i="52"/>
  <c r="U20" i="52"/>
  <c r="U61" i="52"/>
  <c r="V102" i="52"/>
  <c r="V129" i="52"/>
  <c r="V134" i="52"/>
  <c r="V7" i="25"/>
  <c r="V175" i="52"/>
  <c r="V216" i="52"/>
  <c r="V135" i="52"/>
  <c r="V176" i="52"/>
  <c r="V217" i="52"/>
  <c r="V136" i="52"/>
  <c r="V177" i="52"/>
  <c r="V218" i="52"/>
  <c r="V137" i="52"/>
  <c r="V178" i="52"/>
  <c r="V219" i="52"/>
  <c r="V138" i="52"/>
  <c r="V179" i="52"/>
  <c r="V220" i="52"/>
  <c r="V139" i="52"/>
  <c r="V180" i="52"/>
  <c r="V221" i="52"/>
  <c r="V140" i="52"/>
  <c r="V181" i="52"/>
  <c r="V222" i="52"/>
  <c r="V141" i="52"/>
  <c r="V182" i="52"/>
  <c r="V223" i="52"/>
  <c r="V142" i="52"/>
  <c r="V183" i="52"/>
  <c r="V224" i="52"/>
  <c r="V143" i="52"/>
  <c r="V184" i="52"/>
  <c r="V225" i="52"/>
  <c r="V144" i="52"/>
  <c r="V185" i="52"/>
  <c r="V226" i="52"/>
  <c r="V145" i="52"/>
  <c r="V186" i="52"/>
  <c r="V227" i="52"/>
  <c r="V146" i="52"/>
  <c r="V187" i="52"/>
  <c r="V228" i="52"/>
  <c r="V147" i="52"/>
  <c r="V188" i="52"/>
  <c r="V229" i="52"/>
  <c r="V256" i="52"/>
  <c r="Q11" i="32"/>
  <c r="Q28" i="32"/>
  <c r="Q80" i="32"/>
  <c r="Q81" i="32"/>
  <c r="Q82" i="32"/>
  <c r="W7" i="52"/>
  <c r="AV7" i="25"/>
  <c r="W48" i="52"/>
  <c r="W89" i="52"/>
  <c r="W8" i="52"/>
  <c r="W49" i="52"/>
  <c r="W90" i="52"/>
  <c r="W9" i="52"/>
  <c r="W50" i="52"/>
  <c r="W91" i="52"/>
  <c r="W10" i="52"/>
  <c r="W51" i="52"/>
  <c r="W92" i="52"/>
  <c r="W11" i="52"/>
  <c r="W52" i="52"/>
  <c r="W93" i="52"/>
  <c r="W12" i="52"/>
  <c r="W53" i="52"/>
  <c r="W94" i="52"/>
  <c r="W13" i="52"/>
  <c r="W54" i="52"/>
  <c r="W95" i="52"/>
  <c r="W14" i="52"/>
  <c r="W55" i="52"/>
  <c r="W96" i="52"/>
  <c r="W15" i="52"/>
  <c r="W56" i="52"/>
  <c r="W97" i="52"/>
  <c r="W16" i="52"/>
  <c r="W57" i="52"/>
  <c r="W98" i="52"/>
  <c r="W17" i="52"/>
  <c r="W58" i="52"/>
  <c r="W99" i="52"/>
  <c r="W18" i="52"/>
  <c r="W59" i="52"/>
  <c r="W100" i="52"/>
  <c r="W19" i="52"/>
  <c r="W60" i="52"/>
  <c r="W101" i="52"/>
  <c r="W20" i="52"/>
  <c r="W61" i="52"/>
  <c r="W102" i="52"/>
  <c r="W21" i="52"/>
  <c r="W62" i="52"/>
  <c r="V21" i="52"/>
  <c r="V62" i="52"/>
  <c r="W103" i="52"/>
  <c r="W129" i="52"/>
  <c r="W134" i="52"/>
  <c r="W7" i="25"/>
  <c r="W175" i="52"/>
  <c r="W216" i="52"/>
  <c r="W135" i="52"/>
  <c r="W176" i="52"/>
  <c r="W217" i="52"/>
  <c r="W136" i="52"/>
  <c r="W177" i="52"/>
  <c r="W218" i="52"/>
  <c r="W137" i="52"/>
  <c r="W178" i="52"/>
  <c r="W219" i="52"/>
  <c r="W138" i="52"/>
  <c r="W179" i="52"/>
  <c r="W220" i="52"/>
  <c r="W139" i="52"/>
  <c r="W180" i="52"/>
  <c r="W221" i="52"/>
  <c r="W140" i="52"/>
  <c r="W181" i="52"/>
  <c r="W222" i="52"/>
  <c r="W141" i="52"/>
  <c r="W182" i="52"/>
  <c r="W223" i="52"/>
  <c r="W142" i="52"/>
  <c r="W183" i="52"/>
  <c r="W224" i="52"/>
  <c r="W143" i="52"/>
  <c r="W184" i="52"/>
  <c r="W225" i="52"/>
  <c r="W144" i="52"/>
  <c r="W185" i="52"/>
  <c r="W226" i="52"/>
  <c r="W145" i="52"/>
  <c r="W186" i="52"/>
  <c r="W227" i="52"/>
  <c r="W146" i="52"/>
  <c r="W187" i="52"/>
  <c r="W228" i="52"/>
  <c r="W147" i="52"/>
  <c r="W188" i="52"/>
  <c r="W229" i="52"/>
  <c r="W148" i="52"/>
  <c r="W189" i="52"/>
  <c r="W230" i="52"/>
  <c r="W256" i="52"/>
  <c r="R11" i="32"/>
  <c r="R28" i="32"/>
  <c r="R80" i="32"/>
  <c r="R81" i="32"/>
  <c r="R82" i="32"/>
  <c r="X7" i="52"/>
  <c r="AW7" i="25"/>
  <c r="X48" i="52"/>
  <c r="X89" i="52"/>
  <c r="X8" i="52"/>
  <c r="X49" i="52"/>
  <c r="X90" i="52"/>
  <c r="X9" i="52"/>
  <c r="X50" i="52"/>
  <c r="X91" i="52"/>
  <c r="X10" i="52"/>
  <c r="X51" i="52"/>
  <c r="X92" i="52"/>
  <c r="X11" i="52"/>
  <c r="X52" i="52"/>
  <c r="X93" i="52"/>
  <c r="X12" i="52"/>
  <c r="X53" i="52"/>
  <c r="X94" i="52"/>
  <c r="X13" i="52"/>
  <c r="X54" i="52"/>
  <c r="X95" i="52"/>
  <c r="X14" i="52"/>
  <c r="X55" i="52"/>
  <c r="X96" i="52"/>
  <c r="X15" i="52"/>
  <c r="X56" i="52"/>
  <c r="X97" i="52"/>
  <c r="X16" i="52"/>
  <c r="X57" i="52"/>
  <c r="X98" i="52"/>
  <c r="X17" i="52"/>
  <c r="X58" i="52"/>
  <c r="X99" i="52"/>
  <c r="X18" i="52"/>
  <c r="X59" i="52"/>
  <c r="X100" i="52"/>
  <c r="X19" i="52"/>
  <c r="X60" i="52"/>
  <c r="X101" i="52"/>
  <c r="X20" i="52"/>
  <c r="X61" i="52"/>
  <c r="X102" i="52"/>
  <c r="X21" i="52"/>
  <c r="X62" i="52"/>
  <c r="X103" i="52"/>
  <c r="X22" i="52"/>
  <c r="X63" i="52"/>
  <c r="W22" i="52"/>
  <c r="W63" i="52"/>
  <c r="X104" i="52"/>
  <c r="X129" i="52"/>
  <c r="X134" i="52"/>
  <c r="X7" i="25"/>
  <c r="X175" i="52"/>
  <c r="X216" i="52"/>
  <c r="X135" i="52"/>
  <c r="X176" i="52"/>
  <c r="X217" i="52"/>
  <c r="X136" i="52"/>
  <c r="X177" i="52"/>
  <c r="X218" i="52"/>
  <c r="X137" i="52"/>
  <c r="X178" i="52"/>
  <c r="X219" i="52"/>
  <c r="X138" i="52"/>
  <c r="X179" i="52"/>
  <c r="X220" i="52"/>
  <c r="X139" i="52"/>
  <c r="X180" i="52"/>
  <c r="X221" i="52"/>
  <c r="X140" i="52"/>
  <c r="X181" i="52"/>
  <c r="X222" i="52"/>
  <c r="X141" i="52"/>
  <c r="X182" i="52"/>
  <c r="X223" i="52"/>
  <c r="X142" i="52"/>
  <c r="X183" i="52"/>
  <c r="X224" i="52"/>
  <c r="X143" i="52"/>
  <c r="X184" i="52"/>
  <c r="X225" i="52"/>
  <c r="X144" i="52"/>
  <c r="X185" i="52"/>
  <c r="X226" i="52"/>
  <c r="X145" i="52"/>
  <c r="X186" i="52"/>
  <c r="X227" i="52"/>
  <c r="X146" i="52"/>
  <c r="X187" i="52"/>
  <c r="X228" i="52"/>
  <c r="X147" i="52"/>
  <c r="X188" i="52"/>
  <c r="X229" i="52"/>
  <c r="X148" i="52"/>
  <c r="X189" i="52"/>
  <c r="X230" i="52"/>
  <c r="X149" i="52"/>
  <c r="X190" i="52"/>
  <c r="X231" i="52"/>
  <c r="X256" i="52"/>
  <c r="S11" i="32"/>
  <c r="S28" i="32"/>
  <c r="S80" i="32"/>
  <c r="S81" i="32"/>
  <c r="S82" i="32"/>
  <c r="Y7" i="52"/>
  <c r="AX7" i="25"/>
  <c r="Y48" i="52"/>
  <c r="Y89" i="52"/>
  <c r="Y8" i="52"/>
  <c r="Y49" i="52"/>
  <c r="Y90" i="52"/>
  <c r="Y9" i="52"/>
  <c r="Y50" i="52"/>
  <c r="Y91" i="52"/>
  <c r="Y10" i="52"/>
  <c r="Y51" i="52"/>
  <c r="Y92" i="52"/>
  <c r="Y11" i="52"/>
  <c r="Y52" i="52"/>
  <c r="Y93" i="52"/>
  <c r="Y12" i="52"/>
  <c r="Y53" i="52"/>
  <c r="Y94" i="52"/>
  <c r="Y13" i="52"/>
  <c r="Y54" i="52"/>
  <c r="Y95" i="52"/>
  <c r="Y14" i="52"/>
  <c r="Y55" i="52"/>
  <c r="Y96" i="52"/>
  <c r="Y15" i="52"/>
  <c r="Y56" i="52"/>
  <c r="Y97" i="52"/>
  <c r="Y16" i="52"/>
  <c r="Y57" i="52"/>
  <c r="Y98" i="52"/>
  <c r="Y17" i="52"/>
  <c r="Y58" i="52"/>
  <c r="Y99" i="52"/>
  <c r="Y18" i="52"/>
  <c r="Y59" i="52"/>
  <c r="Y100" i="52"/>
  <c r="Y19" i="52"/>
  <c r="Y60" i="52"/>
  <c r="Y101" i="52"/>
  <c r="Y20" i="52"/>
  <c r="Y61" i="52"/>
  <c r="Y102" i="52"/>
  <c r="Y21" i="52"/>
  <c r="Y62" i="52"/>
  <c r="Y103" i="52"/>
  <c r="Y22" i="52"/>
  <c r="Y63" i="52"/>
  <c r="Y104" i="52"/>
  <c r="Y23" i="52"/>
  <c r="Y64" i="52"/>
  <c r="X23" i="52"/>
  <c r="X64" i="52"/>
  <c r="Y105" i="52"/>
  <c r="Y129" i="52"/>
  <c r="Y134" i="52"/>
  <c r="Y7" i="25"/>
  <c r="Y175" i="52"/>
  <c r="Y216" i="52"/>
  <c r="Y135" i="52"/>
  <c r="Y176" i="52"/>
  <c r="Y217" i="52"/>
  <c r="Y136" i="52"/>
  <c r="Y177" i="52"/>
  <c r="Y218" i="52"/>
  <c r="Y137" i="52"/>
  <c r="Y178" i="52"/>
  <c r="Y219" i="52"/>
  <c r="Y138" i="52"/>
  <c r="Y179" i="52"/>
  <c r="Y220" i="52"/>
  <c r="Y139" i="52"/>
  <c r="Y180" i="52"/>
  <c r="Y221" i="52"/>
  <c r="Y140" i="52"/>
  <c r="Y181" i="52"/>
  <c r="Y222" i="52"/>
  <c r="Y141" i="52"/>
  <c r="Y182" i="52"/>
  <c r="Y223" i="52"/>
  <c r="Y142" i="52"/>
  <c r="Y183" i="52"/>
  <c r="Y224" i="52"/>
  <c r="Y143" i="52"/>
  <c r="Y184" i="52"/>
  <c r="Y225" i="52"/>
  <c r="Y144" i="52"/>
  <c r="Y185" i="52"/>
  <c r="Y226" i="52"/>
  <c r="Y145" i="52"/>
  <c r="Y186" i="52"/>
  <c r="Y227" i="52"/>
  <c r="Y146" i="52"/>
  <c r="Y187" i="52"/>
  <c r="Y228" i="52"/>
  <c r="Y147" i="52"/>
  <c r="Y188" i="52"/>
  <c r="Y229" i="52"/>
  <c r="Y148" i="52"/>
  <c r="Y189" i="52"/>
  <c r="Y230" i="52"/>
  <c r="Y149" i="52"/>
  <c r="Y190" i="52"/>
  <c r="Y231" i="52"/>
  <c r="Y150" i="52"/>
  <c r="Y191" i="52"/>
  <c r="Y232" i="52"/>
  <c r="Y256" i="52"/>
  <c r="T11" i="32"/>
  <c r="T28" i="32"/>
  <c r="T80" i="32"/>
  <c r="T81" i="32"/>
  <c r="T82" i="32"/>
  <c r="Z7" i="52"/>
  <c r="AY7" i="25"/>
  <c r="Z48" i="52"/>
  <c r="Z89" i="52"/>
  <c r="Z8" i="52"/>
  <c r="Z49" i="52"/>
  <c r="Z90" i="52"/>
  <c r="Z9" i="52"/>
  <c r="Z50" i="52"/>
  <c r="Z91" i="52"/>
  <c r="Z10" i="52"/>
  <c r="Z51" i="52"/>
  <c r="Z92" i="52"/>
  <c r="Z11" i="52"/>
  <c r="Z52" i="52"/>
  <c r="Z93" i="52"/>
  <c r="Z12" i="52"/>
  <c r="Z53" i="52"/>
  <c r="Z94" i="52"/>
  <c r="Z13" i="52"/>
  <c r="Z54" i="52"/>
  <c r="Z95" i="52"/>
  <c r="Z14" i="52"/>
  <c r="Z55" i="52"/>
  <c r="Z96" i="52"/>
  <c r="Z15" i="52"/>
  <c r="Z56" i="52"/>
  <c r="Z97" i="52"/>
  <c r="Z16" i="52"/>
  <c r="Z57" i="52"/>
  <c r="Z98" i="52"/>
  <c r="Z17" i="52"/>
  <c r="Z58" i="52"/>
  <c r="Z99" i="52"/>
  <c r="Z18" i="52"/>
  <c r="Z59" i="52"/>
  <c r="Z100" i="52"/>
  <c r="Z19" i="52"/>
  <c r="Z60" i="52"/>
  <c r="Z101" i="52"/>
  <c r="Z20" i="52"/>
  <c r="Z61" i="52"/>
  <c r="Z102" i="52"/>
  <c r="Z21" i="52"/>
  <c r="Z62" i="52"/>
  <c r="Z103" i="52"/>
  <c r="Z22" i="52"/>
  <c r="Z63" i="52"/>
  <c r="Z104" i="52"/>
  <c r="Z23" i="52"/>
  <c r="Z64" i="52"/>
  <c r="Z105" i="52"/>
  <c r="Z24" i="52"/>
  <c r="Z65" i="52"/>
  <c r="Y24" i="52"/>
  <c r="Y65" i="52"/>
  <c r="Z106" i="52"/>
  <c r="Z129" i="52"/>
  <c r="Z134" i="52"/>
  <c r="Z7" i="25"/>
  <c r="Z175" i="52"/>
  <c r="Z216" i="52"/>
  <c r="Z135" i="52"/>
  <c r="Z176" i="52"/>
  <c r="Z217" i="52"/>
  <c r="Z136" i="52"/>
  <c r="Z177" i="52"/>
  <c r="Z218" i="52"/>
  <c r="Z137" i="52"/>
  <c r="Z178" i="52"/>
  <c r="Z219" i="52"/>
  <c r="Z138" i="52"/>
  <c r="Z179" i="52"/>
  <c r="Z220" i="52"/>
  <c r="Z139" i="52"/>
  <c r="Z180" i="52"/>
  <c r="Z221" i="52"/>
  <c r="Z140" i="52"/>
  <c r="Z181" i="52"/>
  <c r="Z222" i="52"/>
  <c r="Z141" i="52"/>
  <c r="Z182" i="52"/>
  <c r="Z223" i="52"/>
  <c r="Z142" i="52"/>
  <c r="Z183" i="52"/>
  <c r="Z224" i="52"/>
  <c r="Z143" i="52"/>
  <c r="Z184" i="52"/>
  <c r="Z225" i="52"/>
  <c r="Z144" i="52"/>
  <c r="Z185" i="52"/>
  <c r="Z226" i="52"/>
  <c r="Z145" i="52"/>
  <c r="Z186" i="52"/>
  <c r="Z227" i="52"/>
  <c r="Z146" i="52"/>
  <c r="Z187" i="52"/>
  <c r="Z228" i="52"/>
  <c r="Z147" i="52"/>
  <c r="Z188" i="52"/>
  <c r="Z229" i="52"/>
  <c r="Z148" i="52"/>
  <c r="Z189" i="52"/>
  <c r="Z230" i="52"/>
  <c r="Z149" i="52"/>
  <c r="Z190" i="52"/>
  <c r="Z231" i="52"/>
  <c r="Z150" i="52"/>
  <c r="Z191" i="52"/>
  <c r="Z232" i="52"/>
  <c r="Z151" i="52"/>
  <c r="Z192" i="52"/>
  <c r="Z233" i="52"/>
  <c r="Z256" i="52"/>
  <c r="U11" i="32"/>
  <c r="U28" i="32"/>
  <c r="U80" i="32"/>
  <c r="U81" i="32"/>
  <c r="U82" i="32"/>
  <c r="AA7" i="52"/>
  <c r="AZ7" i="25"/>
  <c r="AA48" i="52"/>
  <c r="AA89" i="52"/>
  <c r="AA8" i="52"/>
  <c r="AA49" i="52"/>
  <c r="AA90" i="52"/>
  <c r="AA9" i="52"/>
  <c r="AA50" i="52"/>
  <c r="AA91" i="52"/>
  <c r="AA10" i="52"/>
  <c r="AA51" i="52"/>
  <c r="AA92" i="52"/>
  <c r="AA11" i="52"/>
  <c r="AA52" i="52"/>
  <c r="AA93" i="52"/>
  <c r="AA12" i="52"/>
  <c r="AA53" i="52"/>
  <c r="AA94" i="52"/>
  <c r="AA13" i="52"/>
  <c r="AA54" i="52"/>
  <c r="AA95" i="52"/>
  <c r="AA14" i="52"/>
  <c r="AA55" i="52"/>
  <c r="AA96" i="52"/>
  <c r="AA15" i="52"/>
  <c r="AA56" i="52"/>
  <c r="AA97" i="52"/>
  <c r="AA16" i="52"/>
  <c r="AA57" i="52"/>
  <c r="AA98" i="52"/>
  <c r="AA17" i="52"/>
  <c r="AA58" i="52"/>
  <c r="AA99" i="52"/>
  <c r="AA18" i="52"/>
  <c r="AA59" i="52"/>
  <c r="AA100" i="52"/>
  <c r="AA19" i="52"/>
  <c r="AA60" i="52"/>
  <c r="AA101" i="52"/>
  <c r="AA20" i="52"/>
  <c r="AA61" i="52"/>
  <c r="AA102" i="52"/>
  <c r="AA21" i="52"/>
  <c r="AA62" i="52"/>
  <c r="AA103" i="52"/>
  <c r="AA22" i="52"/>
  <c r="AA63" i="52"/>
  <c r="AA104" i="52"/>
  <c r="AA23" i="52"/>
  <c r="AA64" i="52"/>
  <c r="AA105" i="52"/>
  <c r="AA24" i="52"/>
  <c r="AA65" i="52"/>
  <c r="AA106" i="52"/>
  <c r="AA25" i="52"/>
  <c r="AA66" i="52"/>
  <c r="Z25" i="52"/>
  <c r="Z66" i="52"/>
  <c r="AA107" i="52"/>
  <c r="AA129" i="52"/>
  <c r="AA134" i="52"/>
  <c r="AA7" i="25"/>
  <c r="AA175" i="52"/>
  <c r="AA216" i="52"/>
  <c r="AA135" i="52"/>
  <c r="AA176" i="52"/>
  <c r="AA217" i="52"/>
  <c r="AA136" i="52"/>
  <c r="AA177" i="52"/>
  <c r="AA218" i="52"/>
  <c r="AA137" i="52"/>
  <c r="AA178" i="52"/>
  <c r="AA219" i="52"/>
  <c r="AA138" i="52"/>
  <c r="AA179" i="52"/>
  <c r="AA220" i="52"/>
  <c r="AA139" i="52"/>
  <c r="AA180" i="52"/>
  <c r="AA221" i="52"/>
  <c r="AA140" i="52"/>
  <c r="AA181" i="52"/>
  <c r="AA222" i="52"/>
  <c r="AA141" i="52"/>
  <c r="AA182" i="52"/>
  <c r="AA223" i="52"/>
  <c r="AA142" i="52"/>
  <c r="AA183" i="52"/>
  <c r="AA224" i="52"/>
  <c r="AA143" i="52"/>
  <c r="AA184" i="52"/>
  <c r="AA225" i="52"/>
  <c r="AA144" i="52"/>
  <c r="AA185" i="52"/>
  <c r="AA226" i="52"/>
  <c r="AA145" i="52"/>
  <c r="AA186" i="52"/>
  <c r="AA227" i="52"/>
  <c r="AA146" i="52"/>
  <c r="AA187" i="52"/>
  <c r="AA228" i="52"/>
  <c r="AA147" i="52"/>
  <c r="AA188" i="52"/>
  <c r="AA229" i="52"/>
  <c r="AA148" i="52"/>
  <c r="AA189" i="52"/>
  <c r="AA230" i="52"/>
  <c r="AA149" i="52"/>
  <c r="AA190" i="52"/>
  <c r="AA231" i="52"/>
  <c r="AA150" i="52"/>
  <c r="AA191" i="52"/>
  <c r="AA232" i="52"/>
  <c r="AA151" i="52"/>
  <c r="AA192" i="52"/>
  <c r="AA233" i="52"/>
  <c r="AA152" i="52"/>
  <c r="AA193" i="52"/>
  <c r="AA234" i="52"/>
  <c r="AA256" i="52"/>
  <c r="V11" i="32"/>
  <c r="V28" i="32"/>
  <c r="V80" i="32"/>
  <c r="V81" i="32"/>
  <c r="V82" i="32"/>
  <c r="AB7" i="52"/>
  <c r="BA7" i="25"/>
  <c r="AB48" i="52"/>
  <c r="AB89" i="52"/>
  <c r="AB8" i="52"/>
  <c r="AB49" i="52"/>
  <c r="AB90" i="52"/>
  <c r="AB9" i="52"/>
  <c r="AB50" i="52"/>
  <c r="AB91" i="52"/>
  <c r="AB10" i="52"/>
  <c r="AB51" i="52"/>
  <c r="AB92" i="52"/>
  <c r="AB11" i="52"/>
  <c r="AB52" i="52"/>
  <c r="AB93" i="52"/>
  <c r="AB12" i="52"/>
  <c r="AB53" i="52"/>
  <c r="AB94" i="52"/>
  <c r="AB13" i="52"/>
  <c r="AB54" i="52"/>
  <c r="AB95" i="52"/>
  <c r="AB14" i="52"/>
  <c r="AB55" i="52"/>
  <c r="AB96" i="52"/>
  <c r="AB15" i="52"/>
  <c r="AB56" i="52"/>
  <c r="AB97" i="52"/>
  <c r="AB16" i="52"/>
  <c r="AB57" i="52"/>
  <c r="AB98" i="52"/>
  <c r="AB17" i="52"/>
  <c r="AB58" i="52"/>
  <c r="AB99" i="52"/>
  <c r="AB18" i="52"/>
  <c r="AB59" i="52"/>
  <c r="AB100" i="52"/>
  <c r="AB19" i="52"/>
  <c r="AB60" i="52"/>
  <c r="AB101" i="52"/>
  <c r="AB20" i="52"/>
  <c r="AB61" i="52"/>
  <c r="AB102" i="52"/>
  <c r="AB21" i="52"/>
  <c r="AB62" i="52"/>
  <c r="AB103" i="52"/>
  <c r="AB22" i="52"/>
  <c r="AB63" i="52"/>
  <c r="AB104" i="52"/>
  <c r="AB23" i="52"/>
  <c r="AB64" i="52"/>
  <c r="AB105" i="52"/>
  <c r="AB24" i="52"/>
  <c r="AB65" i="52"/>
  <c r="AB106" i="52"/>
  <c r="AB25" i="52"/>
  <c r="AB66" i="52"/>
  <c r="AB107" i="52"/>
  <c r="AB26" i="52"/>
  <c r="AB67" i="52"/>
  <c r="AA26" i="52"/>
  <c r="AA67" i="52"/>
  <c r="AB108" i="52"/>
  <c r="AB129" i="52"/>
  <c r="AB134" i="52"/>
  <c r="AB7" i="25"/>
  <c r="AB175" i="52"/>
  <c r="AB216" i="52"/>
  <c r="AB135" i="52"/>
  <c r="AB176" i="52"/>
  <c r="AB217" i="52"/>
  <c r="AB136" i="52"/>
  <c r="AB177" i="52"/>
  <c r="AB218" i="52"/>
  <c r="AB137" i="52"/>
  <c r="AB178" i="52"/>
  <c r="AB219" i="52"/>
  <c r="AB138" i="52"/>
  <c r="AB179" i="52"/>
  <c r="AB220" i="52"/>
  <c r="AB139" i="52"/>
  <c r="AB180" i="52"/>
  <c r="AB221" i="52"/>
  <c r="AB140" i="52"/>
  <c r="AB181" i="52"/>
  <c r="AB222" i="52"/>
  <c r="AB141" i="52"/>
  <c r="AB182" i="52"/>
  <c r="AB223" i="52"/>
  <c r="AB142" i="52"/>
  <c r="AB183" i="52"/>
  <c r="AB224" i="52"/>
  <c r="AB143" i="52"/>
  <c r="AB184" i="52"/>
  <c r="AB225" i="52"/>
  <c r="AB144" i="52"/>
  <c r="AB185" i="52"/>
  <c r="AB226" i="52"/>
  <c r="AB145" i="52"/>
  <c r="AB186" i="52"/>
  <c r="AB227" i="52"/>
  <c r="AB146" i="52"/>
  <c r="AB187" i="52"/>
  <c r="AB228" i="52"/>
  <c r="AB147" i="52"/>
  <c r="AB188" i="52"/>
  <c r="AB229" i="52"/>
  <c r="AB148" i="52"/>
  <c r="AB189" i="52"/>
  <c r="AB230" i="52"/>
  <c r="AB149" i="52"/>
  <c r="AB190" i="52"/>
  <c r="AB231" i="52"/>
  <c r="AB150" i="52"/>
  <c r="AB191" i="52"/>
  <c r="AB232" i="52"/>
  <c r="AB151" i="52"/>
  <c r="AB192" i="52"/>
  <c r="AB233" i="52"/>
  <c r="AB152" i="52"/>
  <c r="AB193" i="52"/>
  <c r="AB234" i="52"/>
  <c r="AB153" i="52"/>
  <c r="AB194" i="52"/>
  <c r="AB235" i="52"/>
  <c r="AB256" i="52"/>
  <c r="W11" i="32"/>
  <c r="W28" i="32"/>
  <c r="W80" i="32"/>
  <c r="W81" i="32"/>
  <c r="W82" i="32"/>
  <c r="AC7" i="52"/>
  <c r="BB7" i="25"/>
  <c r="AC48" i="52"/>
  <c r="AC89" i="52"/>
  <c r="AC8" i="52"/>
  <c r="AC49" i="52"/>
  <c r="AC90" i="52"/>
  <c r="AC9" i="52"/>
  <c r="AC50" i="52"/>
  <c r="AC91" i="52"/>
  <c r="AC10" i="52"/>
  <c r="AC51" i="52"/>
  <c r="AC92" i="52"/>
  <c r="AC11" i="52"/>
  <c r="AC52" i="52"/>
  <c r="AC93" i="52"/>
  <c r="AC12" i="52"/>
  <c r="AC53" i="52"/>
  <c r="AC94" i="52"/>
  <c r="AC13" i="52"/>
  <c r="AC54" i="52"/>
  <c r="AC95" i="52"/>
  <c r="AC14" i="52"/>
  <c r="AC55" i="52"/>
  <c r="AC96" i="52"/>
  <c r="AC15" i="52"/>
  <c r="AC56" i="52"/>
  <c r="AC97" i="52"/>
  <c r="AC16" i="52"/>
  <c r="AC57" i="52"/>
  <c r="AC98" i="52"/>
  <c r="AC17" i="52"/>
  <c r="AC58" i="52"/>
  <c r="AC99" i="52"/>
  <c r="AC18" i="52"/>
  <c r="AC59" i="52"/>
  <c r="AC100" i="52"/>
  <c r="AC19" i="52"/>
  <c r="AC60" i="52"/>
  <c r="AC101" i="52"/>
  <c r="AC20" i="52"/>
  <c r="AC61" i="52"/>
  <c r="AC102" i="52"/>
  <c r="AC21" i="52"/>
  <c r="AC62" i="52"/>
  <c r="AC103" i="52"/>
  <c r="AC22" i="52"/>
  <c r="AC63" i="52"/>
  <c r="AC104" i="52"/>
  <c r="AC23" i="52"/>
  <c r="AC64" i="52"/>
  <c r="AC105" i="52"/>
  <c r="AC24" i="52"/>
  <c r="AC65" i="52"/>
  <c r="AC106" i="52"/>
  <c r="AC25" i="52"/>
  <c r="AC66" i="52"/>
  <c r="AC107" i="52"/>
  <c r="AC26" i="52"/>
  <c r="AC67" i="52"/>
  <c r="AC108" i="52"/>
  <c r="AC27" i="52"/>
  <c r="AC68" i="52"/>
  <c r="AB27" i="52"/>
  <c r="AB68" i="52"/>
  <c r="AC109" i="52"/>
  <c r="AC129" i="52"/>
  <c r="AC134" i="52"/>
  <c r="AC7" i="25"/>
  <c r="AC175" i="52"/>
  <c r="AC216" i="52"/>
  <c r="AC135" i="52"/>
  <c r="AC176" i="52"/>
  <c r="AC217" i="52"/>
  <c r="AC136" i="52"/>
  <c r="AC177" i="52"/>
  <c r="AC218" i="52"/>
  <c r="AC137" i="52"/>
  <c r="AC178" i="52"/>
  <c r="AC219" i="52"/>
  <c r="AC138" i="52"/>
  <c r="AC179" i="52"/>
  <c r="AC220" i="52"/>
  <c r="AC139" i="52"/>
  <c r="AC180" i="52"/>
  <c r="AC221" i="52"/>
  <c r="AC140" i="52"/>
  <c r="AC181" i="52"/>
  <c r="AC222" i="52"/>
  <c r="AC141" i="52"/>
  <c r="AC182" i="52"/>
  <c r="AC223" i="52"/>
  <c r="AC142" i="52"/>
  <c r="AC183" i="52"/>
  <c r="AC224" i="52"/>
  <c r="AC143" i="52"/>
  <c r="AC184" i="52"/>
  <c r="AC225" i="52"/>
  <c r="AC144" i="52"/>
  <c r="AC185" i="52"/>
  <c r="AC226" i="52"/>
  <c r="AC145" i="52"/>
  <c r="AC186" i="52"/>
  <c r="AC227" i="52"/>
  <c r="AC146" i="52"/>
  <c r="AC187" i="52"/>
  <c r="AC228" i="52"/>
  <c r="AC147" i="52"/>
  <c r="AC188" i="52"/>
  <c r="AC229" i="52"/>
  <c r="AC148" i="52"/>
  <c r="AC189" i="52"/>
  <c r="AC230" i="52"/>
  <c r="AC149" i="52"/>
  <c r="AC190" i="52"/>
  <c r="AC231" i="52"/>
  <c r="AC150" i="52"/>
  <c r="AC191" i="52"/>
  <c r="AC232" i="52"/>
  <c r="AC151" i="52"/>
  <c r="AC192" i="52"/>
  <c r="AC233" i="52"/>
  <c r="AC152" i="52"/>
  <c r="AC193" i="52"/>
  <c r="AC234" i="52"/>
  <c r="AC153" i="52"/>
  <c r="AC194" i="52"/>
  <c r="AC235" i="52"/>
  <c r="AC154" i="52"/>
  <c r="AC195" i="52"/>
  <c r="AC236" i="52"/>
  <c r="AC256" i="52"/>
  <c r="X11" i="32"/>
  <c r="X28" i="32"/>
  <c r="X80" i="32"/>
  <c r="X81" i="32"/>
  <c r="X82" i="32"/>
  <c r="AD7" i="52"/>
  <c r="BC7" i="25"/>
  <c r="AD48" i="52"/>
  <c r="AD89" i="52"/>
  <c r="AD8" i="52"/>
  <c r="AD49" i="52"/>
  <c r="AD90" i="52"/>
  <c r="AD9" i="52"/>
  <c r="AD50" i="52"/>
  <c r="AD91" i="52"/>
  <c r="AD10" i="52"/>
  <c r="AD51" i="52"/>
  <c r="AD92" i="52"/>
  <c r="AD11" i="52"/>
  <c r="AD52" i="52"/>
  <c r="AD93" i="52"/>
  <c r="AD12" i="52"/>
  <c r="AD53" i="52"/>
  <c r="AD94" i="52"/>
  <c r="AD13" i="52"/>
  <c r="AD54" i="52"/>
  <c r="AD95" i="52"/>
  <c r="AD14" i="52"/>
  <c r="AD55" i="52"/>
  <c r="AD96" i="52"/>
  <c r="AD15" i="52"/>
  <c r="AD56" i="52"/>
  <c r="AD97" i="52"/>
  <c r="AD16" i="52"/>
  <c r="AD57" i="52"/>
  <c r="AD98" i="52"/>
  <c r="AD17" i="52"/>
  <c r="AD58" i="52"/>
  <c r="AD99" i="52"/>
  <c r="AD18" i="52"/>
  <c r="AD59" i="52"/>
  <c r="AD100" i="52"/>
  <c r="AD19" i="52"/>
  <c r="AD60" i="52"/>
  <c r="AD101" i="52"/>
  <c r="AD20" i="52"/>
  <c r="AD61" i="52"/>
  <c r="AD102" i="52"/>
  <c r="AD21" i="52"/>
  <c r="AD62" i="52"/>
  <c r="AD103" i="52"/>
  <c r="AD22" i="52"/>
  <c r="AD63" i="52"/>
  <c r="AD104" i="52"/>
  <c r="AD23" i="52"/>
  <c r="AD64" i="52"/>
  <c r="AD105" i="52"/>
  <c r="AD24" i="52"/>
  <c r="AD65" i="52"/>
  <c r="AD106" i="52"/>
  <c r="AD25" i="52"/>
  <c r="AD66" i="52"/>
  <c r="AD107" i="52"/>
  <c r="AD26" i="52"/>
  <c r="AD67" i="52"/>
  <c r="AD108" i="52"/>
  <c r="AD27" i="52"/>
  <c r="AD68" i="52"/>
  <c r="AD109" i="52"/>
  <c r="AD28" i="52"/>
  <c r="AD69" i="52"/>
  <c r="AC28" i="52"/>
  <c r="AC69" i="52"/>
  <c r="AD110" i="52"/>
  <c r="AD129" i="52"/>
  <c r="AD134" i="52"/>
  <c r="AD7" i="25"/>
  <c r="AD175" i="52"/>
  <c r="AD216" i="52"/>
  <c r="AD135" i="52"/>
  <c r="AD176" i="52"/>
  <c r="AD217" i="52"/>
  <c r="AD136" i="52"/>
  <c r="AD177" i="52"/>
  <c r="AD218" i="52"/>
  <c r="AD137" i="52"/>
  <c r="AD178" i="52"/>
  <c r="AD219" i="52"/>
  <c r="AD138" i="52"/>
  <c r="AD179" i="52"/>
  <c r="AD220" i="52"/>
  <c r="AD139" i="52"/>
  <c r="AD180" i="52"/>
  <c r="AD221" i="52"/>
  <c r="AD140" i="52"/>
  <c r="AD181" i="52"/>
  <c r="AD222" i="52"/>
  <c r="AD141" i="52"/>
  <c r="AD182" i="52"/>
  <c r="AD223" i="52"/>
  <c r="AD142" i="52"/>
  <c r="AD183" i="52"/>
  <c r="AD224" i="52"/>
  <c r="AD143" i="52"/>
  <c r="AD184" i="52"/>
  <c r="AD225" i="52"/>
  <c r="AD144" i="52"/>
  <c r="AD185" i="52"/>
  <c r="AD226" i="52"/>
  <c r="AD145" i="52"/>
  <c r="AD186" i="52"/>
  <c r="AD227" i="52"/>
  <c r="AD146" i="52"/>
  <c r="AD187" i="52"/>
  <c r="AD228" i="52"/>
  <c r="AD147" i="52"/>
  <c r="AD188" i="52"/>
  <c r="AD229" i="52"/>
  <c r="AD148" i="52"/>
  <c r="AD189" i="52"/>
  <c r="AD230" i="52"/>
  <c r="AD149" i="52"/>
  <c r="AD190" i="52"/>
  <c r="AD231" i="52"/>
  <c r="AD150" i="52"/>
  <c r="AD191" i="52"/>
  <c r="AD232" i="52"/>
  <c r="AD151" i="52"/>
  <c r="AD192" i="52"/>
  <c r="AD233" i="52"/>
  <c r="AD152" i="52"/>
  <c r="AD193" i="52"/>
  <c r="AD234" i="52"/>
  <c r="AD153" i="52"/>
  <c r="AD194" i="52"/>
  <c r="AD235" i="52"/>
  <c r="AD154" i="52"/>
  <c r="AD195" i="52"/>
  <c r="AD236" i="52"/>
  <c r="AD155" i="52"/>
  <c r="AD196" i="52"/>
  <c r="AD237" i="52"/>
  <c r="AD256" i="52"/>
  <c r="Y11" i="32"/>
  <c r="Y28" i="32"/>
  <c r="Y80" i="32"/>
  <c r="Y81" i="32"/>
  <c r="Y82" i="32"/>
  <c r="AE7" i="52"/>
  <c r="BD7" i="25"/>
  <c r="AE48" i="52"/>
  <c r="AE89" i="52"/>
  <c r="AE8" i="52"/>
  <c r="AE49" i="52"/>
  <c r="AE90" i="52"/>
  <c r="AE9" i="52"/>
  <c r="AE50" i="52"/>
  <c r="AE91" i="52"/>
  <c r="AE10" i="52"/>
  <c r="AE51" i="52"/>
  <c r="AE92" i="52"/>
  <c r="AE11" i="52"/>
  <c r="AE52" i="52"/>
  <c r="AE93" i="52"/>
  <c r="AE12" i="52"/>
  <c r="AE53" i="52"/>
  <c r="AE94" i="52"/>
  <c r="AE13" i="52"/>
  <c r="AE54" i="52"/>
  <c r="AE95" i="52"/>
  <c r="AE14" i="52"/>
  <c r="AE55" i="52"/>
  <c r="AE96" i="52"/>
  <c r="AE15" i="52"/>
  <c r="AE56" i="52"/>
  <c r="AE97" i="52"/>
  <c r="AE16" i="52"/>
  <c r="AE57" i="52"/>
  <c r="AE98" i="52"/>
  <c r="AE17" i="52"/>
  <c r="AE58" i="52"/>
  <c r="AE99" i="52"/>
  <c r="AE18" i="52"/>
  <c r="AE59" i="52"/>
  <c r="AE100" i="52"/>
  <c r="AE19" i="52"/>
  <c r="AE60" i="52"/>
  <c r="AE101" i="52"/>
  <c r="AE20" i="52"/>
  <c r="AE61" i="52"/>
  <c r="AE102" i="52"/>
  <c r="AE21" i="52"/>
  <c r="AE62" i="52"/>
  <c r="AE103" i="52"/>
  <c r="AE22" i="52"/>
  <c r="AE63" i="52"/>
  <c r="AE104" i="52"/>
  <c r="AE23" i="52"/>
  <c r="AE64" i="52"/>
  <c r="AE105" i="52"/>
  <c r="AE24" i="52"/>
  <c r="AE65" i="52"/>
  <c r="AE106" i="52"/>
  <c r="AE25" i="52"/>
  <c r="AE66" i="52"/>
  <c r="AE107" i="52"/>
  <c r="AE26" i="52"/>
  <c r="AE67" i="52"/>
  <c r="AE108" i="52"/>
  <c r="AE27" i="52"/>
  <c r="AE68" i="52"/>
  <c r="AE109" i="52"/>
  <c r="AE28" i="52"/>
  <c r="AE69" i="52"/>
  <c r="AE110" i="52"/>
  <c r="AE29" i="52"/>
  <c r="AE70" i="52"/>
  <c r="AD29" i="52"/>
  <c r="AD70" i="52"/>
  <c r="AE111" i="52"/>
  <c r="AE129" i="52"/>
  <c r="AE134" i="52"/>
  <c r="AE7" i="25"/>
  <c r="AE175" i="52"/>
  <c r="AE216" i="52"/>
  <c r="AE135" i="52"/>
  <c r="AE176" i="52"/>
  <c r="AE217" i="52"/>
  <c r="AE136" i="52"/>
  <c r="AE177" i="52"/>
  <c r="AE218" i="52"/>
  <c r="AE137" i="52"/>
  <c r="AE178" i="52"/>
  <c r="AE219" i="52"/>
  <c r="AE138" i="52"/>
  <c r="AE179" i="52"/>
  <c r="AE220" i="52"/>
  <c r="AE139" i="52"/>
  <c r="AE180" i="52"/>
  <c r="AE221" i="52"/>
  <c r="AE140" i="52"/>
  <c r="AE181" i="52"/>
  <c r="AE222" i="52"/>
  <c r="AE141" i="52"/>
  <c r="AE182" i="52"/>
  <c r="AE223" i="52"/>
  <c r="AE142" i="52"/>
  <c r="AE183" i="52"/>
  <c r="AE224" i="52"/>
  <c r="AE143" i="52"/>
  <c r="AE184" i="52"/>
  <c r="AE225" i="52"/>
  <c r="AE144" i="52"/>
  <c r="AE185" i="52"/>
  <c r="AE226" i="52"/>
  <c r="AE145" i="52"/>
  <c r="AE186" i="52"/>
  <c r="AE227" i="52"/>
  <c r="AE146" i="52"/>
  <c r="AE187" i="52"/>
  <c r="AE228" i="52"/>
  <c r="AE147" i="52"/>
  <c r="AE188" i="52"/>
  <c r="AE229" i="52"/>
  <c r="AE148" i="52"/>
  <c r="AE189" i="52"/>
  <c r="AE230" i="52"/>
  <c r="AE149" i="52"/>
  <c r="AE190" i="52"/>
  <c r="AE231" i="52"/>
  <c r="AE150" i="52"/>
  <c r="AE191" i="52"/>
  <c r="AE232" i="52"/>
  <c r="AE151" i="52"/>
  <c r="AE192" i="52"/>
  <c r="AE233" i="52"/>
  <c r="AE152" i="52"/>
  <c r="AE193" i="52"/>
  <c r="AE234" i="52"/>
  <c r="AE153" i="52"/>
  <c r="AE194" i="52"/>
  <c r="AE235" i="52"/>
  <c r="AE154" i="52"/>
  <c r="AE195" i="52"/>
  <c r="AE236" i="52"/>
  <c r="AE155" i="52"/>
  <c r="AE196" i="52"/>
  <c r="AE237" i="52"/>
  <c r="AE156" i="52"/>
  <c r="AE197" i="52"/>
  <c r="AE238" i="52"/>
  <c r="AE256" i="52"/>
  <c r="Z11" i="32"/>
  <c r="Z28" i="32"/>
  <c r="Z80" i="32"/>
  <c r="Z81" i="32"/>
  <c r="Z82" i="32"/>
  <c r="AF7" i="52"/>
  <c r="BE7" i="25"/>
  <c r="AF48" i="52"/>
  <c r="AF89" i="52"/>
  <c r="AF8" i="52"/>
  <c r="AF49" i="52"/>
  <c r="AF90" i="52"/>
  <c r="AF9" i="52"/>
  <c r="AF50" i="52"/>
  <c r="AF91" i="52"/>
  <c r="AF10" i="52"/>
  <c r="AF51" i="52"/>
  <c r="AF92" i="52"/>
  <c r="AF11" i="52"/>
  <c r="AF52" i="52"/>
  <c r="AF93" i="52"/>
  <c r="AF12" i="52"/>
  <c r="AF53" i="52"/>
  <c r="AF94" i="52"/>
  <c r="AF13" i="52"/>
  <c r="AF54" i="52"/>
  <c r="AF95" i="52"/>
  <c r="AF14" i="52"/>
  <c r="AF55" i="52"/>
  <c r="AF96" i="52"/>
  <c r="AF15" i="52"/>
  <c r="AF56" i="52"/>
  <c r="AF97" i="52"/>
  <c r="AF16" i="52"/>
  <c r="AF57" i="52"/>
  <c r="AF98" i="52"/>
  <c r="AF17" i="52"/>
  <c r="AF58" i="52"/>
  <c r="AF99" i="52"/>
  <c r="AF18" i="52"/>
  <c r="AF59" i="52"/>
  <c r="AF100" i="52"/>
  <c r="AF19" i="52"/>
  <c r="AF60" i="52"/>
  <c r="AF101" i="52"/>
  <c r="AF20" i="52"/>
  <c r="AF61" i="52"/>
  <c r="AF102" i="52"/>
  <c r="AF21" i="52"/>
  <c r="AF62" i="52"/>
  <c r="AF103" i="52"/>
  <c r="AF22" i="52"/>
  <c r="AF63" i="52"/>
  <c r="AF104" i="52"/>
  <c r="AF23" i="52"/>
  <c r="AF64" i="52"/>
  <c r="AF105" i="52"/>
  <c r="AF24" i="52"/>
  <c r="AF65" i="52"/>
  <c r="AF106" i="52"/>
  <c r="AF25" i="52"/>
  <c r="AF66" i="52"/>
  <c r="AF107" i="52"/>
  <c r="AF26" i="52"/>
  <c r="AF67" i="52"/>
  <c r="AF108" i="52"/>
  <c r="AF27" i="52"/>
  <c r="AF68" i="52"/>
  <c r="AF109" i="52"/>
  <c r="AF28" i="52"/>
  <c r="AF69" i="52"/>
  <c r="AF110" i="52"/>
  <c r="AF29" i="52"/>
  <c r="AF70" i="52"/>
  <c r="AF111" i="52"/>
  <c r="AF30" i="52"/>
  <c r="AF71" i="52"/>
  <c r="AE30" i="52"/>
  <c r="AE71" i="52"/>
  <c r="AF112" i="52"/>
  <c r="AF129" i="52"/>
  <c r="AF134" i="52"/>
  <c r="AF7" i="25"/>
  <c r="AF175" i="52"/>
  <c r="AF216" i="52"/>
  <c r="AF135" i="52"/>
  <c r="AF176" i="52"/>
  <c r="AF217" i="52"/>
  <c r="AF136" i="52"/>
  <c r="AF177" i="52"/>
  <c r="AF218" i="52"/>
  <c r="AF137" i="52"/>
  <c r="AF178" i="52"/>
  <c r="AF219" i="52"/>
  <c r="AF138" i="52"/>
  <c r="AF179" i="52"/>
  <c r="AF220" i="52"/>
  <c r="AF139" i="52"/>
  <c r="AF180" i="52"/>
  <c r="AF221" i="52"/>
  <c r="AF140" i="52"/>
  <c r="AF181" i="52"/>
  <c r="AF222" i="52"/>
  <c r="AF141" i="52"/>
  <c r="AF182" i="52"/>
  <c r="AF223" i="52"/>
  <c r="AF142" i="52"/>
  <c r="AF183" i="52"/>
  <c r="AF224" i="52"/>
  <c r="AF143" i="52"/>
  <c r="AF184" i="52"/>
  <c r="AF225" i="52"/>
  <c r="AF144" i="52"/>
  <c r="AF185" i="52"/>
  <c r="AF226" i="52"/>
  <c r="AF145" i="52"/>
  <c r="AF186" i="52"/>
  <c r="AF227" i="52"/>
  <c r="AF146" i="52"/>
  <c r="AF187" i="52"/>
  <c r="AF228" i="52"/>
  <c r="AF147" i="52"/>
  <c r="AF188" i="52"/>
  <c r="AF229" i="52"/>
  <c r="AF148" i="52"/>
  <c r="AF189" i="52"/>
  <c r="AF230" i="52"/>
  <c r="AF149" i="52"/>
  <c r="AF190" i="52"/>
  <c r="AF231" i="52"/>
  <c r="AF150" i="52"/>
  <c r="AF191" i="52"/>
  <c r="AF232" i="52"/>
  <c r="AF151" i="52"/>
  <c r="AF192" i="52"/>
  <c r="AF233" i="52"/>
  <c r="AF152" i="52"/>
  <c r="AF193" i="52"/>
  <c r="AF234" i="52"/>
  <c r="AF153" i="52"/>
  <c r="AF194" i="52"/>
  <c r="AF235" i="52"/>
  <c r="AF154" i="52"/>
  <c r="AF195" i="52"/>
  <c r="AF236" i="52"/>
  <c r="AF155" i="52"/>
  <c r="AF196" i="52"/>
  <c r="AF237" i="52"/>
  <c r="AF156" i="52"/>
  <c r="AF197" i="52"/>
  <c r="AF238" i="52"/>
  <c r="AF157" i="52"/>
  <c r="AF198" i="52"/>
  <c r="AF239" i="52"/>
  <c r="AF256" i="52"/>
  <c r="AA11" i="32"/>
  <c r="AA28" i="32"/>
  <c r="AA80" i="32"/>
  <c r="AA81" i="32"/>
  <c r="AA82" i="32"/>
  <c r="AG7" i="52"/>
  <c r="BF7" i="25"/>
  <c r="AG48" i="52"/>
  <c r="AG89" i="52"/>
  <c r="AG8" i="52"/>
  <c r="AG49" i="52"/>
  <c r="AG90" i="52"/>
  <c r="AG9" i="52"/>
  <c r="AG50" i="52"/>
  <c r="AG91" i="52"/>
  <c r="AG10" i="52"/>
  <c r="AG51" i="52"/>
  <c r="AG92" i="52"/>
  <c r="AG11" i="52"/>
  <c r="AG52" i="52"/>
  <c r="AG93" i="52"/>
  <c r="AG12" i="52"/>
  <c r="AG53" i="52"/>
  <c r="AG94" i="52"/>
  <c r="AG13" i="52"/>
  <c r="AG54" i="52"/>
  <c r="AG95" i="52"/>
  <c r="AG14" i="52"/>
  <c r="AG55" i="52"/>
  <c r="AG96" i="52"/>
  <c r="AG15" i="52"/>
  <c r="AG56" i="52"/>
  <c r="AG97" i="52"/>
  <c r="AG16" i="52"/>
  <c r="AG57" i="52"/>
  <c r="AG98" i="52"/>
  <c r="AG17" i="52"/>
  <c r="AG58" i="52"/>
  <c r="AG99" i="52"/>
  <c r="AG18" i="52"/>
  <c r="AG59" i="52"/>
  <c r="AG100" i="52"/>
  <c r="AG19" i="52"/>
  <c r="AG60" i="52"/>
  <c r="AG101" i="52"/>
  <c r="AG20" i="52"/>
  <c r="AG61" i="52"/>
  <c r="AG102" i="52"/>
  <c r="AG21" i="52"/>
  <c r="AG62" i="52"/>
  <c r="AG103" i="52"/>
  <c r="AG22" i="52"/>
  <c r="AG63" i="52"/>
  <c r="AG104" i="52"/>
  <c r="AG23" i="52"/>
  <c r="AG64" i="52"/>
  <c r="AG105" i="52"/>
  <c r="AG24" i="52"/>
  <c r="AG65" i="52"/>
  <c r="AG106" i="52"/>
  <c r="AG25" i="52"/>
  <c r="AG66" i="52"/>
  <c r="AG107" i="52"/>
  <c r="AG26" i="52"/>
  <c r="AG67" i="52"/>
  <c r="AG108" i="52"/>
  <c r="AG27" i="52"/>
  <c r="AG68" i="52"/>
  <c r="AG109" i="52"/>
  <c r="AG28" i="52"/>
  <c r="AG69" i="52"/>
  <c r="AG110" i="52"/>
  <c r="AG29" i="52"/>
  <c r="AG70" i="52"/>
  <c r="AG111" i="52"/>
  <c r="AG30" i="52"/>
  <c r="AG71" i="52"/>
  <c r="AG112" i="52"/>
  <c r="AG31" i="52"/>
  <c r="AG72" i="52"/>
  <c r="AF31" i="52"/>
  <c r="AF72" i="52"/>
  <c r="AG113" i="52"/>
  <c r="AG129" i="52"/>
  <c r="AG134" i="52"/>
  <c r="AG175" i="52"/>
  <c r="AG216" i="52"/>
  <c r="AG135" i="52"/>
  <c r="AG176" i="52"/>
  <c r="AG217" i="52"/>
  <c r="AG136" i="52"/>
  <c r="AG177" i="52"/>
  <c r="AG218" i="52"/>
  <c r="AG137" i="52"/>
  <c r="AG178" i="52"/>
  <c r="AG219" i="52"/>
  <c r="AG138" i="52"/>
  <c r="AG179" i="52"/>
  <c r="AG220" i="52"/>
  <c r="AG139" i="52"/>
  <c r="AG180" i="52"/>
  <c r="AG221" i="52"/>
  <c r="AG140" i="52"/>
  <c r="AG181" i="52"/>
  <c r="AG222" i="52"/>
  <c r="AG141" i="52"/>
  <c r="AG182" i="52"/>
  <c r="AG223" i="52"/>
  <c r="AG142" i="52"/>
  <c r="AG183" i="52"/>
  <c r="AG224" i="52"/>
  <c r="AG143" i="52"/>
  <c r="AG184" i="52"/>
  <c r="AG225" i="52"/>
  <c r="AG144" i="52"/>
  <c r="AG185" i="52"/>
  <c r="AG226" i="52"/>
  <c r="AG145" i="52"/>
  <c r="AG186" i="52"/>
  <c r="AG227" i="52"/>
  <c r="AG146" i="52"/>
  <c r="AG187" i="52"/>
  <c r="AG228" i="52"/>
  <c r="AG147" i="52"/>
  <c r="AG188" i="52"/>
  <c r="AG229" i="52"/>
  <c r="AG148" i="52"/>
  <c r="AG189" i="52"/>
  <c r="AG230" i="52"/>
  <c r="AG149" i="52"/>
  <c r="AG190" i="52"/>
  <c r="AG231" i="52"/>
  <c r="AG150" i="52"/>
  <c r="AG191" i="52"/>
  <c r="AG232" i="52"/>
  <c r="AG151" i="52"/>
  <c r="AG192" i="52"/>
  <c r="AG233" i="52"/>
  <c r="AG152" i="52"/>
  <c r="AG193" i="52"/>
  <c r="AG234" i="52"/>
  <c r="AG153" i="52"/>
  <c r="AG194" i="52"/>
  <c r="AG235" i="52"/>
  <c r="AG154" i="52"/>
  <c r="AG195" i="52"/>
  <c r="AG236" i="52"/>
  <c r="AG155" i="52"/>
  <c r="AG196" i="52"/>
  <c r="AG237" i="52"/>
  <c r="AG156" i="52"/>
  <c r="AG197" i="52"/>
  <c r="AG238" i="52"/>
  <c r="AG157" i="52"/>
  <c r="AG198" i="52"/>
  <c r="AG239" i="52"/>
  <c r="AG158" i="52"/>
  <c r="AG199" i="52"/>
  <c r="AG240" i="52"/>
  <c r="AG256" i="52"/>
  <c r="AB11" i="32"/>
  <c r="AB28" i="32"/>
  <c r="AB80" i="32"/>
  <c r="AB81" i="32"/>
  <c r="AB82" i="32"/>
  <c r="AH7" i="52"/>
  <c r="BG7" i="25"/>
  <c r="AH48" i="52"/>
  <c r="AH89" i="52"/>
  <c r="AH8" i="52"/>
  <c r="AH49" i="52"/>
  <c r="AH90" i="52"/>
  <c r="AH9" i="52"/>
  <c r="AH50" i="52"/>
  <c r="AH91" i="52"/>
  <c r="AH10" i="52"/>
  <c r="AH51" i="52"/>
  <c r="AH92" i="52"/>
  <c r="AH11" i="52"/>
  <c r="AH52" i="52"/>
  <c r="AH93" i="52"/>
  <c r="AH12" i="52"/>
  <c r="AH53" i="52"/>
  <c r="AH94" i="52"/>
  <c r="AH13" i="52"/>
  <c r="AH54" i="52"/>
  <c r="AH95" i="52"/>
  <c r="AH14" i="52"/>
  <c r="AH55" i="52"/>
  <c r="AH96" i="52"/>
  <c r="AH15" i="52"/>
  <c r="AH56" i="52"/>
  <c r="AH97" i="52"/>
  <c r="AH16" i="52"/>
  <c r="AH57" i="52"/>
  <c r="AH98" i="52"/>
  <c r="AH17" i="52"/>
  <c r="AH58" i="52"/>
  <c r="AH99" i="52"/>
  <c r="AH18" i="52"/>
  <c r="AH59" i="52"/>
  <c r="AH100" i="52"/>
  <c r="AH19" i="52"/>
  <c r="AH60" i="52"/>
  <c r="AH101" i="52"/>
  <c r="AH20" i="52"/>
  <c r="AH61" i="52"/>
  <c r="AH102" i="52"/>
  <c r="AH21" i="52"/>
  <c r="AH62" i="52"/>
  <c r="AH103" i="52"/>
  <c r="AH22" i="52"/>
  <c r="AH63" i="52"/>
  <c r="AH104" i="52"/>
  <c r="AH23" i="52"/>
  <c r="AH64" i="52"/>
  <c r="AH105" i="52"/>
  <c r="AH24" i="52"/>
  <c r="AH65" i="52"/>
  <c r="AH106" i="52"/>
  <c r="AH25" i="52"/>
  <c r="AH66" i="52"/>
  <c r="AH107" i="52"/>
  <c r="AH26" i="52"/>
  <c r="AH67" i="52"/>
  <c r="AH108" i="52"/>
  <c r="AH27" i="52"/>
  <c r="AH68" i="52"/>
  <c r="AH109" i="52"/>
  <c r="AH28" i="52"/>
  <c r="AH69" i="52"/>
  <c r="AH110" i="52"/>
  <c r="AH29" i="52"/>
  <c r="AH70" i="52"/>
  <c r="AH111" i="52"/>
  <c r="AH30" i="52"/>
  <c r="AH71" i="52"/>
  <c r="AH112" i="52"/>
  <c r="AH31" i="52"/>
  <c r="AH72" i="52"/>
  <c r="AH113" i="52"/>
  <c r="AH32" i="52"/>
  <c r="H7" i="25"/>
  <c r="AH73" i="52"/>
  <c r="AG32" i="52"/>
  <c r="AG73" i="52"/>
  <c r="AH114" i="52"/>
  <c r="AH129" i="52"/>
  <c r="AH134" i="52"/>
  <c r="AH175" i="52"/>
  <c r="AH216" i="52"/>
  <c r="AH135" i="52"/>
  <c r="AH176" i="52"/>
  <c r="AH217" i="52"/>
  <c r="AH136" i="52"/>
  <c r="AH177" i="52"/>
  <c r="AH218" i="52"/>
  <c r="AH137" i="52"/>
  <c r="AH178" i="52"/>
  <c r="AH219" i="52"/>
  <c r="AH138" i="52"/>
  <c r="AH179" i="52"/>
  <c r="AH220" i="52"/>
  <c r="AH139" i="52"/>
  <c r="AH180" i="52"/>
  <c r="AH221" i="52"/>
  <c r="AH140" i="52"/>
  <c r="AH181" i="52"/>
  <c r="AH222" i="52"/>
  <c r="AH141" i="52"/>
  <c r="AH182" i="52"/>
  <c r="AH223" i="52"/>
  <c r="AH142" i="52"/>
  <c r="AH183" i="52"/>
  <c r="AH224" i="52"/>
  <c r="AH143" i="52"/>
  <c r="AH184" i="52"/>
  <c r="AH225" i="52"/>
  <c r="AH144" i="52"/>
  <c r="AH185" i="52"/>
  <c r="AH226" i="52"/>
  <c r="AH145" i="52"/>
  <c r="AH186" i="52"/>
  <c r="AH227" i="52"/>
  <c r="AH146" i="52"/>
  <c r="AH187" i="52"/>
  <c r="AH228" i="52"/>
  <c r="AH147" i="52"/>
  <c r="AH188" i="52"/>
  <c r="AH229" i="52"/>
  <c r="AH148" i="52"/>
  <c r="AH189" i="52"/>
  <c r="AH230" i="52"/>
  <c r="AH149" i="52"/>
  <c r="AH190" i="52"/>
  <c r="AH231" i="52"/>
  <c r="AH150" i="52"/>
  <c r="AH191" i="52"/>
  <c r="AH232" i="52"/>
  <c r="AH151" i="52"/>
  <c r="AH192" i="52"/>
  <c r="AH233" i="52"/>
  <c r="AH152" i="52"/>
  <c r="AH193" i="52"/>
  <c r="AH234" i="52"/>
  <c r="AH153" i="52"/>
  <c r="AH194" i="52"/>
  <c r="AH235" i="52"/>
  <c r="AH154" i="52"/>
  <c r="AH195" i="52"/>
  <c r="AH236" i="52"/>
  <c r="AH155" i="52"/>
  <c r="AH196" i="52"/>
  <c r="AH237" i="52"/>
  <c r="AH156" i="52"/>
  <c r="AH197" i="52"/>
  <c r="AH238" i="52"/>
  <c r="AH157" i="52"/>
  <c r="AH198" i="52"/>
  <c r="AH239" i="52"/>
  <c r="AH158" i="52"/>
  <c r="AH199" i="52"/>
  <c r="AH240" i="52"/>
  <c r="AH159" i="52"/>
  <c r="AH200" i="52"/>
  <c r="AG159" i="52"/>
  <c r="AG200" i="52"/>
  <c r="AH241" i="52"/>
  <c r="AH256" i="52"/>
  <c r="AC11" i="32"/>
  <c r="AC28" i="32"/>
  <c r="AC80" i="32"/>
  <c r="AC81" i="32"/>
  <c r="AC82" i="32"/>
  <c r="AI7" i="52"/>
  <c r="BH7" i="25"/>
  <c r="AI48" i="52"/>
  <c r="AI89" i="52"/>
  <c r="AI8" i="52"/>
  <c r="AI49" i="52"/>
  <c r="AI90" i="52"/>
  <c r="AI9" i="52"/>
  <c r="AI50" i="52"/>
  <c r="AI91" i="52"/>
  <c r="AI10" i="52"/>
  <c r="AI51" i="52"/>
  <c r="AI92" i="52"/>
  <c r="AI11" i="52"/>
  <c r="AI52" i="52"/>
  <c r="AI93" i="52"/>
  <c r="AI12" i="52"/>
  <c r="AI53" i="52"/>
  <c r="AI94" i="52"/>
  <c r="AI13" i="52"/>
  <c r="AI54" i="52"/>
  <c r="AI95" i="52"/>
  <c r="AI14" i="52"/>
  <c r="AI55" i="52"/>
  <c r="AI96" i="52"/>
  <c r="AI15" i="52"/>
  <c r="AI56" i="52"/>
  <c r="AI97" i="52"/>
  <c r="AI16" i="52"/>
  <c r="AI57" i="52"/>
  <c r="AI98" i="52"/>
  <c r="AI17" i="52"/>
  <c r="AI58" i="52"/>
  <c r="AI99" i="52"/>
  <c r="AI18" i="52"/>
  <c r="AI59" i="52"/>
  <c r="AI100" i="52"/>
  <c r="AI19" i="52"/>
  <c r="AI60" i="52"/>
  <c r="AI101" i="52"/>
  <c r="AI20" i="52"/>
  <c r="AI61" i="52"/>
  <c r="AI102" i="52"/>
  <c r="AI21" i="52"/>
  <c r="AI62" i="52"/>
  <c r="AI103" i="52"/>
  <c r="AI22" i="52"/>
  <c r="AI63" i="52"/>
  <c r="AI104" i="52"/>
  <c r="AI23" i="52"/>
  <c r="AI64" i="52"/>
  <c r="AI105" i="52"/>
  <c r="AI24" i="52"/>
  <c r="AI65" i="52"/>
  <c r="AI106" i="52"/>
  <c r="AI25" i="52"/>
  <c r="AI66" i="52"/>
  <c r="AI107" i="52"/>
  <c r="AI26" i="52"/>
  <c r="AI67" i="52"/>
  <c r="AI108" i="52"/>
  <c r="AI27" i="52"/>
  <c r="AI68" i="52"/>
  <c r="AI109" i="52"/>
  <c r="AI28" i="52"/>
  <c r="AI69" i="52"/>
  <c r="AI110" i="52"/>
  <c r="AI29" i="52"/>
  <c r="AI70" i="52"/>
  <c r="AI111" i="52"/>
  <c r="AI30" i="52"/>
  <c r="AI71" i="52"/>
  <c r="AI112" i="52"/>
  <c r="AI31" i="52"/>
  <c r="AI72" i="52"/>
  <c r="AI113" i="52"/>
  <c r="AI32" i="52"/>
  <c r="AI73" i="52"/>
  <c r="AI114" i="52"/>
  <c r="AI33" i="52"/>
  <c r="AI74" i="52"/>
  <c r="AH33" i="52"/>
  <c r="AH74" i="52"/>
  <c r="AI115" i="52"/>
  <c r="AI129" i="52"/>
  <c r="AI134" i="52"/>
  <c r="AI175" i="52"/>
  <c r="AI216" i="52"/>
  <c r="AI135" i="52"/>
  <c r="AI176" i="52"/>
  <c r="AI217" i="52"/>
  <c r="AI136" i="52"/>
  <c r="AI177" i="52"/>
  <c r="AI218" i="52"/>
  <c r="AI137" i="52"/>
  <c r="AI178" i="52"/>
  <c r="AI219" i="52"/>
  <c r="AI138" i="52"/>
  <c r="AI179" i="52"/>
  <c r="AI220" i="52"/>
  <c r="AI139" i="52"/>
  <c r="AI180" i="52"/>
  <c r="AI221" i="52"/>
  <c r="AI140" i="52"/>
  <c r="AI181" i="52"/>
  <c r="AI222" i="52"/>
  <c r="AI141" i="52"/>
  <c r="AI182" i="52"/>
  <c r="AI223" i="52"/>
  <c r="AI142" i="52"/>
  <c r="AI183" i="52"/>
  <c r="AI224" i="52"/>
  <c r="AI143" i="52"/>
  <c r="AI184" i="52"/>
  <c r="AI225" i="52"/>
  <c r="AI144" i="52"/>
  <c r="AI185" i="52"/>
  <c r="AI226" i="52"/>
  <c r="AI145" i="52"/>
  <c r="AI186" i="52"/>
  <c r="AI227" i="52"/>
  <c r="AI146" i="52"/>
  <c r="AI187" i="52"/>
  <c r="AI228" i="52"/>
  <c r="AI147" i="52"/>
  <c r="AI188" i="52"/>
  <c r="AI229" i="52"/>
  <c r="AI148" i="52"/>
  <c r="AI189" i="52"/>
  <c r="AI230" i="52"/>
  <c r="AI149" i="52"/>
  <c r="AI190" i="52"/>
  <c r="AI231" i="52"/>
  <c r="AI150" i="52"/>
  <c r="AI191" i="52"/>
  <c r="AI232" i="52"/>
  <c r="AI151" i="52"/>
  <c r="AI192" i="52"/>
  <c r="AI233" i="52"/>
  <c r="AI152" i="52"/>
  <c r="AI193" i="52"/>
  <c r="AI234" i="52"/>
  <c r="AI153" i="52"/>
  <c r="AI194" i="52"/>
  <c r="AI235" i="52"/>
  <c r="AI154" i="52"/>
  <c r="AI195" i="52"/>
  <c r="AI236" i="52"/>
  <c r="AI155" i="52"/>
  <c r="AI196" i="52"/>
  <c r="AI237" i="52"/>
  <c r="AI156" i="52"/>
  <c r="AI197" i="52"/>
  <c r="AI238" i="52"/>
  <c r="AI157" i="52"/>
  <c r="AI198" i="52"/>
  <c r="AI239" i="52"/>
  <c r="AI158" i="52"/>
  <c r="AI199" i="52"/>
  <c r="AI240" i="52"/>
  <c r="AI159" i="52"/>
  <c r="AI200" i="52"/>
  <c r="AI241" i="52"/>
  <c r="AI160" i="52"/>
  <c r="AI201" i="52"/>
  <c r="AH160" i="52"/>
  <c r="AH201" i="52"/>
  <c r="AI242" i="52"/>
  <c r="AI256" i="52"/>
  <c r="AD11" i="32"/>
  <c r="AD28" i="32"/>
  <c r="AD80" i="32"/>
  <c r="AD81" i="32"/>
  <c r="AD82" i="32"/>
  <c r="AJ7" i="52"/>
  <c r="BI7" i="25"/>
  <c r="AJ48" i="52"/>
  <c r="AJ89" i="52"/>
  <c r="AJ8" i="52"/>
  <c r="AJ49" i="52"/>
  <c r="AJ90" i="52"/>
  <c r="AJ9" i="52"/>
  <c r="AJ50" i="52"/>
  <c r="AJ91" i="52"/>
  <c r="AJ10" i="52"/>
  <c r="AJ51" i="52"/>
  <c r="AJ92" i="52"/>
  <c r="AJ11" i="52"/>
  <c r="AJ52" i="52"/>
  <c r="AJ93" i="52"/>
  <c r="AJ12" i="52"/>
  <c r="AJ53" i="52"/>
  <c r="AJ94" i="52"/>
  <c r="AJ13" i="52"/>
  <c r="AJ54" i="52"/>
  <c r="AJ95" i="52"/>
  <c r="AJ14" i="52"/>
  <c r="AJ55" i="52"/>
  <c r="AJ96" i="52"/>
  <c r="AJ15" i="52"/>
  <c r="AJ56" i="52"/>
  <c r="AJ97" i="52"/>
  <c r="AJ16" i="52"/>
  <c r="AJ57" i="52"/>
  <c r="AJ98" i="52"/>
  <c r="AJ17" i="52"/>
  <c r="AJ58" i="52"/>
  <c r="AJ99" i="52"/>
  <c r="AJ18" i="52"/>
  <c r="AJ59" i="52"/>
  <c r="AJ100" i="52"/>
  <c r="AJ19" i="52"/>
  <c r="AJ60" i="52"/>
  <c r="AJ101" i="52"/>
  <c r="AJ20" i="52"/>
  <c r="AJ61" i="52"/>
  <c r="AJ102" i="52"/>
  <c r="AJ21" i="52"/>
  <c r="AJ62" i="52"/>
  <c r="AJ103" i="52"/>
  <c r="AJ22" i="52"/>
  <c r="AJ63" i="52"/>
  <c r="AJ104" i="52"/>
  <c r="AJ23" i="52"/>
  <c r="AJ64" i="52"/>
  <c r="AJ105" i="52"/>
  <c r="AJ24" i="52"/>
  <c r="AJ65" i="52"/>
  <c r="AJ106" i="52"/>
  <c r="AJ25" i="52"/>
  <c r="AJ66" i="52"/>
  <c r="AJ107" i="52"/>
  <c r="AJ26" i="52"/>
  <c r="AJ67" i="52"/>
  <c r="AJ108" i="52"/>
  <c r="AJ27" i="52"/>
  <c r="AJ68" i="52"/>
  <c r="AJ109" i="52"/>
  <c r="AJ28" i="52"/>
  <c r="AJ69" i="52"/>
  <c r="AJ110" i="52"/>
  <c r="AJ29" i="52"/>
  <c r="AJ70" i="52"/>
  <c r="AJ111" i="52"/>
  <c r="AJ30" i="52"/>
  <c r="AJ71" i="52"/>
  <c r="AJ112" i="52"/>
  <c r="AJ31" i="52"/>
  <c r="AJ72" i="52"/>
  <c r="AJ113" i="52"/>
  <c r="AJ32" i="52"/>
  <c r="AJ73" i="52"/>
  <c r="AJ114" i="52"/>
  <c r="AJ33" i="52"/>
  <c r="AJ74" i="52"/>
  <c r="AJ115" i="52"/>
  <c r="AJ34" i="52"/>
  <c r="AJ75" i="52"/>
  <c r="AI34" i="52"/>
  <c r="AI75" i="52"/>
  <c r="AJ116" i="52"/>
  <c r="AJ129" i="52"/>
  <c r="AJ134" i="52"/>
  <c r="AJ175" i="52"/>
  <c r="AJ216" i="52"/>
  <c r="AJ135" i="52"/>
  <c r="AJ176" i="52"/>
  <c r="AJ217" i="52"/>
  <c r="AJ136" i="52"/>
  <c r="AJ177" i="52"/>
  <c r="AJ218" i="52"/>
  <c r="AJ137" i="52"/>
  <c r="AJ178" i="52"/>
  <c r="AJ219" i="52"/>
  <c r="AJ138" i="52"/>
  <c r="AJ179" i="52"/>
  <c r="AJ220" i="52"/>
  <c r="AJ139" i="52"/>
  <c r="AJ180" i="52"/>
  <c r="AJ221" i="52"/>
  <c r="AJ140" i="52"/>
  <c r="AJ181" i="52"/>
  <c r="AJ222" i="52"/>
  <c r="AJ141" i="52"/>
  <c r="AJ182" i="52"/>
  <c r="AJ223" i="52"/>
  <c r="AJ142" i="52"/>
  <c r="AJ183" i="52"/>
  <c r="AJ224" i="52"/>
  <c r="AJ143" i="52"/>
  <c r="AJ184" i="52"/>
  <c r="AJ225" i="52"/>
  <c r="AJ144" i="52"/>
  <c r="AJ185" i="52"/>
  <c r="AJ226" i="52"/>
  <c r="AJ145" i="52"/>
  <c r="AJ186" i="52"/>
  <c r="AJ227" i="52"/>
  <c r="AJ146" i="52"/>
  <c r="AJ187" i="52"/>
  <c r="AJ228" i="52"/>
  <c r="AJ147" i="52"/>
  <c r="AJ188" i="52"/>
  <c r="AJ229" i="52"/>
  <c r="AJ148" i="52"/>
  <c r="AJ189" i="52"/>
  <c r="AJ230" i="52"/>
  <c r="AJ149" i="52"/>
  <c r="AJ190" i="52"/>
  <c r="AJ231" i="52"/>
  <c r="AJ150" i="52"/>
  <c r="AJ191" i="52"/>
  <c r="AJ232" i="52"/>
  <c r="AJ151" i="52"/>
  <c r="AJ192" i="52"/>
  <c r="AJ233" i="52"/>
  <c r="AJ152" i="52"/>
  <c r="AJ193" i="52"/>
  <c r="AJ234" i="52"/>
  <c r="AJ153" i="52"/>
  <c r="AJ194" i="52"/>
  <c r="AJ235" i="52"/>
  <c r="AJ154" i="52"/>
  <c r="AJ195" i="52"/>
  <c r="AJ236" i="52"/>
  <c r="AJ155" i="52"/>
  <c r="AJ196" i="52"/>
  <c r="AJ237" i="52"/>
  <c r="AJ156" i="52"/>
  <c r="AJ197" i="52"/>
  <c r="AJ238" i="52"/>
  <c r="AJ157" i="52"/>
  <c r="AJ198" i="52"/>
  <c r="AJ239" i="52"/>
  <c r="AJ158" i="52"/>
  <c r="AJ199" i="52"/>
  <c r="AJ240" i="52"/>
  <c r="AJ159" i="52"/>
  <c r="AJ200" i="52"/>
  <c r="AJ241" i="52"/>
  <c r="AJ160" i="52"/>
  <c r="AJ201" i="52"/>
  <c r="AJ242" i="52"/>
  <c r="AJ161" i="52"/>
  <c r="AJ202" i="52"/>
  <c r="AI161" i="52"/>
  <c r="AI202" i="52"/>
  <c r="AJ243" i="52"/>
  <c r="AJ256" i="52"/>
  <c r="AE11" i="32"/>
  <c r="AE28" i="32"/>
  <c r="AE80" i="32"/>
  <c r="AE81" i="32"/>
  <c r="AE82" i="32"/>
  <c r="AK7" i="52"/>
  <c r="BJ7" i="25"/>
  <c r="AK48" i="52"/>
  <c r="AK89" i="52"/>
  <c r="AK8" i="52"/>
  <c r="AK49" i="52"/>
  <c r="AK90" i="52"/>
  <c r="AK9" i="52"/>
  <c r="AK50" i="52"/>
  <c r="AK91" i="52"/>
  <c r="AK10" i="52"/>
  <c r="AK51" i="52"/>
  <c r="AK92" i="52"/>
  <c r="AK11" i="52"/>
  <c r="AK52" i="52"/>
  <c r="AK93" i="52"/>
  <c r="AK12" i="52"/>
  <c r="AK53" i="52"/>
  <c r="AK94" i="52"/>
  <c r="AK13" i="52"/>
  <c r="AK54" i="52"/>
  <c r="AK95" i="52"/>
  <c r="AK14" i="52"/>
  <c r="AK55" i="52"/>
  <c r="AK96" i="52"/>
  <c r="AK15" i="52"/>
  <c r="AK56" i="52"/>
  <c r="AK97" i="52"/>
  <c r="AK16" i="52"/>
  <c r="AK57" i="52"/>
  <c r="AK98" i="52"/>
  <c r="AK17" i="52"/>
  <c r="AK58" i="52"/>
  <c r="AK99" i="52"/>
  <c r="AK18" i="52"/>
  <c r="AK59" i="52"/>
  <c r="AK100" i="52"/>
  <c r="AK19" i="52"/>
  <c r="AK60" i="52"/>
  <c r="AK101" i="52"/>
  <c r="AK20" i="52"/>
  <c r="AK61" i="52"/>
  <c r="AK102" i="52"/>
  <c r="AK21" i="52"/>
  <c r="AK62" i="52"/>
  <c r="AK103" i="52"/>
  <c r="AK22" i="52"/>
  <c r="AK63" i="52"/>
  <c r="AK104" i="52"/>
  <c r="AK23" i="52"/>
  <c r="AK64" i="52"/>
  <c r="AK105" i="52"/>
  <c r="AK24" i="52"/>
  <c r="AK65" i="52"/>
  <c r="AK106" i="52"/>
  <c r="AK25" i="52"/>
  <c r="AK66" i="52"/>
  <c r="AK107" i="52"/>
  <c r="AK26" i="52"/>
  <c r="AK67" i="52"/>
  <c r="AK108" i="52"/>
  <c r="AK27" i="52"/>
  <c r="AK68" i="52"/>
  <c r="AK109" i="52"/>
  <c r="AK28" i="52"/>
  <c r="AK69" i="52"/>
  <c r="AK110" i="52"/>
  <c r="AK29" i="52"/>
  <c r="AK70" i="52"/>
  <c r="AK111" i="52"/>
  <c r="AK30" i="52"/>
  <c r="AK71" i="52"/>
  <c r="AK112" i="52"/>
  <c r="AK31" i="52"/>
  <c r="AK72" i="52"/>
  <c r="AK113" i="52"/>
  <c r="AK32" i="52"/>
  <c r="AK73" i="52"/>
  <c r="AK114" i="52"/>
  <c r="AK33" i="52"/>
  <c r="AK74" i="52"/>
  <c r="AK115" i="52"/>
  <c r="AK34" i="52"/>
  <c r="AK75" i="52"/>
  <c r="AK116" i="52"/>
  <c r="AK35" i="52"/>
  <c r="AK76" i="52"/>
  <c r="AJ35" i="52"/>
  <c r="AJ76" i="52"/>
  <c r="AK117" i="52"/>
  <c r="AK129" i="52"/>
  <c r="AK134" i="52"/>
  <c r="AK175" i="52"/>
  <c r="AK216" i="52"/>
  <c r="AK135" i="52"/>
  <c r="AK176" i="52"/>
  <c r="AK217" i="52"/>
  <c r="AK136" i="52"/>
  <c r="AK177" i="52"/>
  <c r="AK218" i="52"/>
  <c r="AK137" i="52"/>
  <c r="AK178" i="52"/>
  <c r="AK219" i="52"/>
  <c r="AK138" i="52"/>
  <c r="AK179" i="52"/>
  <c r="AK220" i="52"/>
  <c r="AK139" i="52"/>
  <c r="AK180" i="52"/>
  <c r="AK221" i="52"/>
  <c r="AK140" i="52"/>
  <c r="AK181" i="52"/>
  <c r="AK222" i="52"/>
  <c r="AK141" i="52"/>
  <c r="AK182" i="52"/>
  <c r="AK223" i="52"/>
  <c r="AK142" i="52"/>
  <c r="AK183" i="52"/>
  <c r="AK224" i="52"/>
  <c r="AK143" i="52"/>
  <c r="AK184" i="52"/>
  <c r="AK225" i="52"/>
  <c r="AK144" i="52"/>
  <c r="AK185" i="52"/>
  <c r="AK226" i="52"/>
  <c r="AK145" i="52"/>
  <c r="AK186" i="52"/>
  <c r="AK227" i="52"/>
  <c r="AK146" i="52"/>
  <c r="AK187" i="52"/>
  <c r="AK228" i="52"/>
  <c r="AK147" i="52"/>
  <c r="AK188" i="52"/>
  <c r="AK229" i="52"/>
  <c r="AK148" i="52"/>
  <c r="AK189" i="52"/>
  <c r="AK230" i="52"/>
  <c r="AK149" i="52"/>
  <c r="AK190" i="52"/>
  <c r="AK231" i="52"/>
  <c r="AK150" i="52"/>
  <c r="AK191" i="52"/>
  <c r="AK232" i="52"/>
  <c r="AK151" i="52"/>
  <c r="AK192" i="52"/>
  <c r="AK233" i="52"/>
  <c r="AK152" i="52"/>
  <c r="AK193" i="52"/>
  <c r="AK234" i="52"/>
  <c r="AK153" i="52"/>
  <c r="AK194" i="52"/>
  <c r="AK235" i="52"/>
  <c r="AK154" i="52"/>
  <c r="AK195" i="52"/>
  <c r="AK236" i="52"/>
  <c r="AK155" i="52"/>
  <c r="AK196" i="52"/>
  <c r="AK237" i="52"/>
  <c r="AK156" i="52"/>
  <c r="AK197" i="52"/>
  <c r="AK238" i="52"/>
  <c r="AK157" i="52"/>
  <c r="AK198" i="52"/>
  <c r="AK239" i="52"/>
  <c r="AK158" i="52"/>
  <c r="AK199" i="52"/>
  <c r="AK240" i="52"/>
  <c r="AK159" i="52"/>
  <c r="AK200" i="52"/>
  <c r="AK241" i="52"/>
  <c r="AK160" i="52"/>
  <c r="AK201" i="52"/>
  <c r="AK242" i="52"/>
  <c r="AK161" i="52"/>
  <c r="AK202" i="52"/>
  <c r="AK243" i="52"/>
  <c r="AK162" i="52"/>
  <c r="AK203" i="52"/>
  <c r="AJ162" i="52"/>
  <c r="AJ203" i="52"/>
  <c r="AK244" i="52"/>
  <c r="AK256" i="52"/>
  <c r="AF11" i="32"/>
  <c r="AF28" i="32"/>
  <c r="AF80" i="32"/>
  <c r="AF81" i="32"/>
  <c r="AF82" i="32"/>
  <c r="AL7" i="52"/>
  <c r="BK7" i="25"/>
  <c r="AL48" i="52"/>
  <c r="AL89" i="52"/>
  <c r="AL8" i="52"/>
  <c r="AL49" i="52"/>
  <c r="AL90" i="52"/>
  <c r="AL9" i="52"/>
  <c r="AL50" i="52"/>
  <c r="AL91" i="52"/>
  <c r="AL10" i="52"/>
  <c r="AL51" i="52"/>
  <c r="AL92" i="52"/>
  <c r="AL11" i="52"/>
  <c r="AL52" i="52"/>
  <c r="AL93" i="52"/>
  <c r="AL12" i="52"/>
  <c r="AL53" i="52"/>
  <c r="AL94" i="52"/>
  <c r="AL13" i="52"/>
  <c r="AL54" i="52"/>
  <c r="AL95" i="52"/>
  <c r="AL14" i="52"/>
  <c r="AL55" i="52"/>
  <c r="AL96" i="52"/>
  <c r="AL15" i="52"/>
  <c r="AL56" i="52"/>
  <c r="AL97" i="52"/>
  <c r="AL16" i="52"/>
  <c r="AL57" i="52"/>
  <c r="AL98" i="52"/>
  <c r="AL17" i="52"/>
  <c r="AL58" i="52"/>
  <c r="AL99" i="52"/>
  <c r="AL18" i="52"/>
  <c r="AL59" i="52"/>
  <c r="AL100" i="52"/>
  <c r="AL19" i="52"/>
  <c r="AL60" i="52"/>
  <c r="AL101" i="52"/>
  <c r="AL20" i="52"/>
  <c r="AL61" i="52"/>
  <c r="AL102" i="52"/>
  <c r="AL21" i="52"/>
  <c r="AL62" i="52"/>
  <c r="AL103" i="52"/>
  <c r="AL22" i="52"/>
  <c r="AL63" i="52"/>
  <c r="AL104" i="52"/>
  <c r="AL23" i="52"/>
  <c r="AL64" i="52"/>
  <c r="AL105" i="52"/>
  <c r="AL24" i="52"/>
  <c r="AL65" i="52"/>
  <c r="AL106" i="52"/>
  <c r="AL25" i="52"/>
  <c r="AL66" i="52"/>
  <c r="AL107" i="52"/>
  <c r="AL26" i="52"/>
  <c r="AL67" i="52"/>
  <c r="AL108" i="52"/>
  <c r="AL27" i="52"/>
  <c r="AL68" i="52"/>
  <c r="AL109" i="52"/>
  <c r="AL28" i="52"/>
  <c r="AL69" i="52"/>
  <c r="AL110" i="52"/>
  <c r="AL29" i="52"/>
  <c r="AL70" i="52"/>
  <c r="AL111" i="52"/>
  <c r="AL30" i="52"/>
  <c r="AL71" i="52"/>
  <c r="AL112" i="52"/>
  <c r="AL31" i="52"/>
  <c r="AL72" i="52"/>
  <c r="AL113" i="52"/>
  <c r="AL32" i="52"/>
  <c r="AL73" i="52"/>
  <c r="AL114" i="52"/>
  <c r="AL33" i="52"/>
  <c r="AL74" i="52"/>
  <c r="AL115" i="52"/>
  <c r="AL34" i="52"/>
  <c r="AL75" i="52"/>
  <c r="AL116" i="52"/>
  <c r="AL35" i="52"/>
  <c r="AL76" i="52"/>
  <c r="AL117" i="52"/>
  <c r="AL36" i="52"/>
  <c r="AL77" i="52"/>
  <c r="AK36" i="52"/>
  <c r="AK77" i="52"/>
  <c r="AL118" i="52"/>
  <c r="AL129" i="52"/>
  <c r="AL134" i="52"/>
  <c r="AL175" i="52"/>
  <c r="AL216" i="52"/>
  <c r="AL135" i="52"/>
  <c r="AL176" i="52"/>
  <c r="AL217" i="52"/>
  <c r="AL136" i="52"/>
  <c r="AL177" i="52"/>
  <c r="AL218" i="52"/>
  <c r="AL137" i="52"/>
  <c r="AL178" i="52"/>
  <c r="AL219" i="52"/>
  <c r="AL138" i="52"/>
  <c r="AL179" i="52"/>
  <c r="AL220" i="52"/>
  <c r="AL139" i="52"/>
  <c r="AL180" i="52"/>
  <c r="AL221" i="52"/>
  <c r="AL140" i="52"/>
  <c r="AL181" i="52"/>
  <c r="AL222" i="52"/>
  <c r="AL141" i="52"/>
  <c r="AL182" i="52"/>
  <c r="AL223" i="52"/>
  <c r="AL142" i="52"/>
  <c r="AL183" i="52"/>
  <c r="AL224" i="52"/>
  <c r="AL143" i="52"/>
  <c r="AL184" i="52"/>
  <c r="AL225" i="52"/>
  <c r="AL144" i="52"/>
  <c r="AL185" i="52"/>
  <c r="AL226" i="52"/>
  <c r="AL145" i="52"/>
  <c r="AL186" i="52"/>
  <c r="AL227" i="52"/>
  <c r="AL146" i="52"/>
  <c r="AL187" i="52"/>
  <c r="AL228" i="52"/>
  <c r="AL147" i="52"/>
  <c r="AL188" i="52"/>
  <c r="AL229" i="52"/>
  <c r="AL148" i="52"/>
  <c r="AL189" i="52"/>
  <c r="AL230" i="52"/>
  <c r="AL149" i="52"/>
  <c r="AL190" i="52"/>
  <c r="AL231" i="52"/>
  <c r="AL150" i="52"/>
  <c r="AL191" i="52"/>
  <c r="AL232" i="52"/>
  <c r="AL151" i="52"/>
  <c r="AL192" i="52"/>
  <c r="AL233" i="52"/>
  <c r="AL152" i="52"/>
  <c r="AL193" i="52"/>
  <c r="AL234" i="52"/>
  <c r="AL153" i="52"/>
  <c r="AL194" i="52"/>
  <c r="AL235" i="52"/>
  <c r="AL154" i="52"/>
  <c r="AL195" i="52"/>
  <c r="AL236" i="52"/>
  <c r="AL155" i="52"/>
  <c r="AL196" i="52"/>
  <c r="AL237" i="52"/>
  <c r="AL156" i="52"/>
  <c r="AL197" i="52"/>
  <c r="AL238" i="52"/>
  <c r="AL157" i="52"/>
  <c r="AL198" i="52"/>
  <c r="AL239" i="52"/>
  <c r="AL158" i="52"/>
  <c r="AL199" i="52"/>
  <c r="AL240" i="52"/>
  <c r="AL159" i="52"/>
  <c r="AL200" i="52"/>
  <c r="AL241" i="52"/>
  <c r="AL160" i="52"/>
  <c r="AL201" i="52"/>
  <c r="AL242" i="52"/>
  <c r="AL161" i="52"/>
  <c r="AL202" i="52"/>
  <c r="AL243" i="52"/>
  <c r="AL162" i="52"/>
  <c r="AL203" i="52"/>
  <c r="AL244" i="52"/>
  <c r="AL163" i="52"/>
  <c r="AL204" i="52"/>
  <c r="AK163" i="52"/>
  <c r="AK204" i="52"/>
  <c r="AL245" i="52"/>
  <c r="AL256" i="52"/>
  <c r="AG11" i="32"/>
  <c r="AG28" i="32"/>
  <c r="AG80" i="32"/>
  <c r="AG81" i="32"/>
  <c r="AG82" i="32"/>
  <c r="AM7" i="52"/>
  <c r="BL30" i="25"/>
  <c r="BL7" i="25"/>
  <c r="AM48" i="52"/>
  <c r="AM89" i="52"/>
  <c r="AM8" i="52"/>
  <c r="AM49" i="52"/>
  <c r="AM90" i="52"/>
  <c r="AM9" i="52"/>
  <c r="AM50" i="52"/>
  <c r="AM91" i="52"/>
  <c r="AM10" i="52"/>
  <c r="AM51" i="52"/>
  <c r="AM92" i="52"/>
  <c r="AM11" i="52"/>
  <c r="AM52" i="52"/>
  <c r="AM93" i="52"/>
  <c r="AM12" i="52"/>
  <c r="AM53" i="52"/>
  <c r="AM94" i="52"/>
  <c r="AM13" i="52"/>
  <c r="AM54" i="52"/>
  <c r="AM95" i="52"/>
  <c r="AM14" i="52"/>
  <c r="AM55" i="52"/>
  <c r="AM96" i="52"/>
  <c r="AM15" i="52"/>
  <c r="AM56" i="52"/>
  <c r="AM97" i="52"/>
  <c r="AM16" i="52"/>
  <c r="AM57" i="52"/>
  <c r="AM98" i="52"/>
  <c r="AM17" i="52"/>
  <c r="AM58" i="52"/>
  <c r="AM99" i="52"/>
  <c r="AM18" i="52"/>
  <c r="AM59" i="52"/>
  <c r="AM100" i="52"/>
  <c r="AM19" i="52"/>
  <c r="AM60" i="52"/>
  <c r="AM101" i="52"/>
  <c r="AM20" i="52"/>
  <c r="AM61" i="52"/>
  <c r="AM102" i="52"/>
  <c r="AM21" i="52"/>
  <c r="AM62" i="52"/>
  <c r="AM103" i="52"/>
  <c r="AM22" i="52"/>
  <c r="AM63" i="52"/>
  <c r="AM104" i="52"/>
  <c r="AM23" i="52"/>
  <c r="AM64" i="52"/>
  <c r="AM105" i="52"/>
  <c r="AM24" i="52"/>
  <c r="AM65" i="52"/>
  <c r="AM106" i="52"/>
  <c r="AM25" i="52"/>
  <c r="AM66" i="52"/>
  <c r="AM107" i="52"/>
  <c r="AM26" i="52"/>
  <c r="AM67" i="52"/>
  <c r="AM108" i="52"/>
  <c r="AM27" i="52"/>
  <c r="AM68" i="52"/>
  <c r="AM109" i="52"/>
  <c r="AM28" i="52"/>
  <c r="AM69" i="52"/>
  <c r="AM110" i="52"/>
  <c r="AM29" i="52"/>
  <c r="AM70" i="52"/>
  <c r="AM111" i="52"/>
  <c r="AM30" i="52"/>
  <c r="AM71" i="52"/>
  <c r="AM112" i="52"/>
  <c r="AM31" i="52"/>
  <c r="AM72" i="52"/>
  <c r="AM113" i="52"/>
  <c r="AM32" i="52"/>
  <c r="AM73" i="52"/>
  <c r="AM114" i="52"/>
  <c r="AM33" i="52"/>
  <c r="AM74" i="52"/>
  <c r="AM115" i="52"/>
  <c r="AM34" i="52"/>
  <c r="AM75" i="52"/>
  <c r="AM116" i="52"/>
  <c r="AM35" i="52"/>
  <c r="AM76" i="52"/>
  <c r="AM117" i="52"/>
  <c r="AM36" i="52"/>
  <c r="AM77" i="52"/>
  <c r="AM118" i="52"/>
  <c r="AM37" i="52"/>
  <c r="AM78" i="52"/>
  <c r="AL37" i="52"/>
  <c r="AL78" i="52"/>
  <c r="AM119" i="52"/>
  <c r="AM129" i="52"/>
  <c r="AM134" i="52"/>
  <c r="AM175" i="52"/>
  <c r="AM216" i="52"/>
  <c r="AM135" i="52"/>
  <c r="AM176" i="52"/>
  <c r="AM217" i="52"/>
  <c r="AM136" i="52"/>
  <c r="AM177" i="52"/>
  <c r="AM218" i="52"/>
  <c r="AM137" i="52"/>
  <c r="AM178" i="52"/>
  <c r="AM219" i="52"/>
  <c r="AM138" i="52"/>
  <c r="AM179" i="52"/>
  <c r="AM220" i="52"/>
  <c r="AM139" i="52"/>
  <c r="AM180" i="52"/>
  <c r="AM221" i="52"/>
  <c r="AM140" i="52"/>
  <c r="AM181" i="52"/>
  <c r="AM222" i="52"/>
  <c r="AM141" i="52"/>
  <c r="AM182" i="52"/>
  <c r="AM223" i="52"/>
  <c r="AM142" i="52"/>
  <c r="AM183" i="52"/>
  <c r="AM224" i="52"/>
  <c r="AM143" i="52"/>
  <c r="AM184" i="52"/>
  <c r="AM225" i="52"/>
  <c r="AM144" i="52"/>
  <c r="AM185" i="52"/>
  <c r="AM226" i="52"/>
  <c r="AM145" i="52"/>
  <c r="AM186" i="52"/>
  <c r="AM227" i="52"/>
  <c r="AM146" i="52"/>
  <c r="AM187" i="52"/>
  <c r="AM228" i="52"/>
  <c r="AM147" i="52"/>
  <c r="AM188" i="52"/>
  <c r="AM229" i="52"/>
  <c r="AM148" i="52"/>
  <c r="AM189" i="52"/>
  <c r="AM230" i="52"/>
  <c r="AM149" i="52"/>
  <c r="AM190" i="52"/>
  <c r="AM231" i="52"/>
  <c r="AM150" i="52"/>
  <c r="AM191" i="52"/>
  <c r="AM232" i="52"/>
  <c r="AM151" i="52"/>
  <c r="AM192" i="52"/>
  <c r="AM233" i="52"/>
  <c r="AM152" i="52"/>
  <c r="AM193" i="52"/>
  <c r="AM234" i="52"/>
  <c r="AM153" i="52"/>
  <c r="AM194" i="52"/>
  <c r="AM235" i="52"/>
  <c r="AM154" i="52"/>
  <c r="AM195" i="52"/>
  <c r="AM236" i="52"/>
  <c r="AM155" i="52"/>
  <c r="AM196" i="52"/>
  <c r="AM237" i="52"/>
  <c r="AM156" i="52"/>
  <c r="AM197" i="52"/>
  <c r="AM238" i="52"/>
  <c r="AM157" i="52"/>
  <c r="AM198" i="52"/>
  <c r="AM239" i="52"/>
  <c r="AM158" i="52"/>
  <c r="AM199" i="52"/>
  <c r="AM240" i="52"/>
  <c r="AM159" i="52"/>
  <c r="AM200" i="52"/>
  <c r="AM241" i="52"/>
  <c r="AM160" i="52"/>
  <c r="AM201" i="52"/>
  <c r="AM242" i="52"/>
  <c r="AM161" i="52"/>
  <c r="AM202" i="52"/>
  <c r="AM243" i="52"/>
  <c r="AM162" i="52"/>
  <c r="AM203" i="52"/>
  <c r="AM244" i="52"/>
  <c r="AM163" i="52"/>
  <c r="AM204" i="52"/>
  <c r="AM245" i="52"/>
  <c r="AM164" i="52"/>
  <c r="AM205" i="52"/>
  <c r="AL164" i="52"/>
  <c r="AL205" i="52"/>
  <c r="AM246" i="52"/>
  <c r="AM256" i="52"/>
  <c r="AH11" i="32"/>
  <c r="AH28" i="32"/>
  <c r="AH80" i="32"/>
  <c r="AH81" i="32"/>
  <c r="AH82" i="32"/>
  <c r="AN7" i="52"/>
  <c r="BM30" i="25"/>
  <c r="BM7" i="25"/>
  <c r="AN48" i="52"/>
  <c r="AN89" i="52"/>
  <c r="AN8" i="52"/>
  <c r="AN49" i="52"/>
  <c r="AN90" i="52"/>
  <c r="AN9" i="52"/>
  <c r="AN50" i="52"/>
  <c r="AN91" i="52"/>
  <c r="AN10" i="52"/>
  <c r="AN51" i="52"/>
  <c r="AN92" i="52"/>
  <c r="AN11" i="52"/>
  <c r="AN52" i="52"/>
  <c r="AN93" i="52"/>
  <c r="AN12" i="52"/>
  <c r="AN53" i="52"/>
  <c r="AN94" i="52"/>
  <c r="AN13" i="52"/>
  <c r="AN54" i="52"/>
  <c r="AN95" i="52"/>
  <c r="AN14" i="52"/>
  <c r="AN55" i="52"/>
  <c r="AN96" i="52"/>
  <c r="AN15" i="52"/>
  <c r="AN56" i="52"/>
  <c r="AN97" i="52"/>
  <c r="AN16" i="52"/>
  <c r="AN57" i="52"/>
  <c r="AN98" i="52"/>
  <c r="AN17" i="52"/>
  <c r="AN58" i="52"/>
  <c r="AN99" i="52"/>
  <c r="AN18" i="52"/>
  <c r="AN59" i="52"/>
  <c r="AN100" i="52"/>
  <c r="AN19" i="52"/>
  <c r="AN60" i="52"/>
  <c r="AN101" i="52"/>
  <c r="AN20" i="52"/>
  <c r="AN61" i="52"/>
  <c r="AN102" i="52"/>
  <c r="AN21" i="52"/>
  <c r="AN62" i="52"/>
  <c r="AN103" i="52"/>
  <c r="AN22" i="52"/>
  <c r="AN63" i="52"/>
  <c r="AN104" i="52"/>
  <c r="AN23" i="52"/>
  <c r="AN64" i="52"/>
  <c r="AN105" i="52"/>
  <c r="AN24" i="52"/>
  <c r="AN65" i="52"/>
  <c r="AN106" i="52"/>
  <c r="AN25" i="52"/>
  <c r="AN66" i="52"/>
  <c r="AN107" i="52"/>
  <c r="AN26" i="52"/>
  <c r="AN67" i="52"/>
  <c r="AN108" i="52"/>
  <c r="AN27" i="52"/>
  <c r="AN68" i="52"/>
  <c r="AN109" i="52"/>
  <c r="AN28" i="52"/>
  <c r="AN69" i="52"/>
  <c r="AN110" i="52"/>
  <c r="AN29" i="52"/>
  <c r="AN70" i="52"/>
  <c r="AN111" i="52"/>
  <c r="AN30" i="52"/>
  <c r="AN71" i="52"/>
  <c r="AN112" i="52"/>
  <c r="AN31" i="52"/>
  <c r="AN72" i="52"/>
  <c r="AN113" i="52"/>
  <c r="AN32" i="52"/>
  <c r="AN73" i="52"/>
  <c r="AN114" i="52"/>
  <c r="AN33" i="52"/>
  <c r="AN74" i="52"/>
  <c r="AN115" i="52"/>
  <c r="AN34" i="52"/>
  <c r="AN75" i="52"/>
  <c r="AN116" i="52"/>
  <c r="AN35" i="52"/>
  <c r="AN76" i="52"/>
  <c r="AN117" i="52"/>
  <c r="AN36" i="52"/>
  <c r="AN77" i="52"/>
  <c r="AN118" i="52"/>
  <c r="AN37" i="52"/>
  <c r="AN78" i="52"/>
  <c r="AN119" i="52"/>
  <c r="AN38" i="52"/>
  <c r="AN79" i="52"/>
  <c r="AM38" i="52"/>
  <c r="AM79" i="52"/>
  <c r="AN120" i="52"/>
  <c r="AN129" i="52"/>
  <c r="AN134" i="52"/>
  <c r="AN175" i="52"/>
  <c r="AN216" i="52"/>
  <c r="AN135" i="52"/>
  <c r="AN176" i="52"/>
  <c r="AN217" i="52"/>
  <c r="AN136" i="52"/>
  <c r="AN177" i="52"/>
  <c r="AN218" i="52"/>
  <c r="AN137" i="52"/>
  <c r="AN178" i="52"/>
  <c r="AN219" i="52"/>
  <c r="AN138" i="52"/>
  <c r="AN179" i="52"/>
  <c r="AN220" i="52"/>
  <c r="AN139" i="52"/>
  <c r="AN180" i="52"/>
  <c r="AN221" i="52"/>
  <c r="AN140" i="52"/>
  <c r="AN181" i="52"/>
  <c r="AN222" i="52"/>
  <c r="AN141" i="52"/>
  <c r="AN182" i="52"/>
  <c r="AN223" i="52"/>
  <c r="AN142" i="52"/>
  <c r="AN183" i="52"/>
  <c r="AN224" i="52"/>
  <c r="AN143" i="52"/>
  <c r="AN184" i="52"/>
  <c r="AN225" i="52"/>
  <c r="AN144" i="52"/>
  <c r="AN185" i="52"/>
  <c r="AN226" i="52"/>
  <c r="AN145" i="52"/>
  <c r="AN186" i="52"/>
  <c r="AN227" i="52"/>
  <c r="AN146" i="52"/>
  <c r="AN187" i="52"/>
  <c r="AN228" i="52"/>
  <c r="AN147" i="52"/>
  <c r="AN188" i="52"/>
  <c r="AN229" i="52"/>
  <c r="AN148" i="52"/>
  <c r="AN189" i="52"/>
  <c r="AN230" i="52"/>
  <c r="AN149" i="52"/>
  <c r="AN190" i="52"/>
  <c r="AN231" i="52"/>
  <c r="AN150" i="52"/>
  <c r="AN191" i="52"/>
  <c r="AN232" i="52"/>
  <c r="AN151" i="52"/>
  <c r="AN192" i="52"/>
  <c r="AN233" i="52"/>
  <c r="AN152" i="52"/>
  <c r="AN193" i="52"/>
  <c r="AN234" i="52"/>
  <c r="AN153" i="52"/>
  <c r="AN194" i="52"/>
  <c r="AN235" i="52"/>
  <c r="AN154" i="52"/>
  <c r="AN195" i="52"/>
  <c r="AN236" i="52"/>
  <c r="AN155" i="52"/>
  <c r="AN196" i="52"/>
  <c r="AN237" i="52"/>
  <c r="AN156" i="52"/>
  <c r="AN197" i="52"/>
  <c r="AN238" i="52"/>
  <c r="AN157" i="52"/>
  <c r="AN198" i="52"/>
  <c r="AN239" i="52"/>
  <c r="AN158" i="52"/>
  <c r="AN199" i="52"/>
  <c r="AN240" i="52"/>
  <c r="AN159" i="52"/>
  <c r="AN200" i="52"/>
  <c r="AN241" i="52"/>
  <c r="AN160" i="52"/>
  <c r="AN201" i="52"/>
  <c r="AN242" i="52"/>
  <c r="AN161" i="52"/>
  <c r="AN202" i="52"/>
  <c r="AN243" i="52"/>
  <c r="AN162" i="52"/>
  <c r="AN203" i="52"/>
  <c r="AN244" i="52"/>
  <c r="AN163" i="52"/>
  <c r="AN204" i="52"/>
  <c r="AN245" i="52"/>
  <c r="AN164" i="52"/>
  <c r="AN205" i="52"/>
  <c r="AN246" i="52"/>
  <c r="AN165" i="52"/>
  <c r="AN206" i="52"/>
  <c r="AM165" i="52"/>
  <c r="AM206" i="52"/>
  <c r="AN247" i="52"/>
  <c r="AN256" i="52"/>
  <c r="AI11" i="32"/>
  <c r="AI28" i="32"/>
  <c r="AI80" i="32"/>
  <c r="AI81" i="32"/>
  <c r="AI82" i="32"/>
  <c r="AO7" i="52"/>
  <c r="BN30" i="25"/>
  <c r="BN7" i="25"/>
  <c r="AO48" i="52"/>
  <c r="AO89" i="52"/>
  <c r="AO8" i="52"/>
  <c r="AO49" i="52"/>
  <c r="AO90" i="52"/>
  <c r="AO9" i="52"/>
  <c r="AO50" i="52"/>
  <c r="AO91" i="52"/>
  <c r="AO10" i="52"/>
  <c r="AO51" i="52"/>
  <c r="AO92" i="52"/>
  <c r="AO11" i="52"/>
  <c r="AO52" i="52"/>
  <c r="AO93" i="52"/>
  <c r="AO12" i="52"/>
  <c r="AO53" i="52"/>
  <c r="AO94" i="52"/>
  <c r="AO13" i="52"/>
  <c r="AO54" i="52"/>
  <c r="AO95" i="52"/>
  <c r="AO14" i="52"/>
  <c r="AO55" i="52"/>
  <c r="AO96" i="52"/>
  <c r="AO15" i="52"/>
  <c r="AO56" i="52"/>
  <c r="AO97" i="52"/>
  <c r="AO16" i="52"/>
  <c r="AO57" i="52"/>
  <c r="AO98" i="52"/>
  <c r="AO17" i="52"/>
  <c r="AO58" i="52"/>
  <c r="AO99" i="52"/>
  <c r="AO18" i="52"/>
  <c r="AO59" i="52"/>
  <c r="AO100" i="52"/>
  <c r="AO19" i="52"/>
  <c r="AO60" i="52"/>
  <c r="AO101" i="52"/>
  <c r="AO20" i="52"/>
  <c r="AO61" i="52"/>
  <c r="AO102" i="52"/>
  <c r="AO21" i="52"/>
  <c r="AO62" i="52"/>
  <c r="AO103" i="52"/>
  <c r="AO22" i="52"/>
  <c r="AO63" i="52"/>
  <c r="AO104" i="52"/>
  <c r="AO23" i="52"/>
  <c r="AO64" i="52"/>
  <c r="AO105" i="52"/>
  <c r="AO24" i="52"/>
  <c r="AO65" i="52"/>
  <c r="AO106" i="52"/>
  <c r="AO25" i="52"/>
  <c r="AO66" i="52"/>
  <c r="AO107" i="52"/>
  <c r="AO26" i="52"/>
  <c r="AO67" i="52"/>
  <c r="AO108" i="52"/>
  <c r="AO27" i="52"/>
  <c r="AO68" i="52"/>
  <c r="AO109" i="52"/>
  <c r="AO28" i="52"/>
  <c r="AO69" i="52"/>
  <c r="AO110" i="52"/>
  <c r="AO29" i="52"/>
  <c r="AO70" i="52"/>
  <c r="AO111" i="52"/>
  <c r="AO30" i="52"/>
  <c r="AO71" i="52"/>
  <c r="AO112" i="52"/>
  <c r="AO31" i="52"/>
  <c r="AO72" i="52"/>
  <c r="AO113" i="52"/>
  <c r="AO32" i="52"/>
  <c r="AO73" i="52"/>
  <c r="AO114" i="52"/>
  <c r="AO33" i="52"/>
  <c r="AO74" i="52"/>
  <c r="AO115" i="52"/>
  <c r="AO34" i="52"/>
  <c r="AO75" i="52"/>
  <c r="AO116" i="52"/>
  <c r="AO35" i="52"/>
  <c r="AO76" i="52"/>
  <c r="AO117" i="52"/>
  <c r="AO36" i="52"/>
  <c r="AO77" i="52"/>
  <c r="AO118" i="52"/>
  <c r="AO37" i="52"/>
  <c r="AO78" i="52"/>
  <c r="AO119" i="52"/>
  <c r="AO38" i="52"/>
  <c r="AO79" i="52"/>
  <c r="AO120" i="52"/>
  <c r="AO39" i="52"/>
  <c r="AO80" i="52"/>
  <c r="AN39" i="52"/>
  <c r="AN80" i="52"/>
  <c r="AO121" i="52"/>
  <c r="AO129" i="52"/>
  <c r="AO134" i="52"/>
  <c r="AO175" i="52"/>
  <c r="AO216" i="52"/>
  <c r="AO135" i="52"/>
  <c r="AO176" i="52"/>
  <c r="AO217" i="52"/>
  <c r="AO136" i="52"/>
  <c r="AO177" i="52"/>
  <c r="AO218" i="52"/>
  <c r="AO137" i="52"/>
  <c r="AO178" i="52"/>
  <c r="AO219" i="52"/>
  <c r="AO138" i="52"/>
  <c r="AO179" i="52"/>
  <c r="AO220" i="52"/>
  <c r="AO139" i="52"/>
  <c r="AO180" i="52"/>
  <c r="AO221" i="52"/>
  <c r="AO140" i="52"/>
  <c r="AO181" i="52"/>
  <c r="AO222" i="52"/>
  <c r="AO141" i="52"/>
  <c r="AO182" i="52"/>
  <c r="AO223" i="52"/>
  <c r="AO142" i="52"/>
  <c r="AO183" i="52"/>
  <c r="AO224" i="52"/>
  <c r="AO143" i="52"/>
  <c r="AO184" i="52"/>
  <c r="AO225" i="52"/>
  <c r="AO144" i="52"/>
  <c r="AO185" i="52"/>
  <c r="AO226" i="52"/>
  <c r="AO145" i="52"/>
  <c r="AO186" i="52"/>
  <c r="AO227" i="52"/>
  <c r="AO146" i="52"/>
  <c r="AO187" i="52"/>
  <c r="AO228" i="52"/>
  <c r="AO147" i="52"/>
  <c r="AO188" i="52"/>
  <c r="AO229" i="52"/>
  <c r="AO148" i="52"/>
  <c r="AO189" i="52"/>
  <c r="AO230" i="52"/>
  <c r="AO149" i="52"/>
  <c r="AO190" i="52"/>
  <c r="AO231" i="52"/>
  <c r="AO150" i="52"/>
  <c r="AO191" i="52"/>
  <c r="AO232" i="52"/>
  <c r="AO151" i="52"/>
  <c r="AO192" i="52"/>
  <c r="AO233" i="52"/>
  <c r="AO152" i="52"/>
  <c r="AO193" i="52"/>
  <c r="AO234" i="52"/>
  <c r="AO153" i="52"/>
  <c r="AO194" i="52"/>
  <c r="AO235" i="52"/>
  <c r="AO154" i="52"/>
  <c r="AO195" i="52"/>
  <c r="AO236" i="52"/>
  <c r="AO155" i="52"/>
  <c r="AO196" i="52"/>
  <c r="AO237" i="52"/>
  <c r="AO156" i="52"/>
  <c r="AO197" i="52"/>
  <c r="AO238" i="52"/>
  <c r="AO157" i="52"/>
  <c r="AO198" i="52"/>
  <c r="AO239" i="52"/>
  <c r="AO158" i="52"/>
  <c r="AO199" i="52"/>
  <c r="AO240" i="52"/>
  <c r="AO159" i="52"/>
  <c r="AO200" i="52"/>
  <c r="AO241" i="52"/>
  <c r="AO160" i="52"/>
  <c r="AO201" i="52"/>
  <c r="AO242" i="52"/>
  <c r="AO161" i="52"/>
  <c r="AO202" i="52"/>
  <c r="AO243" i="52"/>
  <c r="AO162" i="52"/>
  <c r="AO203" i="52"/>
  <c r="AO244" i="52"/>
  <c r="AO163" i="52"/>
  <c r="AO204" i="52"/>
  <c r="AO245" i="52"/>
  <c r="AO164" i="52"/>
  <c r="AO205" i="52"/>
  <c r="AO246" i="52"/>
  <c r="AO165" i="52"/>
  <c r="AO206" i="52"/>
  <c r="AO247" i="52"/>
  <c r="AO166" i="52"/>
  <c r="AO207" i="52"/>
  <c r="AN166" i="52"/>
  <c r="AN207" i="52"/>
  <c r="AO248" i="52"/>
  <c r="AO256" i="52"/>
  <c r="AJ11" i="32"/>
  <c r="AJ28" i="32"/>
  <c r="AJ80" i="32"/>
  <c r="AJ81" i="32"/>
  <c r="AJ82" i="32"/>
  <c r="AP7" i="52"/>
  <c r="BO30" i="25"/>
  <c r="BO7" i="25"/>
  <c r="AP48" i="52"/>
  <c r="AP89" i="52"/>
  <c r="AP8" i="52"/>
  <c r="AP49" i="52"/>
  <c r="AP90" i="52"/>
  <c r="AP9" i="52"/>
  <c r="AP50" i="52"/>
  <c r="AP91" i="52"/>
  <c r="AP10" i="52"/>
  <c r="AP51" i="52"/>
  <c r="AP92" i="52"/>
  <c r="AP11" i="52"/>
  <c r="AP52" i="52"/>
  <c r="AP93" i="52"/>
  <c r="AP12" i="52"/>
  <c r="AP53" i="52"/>
  <c r="AP94" i="52"/>
  <c r="AP13" i="52"/>
  <c r="AP54" i="52"/>
  <c r="AP95" i="52"/>
  <c r="AP14" i="52"/>
  <c r="AP55" i="52"/>
  <c r="AP96" i="52"/>
  <c r="AP15" i="52"/>
  <c r="AP56" i="52"/>
  <c r="AP97" i="52"/>
  <c r="AP16" i="52"/>
  <c r="AP57" i="52"/>
  <c r="AP98" i="52"/>
  <c r="AP17" i="52"/>
  <c r="AP58" i="52"/>
  <c r="AP99" i="52"/>
  <c r="AP18" i="52"/>
  <c r="AP59" i="52"/>
  <c r="AP100" i="52"/>
  <c r="AP19" i="52"/>
  <c r="AP60" i="52"/>
  <c r="AP101" i="52"/>
  <c r="AP20" i="52"/>
  <c r="AP61" i="52"/>
  <c r="AP102" i="52"/>
  <c r="AP21" i="52"/>
  <c r="AP62" i="52"/>
  <c r="AP103" i="52"/>
  <c r="AP22" i="52"/>
  <c r="AP63" i="52"/>
  <c r="AP104" i="52"/>
  <c r="AP23" i="52"/>
  <c r="AP64" i="52"/>
  <c r="AP105" i="52"/>
  <c r="AP24" i="52"/>
  <c r="AP65" i="52"/>
  <c r="AP106" i="52"/>
  <c r="AP25" i="52"/>
  <c r="AP66" i="52"/>
  <c r="AP107" i="52"/>
  <c r="AP26" i="52"/>
  <c r="AP67" i="52"/>
  <c r="AP108" i="52"/>
  <c r="AP27" i="52"/>
  <c r="AP68" i="52"/>
  <c r="AP109" i="52"/>
  <c r="AP28" i="52"/>
  <c r="AP69" i="52"/>
  <c r="AP110" i="52"/>
  <c r="AP29" i="52"/>
  <c r="AP70" i="52"/>
  <c r="AP111" i="52"/>
  <c r="AP30" i="52"/>
  <c r="AP71" i="52"/>
  <c r="AP112" i="52"/>
  <c r="AP31" i="52"/>
  <c r="AP72" i="52"/>
  <c r="AP113" i="52"/>
  <c r="AP32" i="52"/>
  <c r="AP73" i="52"/>
  <c r="AP114" i="52"/>
  <c r="AP33" i="52"/>
  <c r="AP74" i="52"/>
  <c r="AP115" i="52"/>
  <c r="AP34" i="52"/>
  <c r="AP75" i="52"/>
  <c r="AP116" i="52"/>
  <c r="AP35" i="52"/>
  <c r="AP76" i="52"/>
  <c r="AP117" i="52"/>
  <c r="AP36" i="52"/>
  <c r="AP77" i="52"/>
  <c r="AP118" i="52"/>
  <c r="AP37" i="52"/>
  <c r="AP78" i="52"/>
  <c r="AP119" i="52"/>
  <c r="AP38" i="52"/>
  <c r="AP79" i="52"/>
  <c r="AP120" i="52"/>
  <c r="AP39" i="52"/>
  <c r="AP80" i="52"/>
  <c r="AP121" i="52"/>
  <c r="AP40" i="52"/>
  <c r="AP81" i="52"/>
  <c r="AO40" i="52"/>
  <c r="AO81" i="52"/>
  <c r="AP122" i="52"/>
  <c r="AP129" i="52"/>
  <c r="AP134" i="52"/>
  <c r="AP175" i="52"/>
  <c r="AP216" i="52"/>
  <c r="AP135" i="52"/>
  <c r="AP176" i="52"/>
  <c r="AP217" i="52"/>
  <c r="AP136" i="52"/>
  <c r="AP177" i="52"/>
  <c r="AP218" i="52"/>
  <c r="AP137" i="52"/>
  <c r="AP178" i="52"/>
  <c r="AP219" i="52"/>
  <c r="AP138" i="52"/>
  <c r="AP179" i="52"/>
  <c r="AP220" i="52"/>
  <c r="AP139" i="52"/>
  <c r="AP180" i="52"/>
  <c r="AP221" i="52"/>
  <c r="AP140" i="52"/>
  <c r="AP181" i="52"/>
  <c r="AP222" i="52"/>
  <c r="AP141" i="52"/>
  <c r="AP182" i="52"/>
  <c r="AP223" i="52"/>
  <c r="AP142" i="52"/>
  <c r="AP183" i="52"/>
  <c r="AP224" i="52"/>
  <c r="AP143" i="52"/>
  <c r="AP184" i="52"/>
  <c r="AP225" i="52"/>
  <c r="AP144" i="52"/>
  <c r="AP185" i="52"/>
  <c r="AP226" i="52"/>
  <c r="AP145" i="52"/>
  <c r="AP186" i="52"/>
  <c r="AP227" i="52"/>
  <c r="AP146" i="52"/>
  <c r="AP187" i="52"/>
  <c r="AP228" i="52"/>
  <c r="AP147" i="52"/>
  <c r="AP188" i="52"/>
  <c r="AP229" i="52"/>
  <c r="AP148" i="52"/>
  <c r="AP189" i="52"/>
  <c r="AP230" i="52"/>
  <c r="AP149" i="52"/>
  <c r="AP190" i="52"/>
  <c r="AP231" i="52"/>
  <c r="AP150" i="52"/>
  <c r="AP191" i="52"/>
  <c r="AP232" i="52"/>
  <c r="AP151" i="52"/>
  <c r="AP192" i="52"/>
  <c r="AP233" i="52"/>
  <c r="AP152" i="52"/>
  <c r="AP193" i="52"/>
  <c r="AP234" i="52"/>
  <c r="AP153" i="52"/>
  <c r="AP194" i="52"/>
  <c r="AP235" i="52"/>
  <c r="AP154" i="52"/>
  <c r="AP195" i="52"/>
  <c r="AP236" i="52"/>
  <c r="AP155" i="52"/>
  <c r="AP196" i="52"/>
  <c r="AP237" i="52"/>
  <c r="AP156" i="52"/>
  <c r="AP197" i="52"/>
  <c r="AP238" i="52"/>
  <c r="AP157" i="52"/>
  <c r="AP198" i="52"/>
  <c r="AP239" i="52"/>
  <c r="AP158" i="52"/>
  <c r="AP199" i="52"/>
  <c r="AP240" i="52"/>
  <c r="AP159" i="52"/>
  <c r="AP200" i="52"/>
  <c r="AP241" i="52"/>
  <c r="AP160" i="52"/>
  <c r="AP201" i="52"/>
  <c r="AP242" i="52"/>
  <c r="AP161" i="52"/>
  <c r="AP202" i="52"/>
  <c r="AP243" i="52"/>
  <c r="AP162" i="52"/>
  <c r="AP203" i="52"/>
  <c r="AP244" i="52"/>
  <c r="AP163" i="52"/>
  <c r="AP204" i="52"/>
  <c r="AP245" i="52"/>
  <c r="AP164" i="52"/>
  <c r="AP205" i="52"/>
  <c r="AP246" i="52"/>
  <c r="AP165" i="52"/>
  <c r="AP206" i="52"/>
  <c r="AP247" i="52"/>
  <c r="AP166" i="52"/>
  <c r="AP207" i="52"/>
  <c r="AP248" i="52"/>
  <c r="AP167" i="52"/>
  <c r="AP208" i="52"/>
  <c r="AO167" i="52"/>
  <c r="AO208" i="52"/>
  <c r="AP249" i="52"/>
  <c r="AP256" i="52"/>
  <c r="AK11" i="32"/>
  <c r="AK28" i="32"/>
  <c r="AK80" i="32"/>
  <c r="AK81" i="32"/>
  <c r="AK82" i="32"/>
  <c r="AQ7" i="52"/>
  <c r="BP30" i="25"/>
  <c r="BP7" i="25"/>
  <c r="AQ48" i="52"/>
  <c r="AQ89" i="52"/>
  <c r="AQ8" i="52"/>
  <c r="AQ49" i="52"/>
  <c r="AQ90" i="52"/>
  <c r="AQ9" i="52"/>
  <c r="AQ50" i="52"/>
  <c r="AQ91" i="52"/>
  <c r="AQ10" i="52"/>
  <c r="AQ51" i="52"/>
  <c r="AQ92" i="52"/>
  <c r="AQ11" i="52"/>
  <c r="AQ52" i="52"/>
  <c r="AQ93" i="52"/>
  <c r="AQ12" i="52"/>
  <c r="AQ53" i="52"/>
  <c r="AQ94" i="52"/>
  <c r="AQ13" i="52"/>
  <c r="AQ54" i="52"/>
  <c r="AQ95" i="52"/>
  <c r="AQ14" i="52"/>
  <c r="AQ55" i="52"/>
  <c r="AQ96" i="52"/>
  <c r="AQ15" i="52"/>
  <c r="AQ56" i="52"/>
  <c r="AQ97" i="52"/>
  <c r="AQ16" i="52"/>
  <c r="AQ57" i="52"/>
  <c r="AQ98" i="52"/>
  <c r="AQ17" i="52"/>
  <c r="AQ58" i="52"/>
  <c r="AQ99" i="52"/>
  <c r="AQ18" i="52"/>
  <c r="AQ59" i="52"/>
  <c r="AQ100" i="52"/>
  <c r="AQ19" i="52"/>
  <c r="AQ60" i="52"/>
  <c r="AQ101" i="52"/>
  <c r="AQ20" i="52"/>
  <c r="AQ61" i="52"/>
  <c r="AQ102" i="52"/>
  <c r="AQ21" i="52"/>
  <c r="AQ62" i="52"/>
  <c r="AQ103" i="52"/>
  <c r="AQ22" i="52"/>
  <c r="AQ63" i="52"/>
  <c r="AQ104" i="52"/>
  <c r="AQ23" i="52"/>
  <c r="AQ64" i="52"/>
  <c r="AQ105" i="52"/>
  <c r="AQ24" i="52"/>
  <c r="AQ65" i="52"/>
  <c r="AQ106" i="52"/>
  <c r="AQ25" i="52"/>
  <c r="AQ66" i="52"/>
  <c r="AQ107" i="52"/>
  <c r="AQ26" i="52"/>
  <c r="AQ67" i="52"/>
  <c r="AQ108" i="52"/>
  <c r="AQ27" i="52"/>
  <c r="AQ68" i="52"/>
  <c r="AQ109" i="52"/>
  <c r="AQ28" i="52"/>
  <c r="AQ69" i="52"/>
  <c r="AQ110" i="52"/>
  <c r="AQ29" i="52"/>
  <c r="AQ70" i="52"/>
  <c r="AQ111" i="52"/>
  <c r="AQ30" i="52"/>
  <c r="AQ71" i="52"/>
  <c r="AQ112" i="52"/>
  <c r="AQ31" i="52"/>
  <c r="AQ72" i="52"/>
  <c r="AQ113" i="52"/>
  <c r="AQ32" i="52"/>
  <c r="AQ73" i="52"/>
  <c r="AQ114" i="52"/>
  <c r="AQ33" i="52"/>
  <c r="AQ74" i="52"/>
  <c r="AQ115" i="52"/>
  <c r="AQ34" i="52"/>
  <c r="AQ75" i="52"/>
  <c r="AQ116" i="52"/>
  <c r="AQ35" i="52"/>
  <c r="AQ76" i="52"/>
  <c r="AQ117" i="52"/>
  <c r="AQ36" i="52"/>
  <c r="AQ77" i="52"/>
  <c r="AQ118" i="52"/>
  <c r="AQ37" i="52"/>
  <c r="AQ78" i="52"/>
  <c r="AQ119" i="52"/>
  <c r="AQ38" i="52"/>
  <c r="AQ79" i="52"/>
  <c r="AQ120" i="52"/>
  <c r="AQ39" i="52"/>
  <c r="AQ80" i="52"/>
  <c r="AQ121" i="52"/>
  <c r="AQ40" i="52"/>
  <c r="AQ81" i="52"/>
  <c r="AQ122" i="52"/>
  <c r="AQ41" i="52"/>
  <c r="AQ82" i="52"/>
  <c r="AP41" i="52"/>
  <c r="AP82" i="52"/>
  <c r="AQ123" i="52"/>
  <c r="AQ129" i="52"/>
  <c r="AQ134" i="52"/>
  <c r="AQ175" i="52"/>
  <c r="AQ216" i="52"/>
  <c r="AQ135" i="52"/>
  <c r="AQ176" i="52"/>
  <c r="AQ217" i="52"/>
  <c r="AQ136" i="52"/>
  <c r="AQ177" i="52"/>
  <c r="AQ218" i="52"/>
  <c r="AQ137" i="52"/>
  <c r="AQ178" i="52"/>
  <c r="AQ219" i="52"/>
  <c r="AQ138" i="52"/>
  <c r="AQ179" i="52"/>
  <c r="AQ220" i="52"/>
  <c r="AQ139" i="52"/>
  <c r="AQ180" i="52"/>
  <c r="AQ221" i="52"/>
  <c r="AQ140" i="52"/>
  <c r="AQ181" i="52"/>
  <c r="AQ222" i="52"/>
  <c r="AQ141" i="52"/>
  <c r="AQ182" i="52"/>
  <c r="AQ223" i="52"/>
  <c r="AQ142" i="52"/>
  <c r="AQ183" i="52"/>
  <c r="AQ224" i="52"/>
  <c r="AQ143" i="52"/>
  <c r="AQ184" i="52"/>
  <c r="AQ225" i="52"/>
  <c r="AQ144" i="52"/>
  <c r="AQ185" i="52"/>
  <c r="AQ226" i="52"/>
  <c r="AQ145" i="52"/>
  <c r="AQ186" i="52"/>
  <c r="AQ227" i="52"/>
  <c r="AQ146" i="52"/>
  <c r="AQ187" i="52"/>
  <c r="AQ228" i="52"/>
  <c r="AQ147" i="52"/>
  <c r="AQ188" i="52"/>
  <c r="AQ229" i="52"/>
  <c r="AQ148" i="52"/>
  <c r="AQ189" i="52"/>
  <c r="AQ230" i="52"/>
  <c r="AQ149" i="52"/>
  <c r="AQ190" i="52"/>
  <c r="AQ231" i="52"/>
  <c r="AQ150" i="52"/>
  <c r="AQ191" i="52"/>
  <c r="AQ232" i="52"/>
  <c r="AQ151" i="52"/>
  <c r="AQ192" i="52"/>
  <c r="AQ233" i="52"/>
  <c r="AQ152" i="52"/>
  <c r="AQ193" i="52"/>
  <c r="AQ234" i="52"/>
  <c r="AQ153" i="52"/>
  <c r="AQ194" i="52"/>
  <c r="AQ235" i="52"/>
  <c r="AQ154" i="52"/>
  <c r="AQ195" i="52"/>
  <c r="AQ236" i="52"/>
  <c r="AQ155" i="52"/>
  <c r="AQ196" i="52"/>
  <c r="AQ237" i="52"/>
  <c r="AQ156" i="52"/>
  <c r="AQ197" i="52"/>
  <c r="AQ238" i="52"/>
  <c r="AQ157" i="52"/>
  <c r="AQ198" i="52"/>
  <c r="AQ239" i="52"/>
  <c r="AQ158" i="52"/>
  <c r="AQ199" i="52"/>
  <c r="AQ240" i="52"/>
  <c r="AQ159" i="52"/>
  <c r="AQ200" i="52"/>
  <c r="AQ241" i="52"/>
  <c r="AQ160" i="52"/>
  <c r="AQ201" i="52"/>
  <c r="AQ242" i="52"/>
  <c r="AQ161" i="52"/>
  <c r="AQ202" i="52"/>
  <c r="AQ243" i="52"/>
  <c r="AQ162" i="52"/>
  <c r="AQ203" i="52"/>
  <c r="AQ244" i="52"/>
  <c r="AQ163" i="52"/>
  <c r="AQ204" i="52"/>
  <c r="AQ245" i="52"/>
  <c r="AQ164" i="52"/>
  <c r="AQ205" i="52"/>
  <c r="AQ246" i="52"/>
  <c r="AQ165" i="52"/>
  <c r="AQ206" i="52"/>
  <c r="AQ247" i="52"/>
  <c r="AQ166" i="52"/>
  <c r="AQ207" i="52"/>
  <c r="AQ248" i="52"/>
  <c r="AQ167" i="52"/>
  <c r="AQ208" i="52"/>
  <c r="AQ249" i="52"/>
  <c r="AQ168" i="52"/>
  <c r="AQ209" i="52"/>
  <c r="AP168" i="52"/>
  <c r="AP209" i="52"/>
  <c r="AQ250" i="52"/>
  <c r="AQ256" i="52"/>
  <c r="AL11" i="32"/>
  <c r="AL28" i="32"/>
  <c r="AL80" i="32"/>
  <c r="AL81" i="32"/>
  <c r="AL82" i="32"/>
  <c r="AR7" i="52"/>
  <c r="BQ30" i="25"/>
  <c r="BQ7" i="25"/>
  <c r="AR48" i="52"/>
  <c r="AR89" i="52"/>
  <c r="AR8" i="52"/>
  <c r="AR49" i="52"/>
  <c r="AR90" i="52"/>
  <c r="AR9" i="52"/>
  <c r="AR50" i="52"/>
  <c r="AR91" i="52"/>
  <c r="AR10" i="52"/>
  <c r="AR51" i="52"/>
  <c r="AR92" i="52"/>
  <c r="AR11" i="52"/>
  <c r="AR52" i="52"/>
  <c r="AR93" i="52"/>
  <c r="AR12" i="52"/>
  <c r="AR53" i="52"/>
  <c r="AR94" i="52"/>
  <c r="AR13" i="52"/>
  <c r="AR54" i="52"/>
  <c r="AR95" i="52"/>
  <c r="AR14" i="52"/>
  <c r="AR55" i="52"/>
  <c r="AR96" i="52"/>
  <c r="AR15" i="52"/>
  <c r="AR56" i="52"/>
  <c r="AR97" i="52"/>
  <c r="AR16" i="52"/>
  <c r="AR57" i="52"/>
  <c r="AR98" i="52"/>
  <c r="AR17" i="52"/>
  <c r="AR58" i="52"/>
  <c r="AR99" i="52"/>
  <c r="AR18" i="52"/>
  <c r="AR59" i="52"/>
  <c r="AR100" i="52"/>
  <c r="AR19" i="52"/>
  <c r="AR60" i="52"/>
  <c r="AR101" i="52"/>
  <c r="AR20" i="52"/>
  <c r="AR61" i="52"/>
  <c r="AR102" i="52"/>
  <c r="AR21" i="52"/>
  <c r="AR62" i="52"/>
  <c r="AR103" i="52"/>
  <c r="AR22" i="52"/>
  <c r="AR63" i="52"/>
  <c r="AR104" i="52"/>
  <c r="AR23" i="52"/>
  <c r="AR64" i="52"/>
  <c r="AR105" i="52"/>
  <c r="AR24" i="52"/>
  <c r="AR65" i="52"/>
  <c r="AR106" i="52"/>
  <c r="AR25" i="52"/>
  <c r="AR66" i="52"/>
  <c r="AR107" i="52"/>
  <c r="AR26" i="52"/>
  <c r="AR67" i="52"/>
  <c r="AR108" i="52"/>
  <c r="AR27" i="52"/>
  <c r="AR68" i="52"/>
  <c r="AR109" i="52"/>
  <c r="AR28" i="52"/>
  <c r="AR69" i="52"/>
  <c r="AR110" i="52"/>
  <c r="AR29" i="52"/>
  <c r="AR70" i="52"/>
  <c r="AR111" i="52"/>
  <c r="AR30" i="52"/>
  <c r="AR71" i="52"/>
  <c r="AR112" i="52"/>
  <c r="AR31" i="52"/>
  <c r="AR72" i="52"/>
  <c r="AR113" i="52"/>
  <c r="AR32" i="52"/>
  <c r="AR73" i="52"/>
  <c r="AR114" i="52"/>
  <c r="AR33" i="52"/>
  <c r="AR74" i="52"/>
  <c r="AR115" i="52"/>
  <c r="AR34" i="52"/>
  <c r="AR75" i="52"/>
  <c r="AR116" i="52"/>
  <c r="AR35" i="52"/>
  <c r="AR76" i="52"/>
  <c r="AR117" i="52"/>
  <c r="AR36" i="52"/>
  <c r="AR77" i="52"/>
  <c r="AR118" i="52"/>
  <c r="AR37" i="52"/>
  <c r="AR78" i="52"/>
  <c r="AR119" i="52"/>
  <c r="AR38" i="52"/>
  <c r="AR79" i="52"/>
  <c r="AR120" i="52"/>
  <c r="AR39" i="52"/>
  <c r="AR80" i="52"/>
  <c r="AR121" i="52"/>
  <c r="AR40" i="52"/>
  <c r="AR81" i="52"/>
  <c r="AR122" i="52"/>
  <c r="AR41" i="52"/>
  <c r="AR82" i="52"/>
  <c r="AR123" i="52"/>
  <c r="AR42" i="52"/>
  <c r="AR83" i="52"/>
  <c r="AQ42" i="52"/>
  <c r="AQ83" i="52"/>
  <c r="AR124" i="52"/>
  <c r="AR129" i="52"/>
  <c r="AR134" i="52"/>
  <c r="AR175" i="52"/>
  <c r="AR216" i="52"/>
  <c r="AR135" i="52"/>
  <c r="AR176" i="52"/>
  <c r="AR217" i="52"/>
  <c r="AR136" i="52"/>
  <c r="AR177" i="52"/>
  <c r="AR218" i="52"/>
  <c r="AR137" i="52"/>
  <c r="AR178" i="52"/>
  <c r="AR219" i="52"/>
  <c r="AR138" i="52"/>
  <c r="AR179" i="52"/>
  <c r="AR220" i="52"/>
  <c r="AR139" i="52"/>
  <c r="AR180" i="52"/>
  <c r="AR221" i="52"/>
  <c r="AR140" i="52"/>
  <c r="AR181" i="52"/>
  <c r="AR222" i="52"/>
  <c r="AR141" i="52"/>
  <c r="AR182" i="52"/>
  <c r="AR223" i="52"/>
  <c r="AR142" i="52"/>
  <c r="AR183" i="52"/>
  <c r="AR224" i="52"/>
  <c r="AR143" i="52"/>
  <c r="AR184" i="52"/>
  <c r="AR225" i="52"/>
  <c r="AR144" i="52"/>
  <c r="AR185" i="52"/>
  <c r="AR226" i="52"/>
  <c r="AR145" i="52"/>
  <c r="AR186" i="52"/>
  <c r="AR227" i="52"/>
  <c r="AR146" i="52"/>
  <c r="AR187" i="52"/>
  <c r="AR228" i="52"/>
  <c r="AR147" i="52"/>
  <c r="AR188" i="52"/>
  <c r="AR229" i="52"/>
  <c r="AR148" i="52"/>
  <c r="AR189" i="52"/>
  <c r="AR230" i="52"/>
  <c r="AR149" i="52"/>
  <c r="AR190" i="52"/>
  <c r="AR231" i="52"/>
  <c r="AR150" i="52"/>
  <c r="AR191" i="52"/>
  <c r="AR232" i="52"/>
  <c r="AR151" i="52"/>
  <c r="AR192" i="52"/>
  <c r="AR233" i="52"/>
  <c r="AR152" i="52"/>
  <c r="AR193" i="52"/>
  <c r="AR234" i="52"/>
  <c r="AR153" i="52"/>
  <c r="AR194" i="52"/>
  <c r="AR235" i="52"/>
  <c r="AR154" i="52"/>
  <c r="AR195" i="52"/>
  <c r="AR236" i="52"/>
  <c r="AR155" i="52"/>
  <c r="AR196" i="52"/>
  <c r="AR237" i="52"/>
  <c r="AR156" i="52"/>
  <c r="AR197" i="52"/>
  <c r="AR238" i="52"/>
  <c r="AR157" i="52"/>
  <c r="AR198" i="52"/>
  <c r="AR239" i="52"/>
  <c r="AR158" i="52"/>
  <c r="AR199" i="52"/>
  <c r="AR240" i="52"/>
  <c r="AR159" i="52"/>
  <c r="AR200" i="52"/>
  <c r="AR241" i="52"/>
  <c r="AR160" i="52"/>
  <c r="AR201" i="52"/>
  <c r="AR242" i="52"/>
  <c r="AR161" i="52"/>
  <c r="AR202" i="52"/>
  <c r="AR243" i="52"/>
  <c r="AR162" i="52"/>
  <c r="AR203" i="52"/>
  <c r="AR244" i="52"/>
  <c r="AR163" i="52"/>
  <c r="AR204" i="52"/>
  <c r="AR245" i="52"/>
  <c r="AR164" i="52"/>
  <c r="AR205" i="52"/>
  <c r="AR246" i="52"/>
  <c r="AR165" i="52"/>
  <c r="AR206" i="52"/>
  <c r="AR247" i="52"/>
  <c r="AR166" i="52"/>
  <c r="AR207" i="52"/>
  <c r="AR248" i="52"/>
  <c r="AR167" i="52"/>
  <c r="AR208" i="52"/>
  <c r="AR249" i="52"/>
  <c r="AR168" i="52"/>
  <c r="AR209" i="52"/>
  <c r="AR250" i="52"/>
  <c r="AR169" i="52"/>
  <c r="AR210" i="52"/>
  <c r="AQ169" i="52"/>
  <c r="AQ210" i="52"/>
  <c r="AR251" i="52"/>
  <c r="AR256" i="52"/>
  <c r="AM11" i="32"/>
  <c r="AM28" i="32"/>
  <c r="AM80" i="32"/>
  <c r="AM81" i="32"/>
  <c r="AM82" i="32"/>
  <c r="AS7" i="52"/>
  <c r="BR30" i="25"/>
  <c r="BR7" i="25"/>
  <c r="AS48" i="52"/>
  <c r="AS89" i="52"/>
  <c r="AS8" i="52"/>
  <c r="AS49" i="52"/>
  <c r="AS90" i="52"/>
  <c r="AS9" i="52"/>
  <c r="AS50" i="52"/>
  <c r="AS91" i="52"/>
  <c r="AS10" i="52"/>
  <c r="AS51" i="52"/>
  <c r="AS92" i="52"/>
  <c r="AS11" i="52"/>
  <c r="AS52" i="52"/>
  <c r="AS93" i="52"/>
  <c r="AS12" i="52"/>
  <c r="AS53" i="52"/>
  <c r="AS94" i="52"/>
  <c r="AS13" i="52"/>
  <c r="AS54" i="52"/>
  <c r="AS95" i="52"/>
  <c r="AS14" i="52"/>
  <c r="AS55" i="52"/>
  <c r="AS96" i="52"/>
  <c r="AS15" i="52"/>
  <c r="AS56" i="52"/>
  <c r="AS97" i="52"/>
  <c r="AS16" i="52"/>
  <c r="AS57" i="52"/>
  <c r="AS98" i="52"/>
  <c r="AS17" i="52"/>
  <c r="AS58" i="52"/>
  <c r="AS99" i="52"/>
  <c r="AS18" i="52"/>
  <c r="AS59" i="52"/>
  <c r="AS100" i="52"/>
  <c r="AS19" i="52"/>
  <c r="AS60" i="52"/>
  <c r="AS101" i="52"/>
  <c r="AS20" i="52"/>
  <c r="AS61" i="52"/>
  <c r="AS102" i="52"/>
  <c r="AS21" i="52"/>
  <c r="AS62" i="52"/>
  <c r="AS103" i="52"/>
  <c r="AS22" i="52"/>
  <c r="AS63" i="52"/>
  <c r="AS104" i="52"/>
  <c r="AS23" i="52"/>
  <c r="AS64" i="52"/>
  <c r="AS105" i="52"/>
  <c r="AS24" i="52"/>
  <c r="AS65" i="52"/>
  <c r="AS106" i="52"/>
  <c r="AS25" i="52"/>
  <c r="AS66" i="52"/>
  <c r="AS107" i="52"/>
  <c r="AS26" i="52"/>
  <c r="AS67" i="52"/>
  <c r="AS108" i="52"/>
  <c r="AS27" i="52"/>
  <c r="AS68" i="52"/>
  <c r="AS109" i="52"/>
  <c r="AS28" i="52"/>
  <c r="AS69" i="52"/>
  <c r="AS110" i="52"/>
  <c r="AS29" i="52"/>
  <c r="AS70" i="52"/>
  <c r="AS111" i="52"/>
  <c r="AS30" i="52"/>
  <c r="AS71" i="52"/>
  <c r="AS112" i="52"/>
  <c r="AS31" i="52"/>
  <c r="AS72" i="52"/>
  <c r="AS113" i="52"/>
  <c r="AS32" i="52"/>
  <c r="AS73" i="52"/>
  <c r="AS114" i="52"/>
  <c r="AS33" i="52"/>
  <c r="AS74" i="52"/>
  <c r="AS115" i="52"/>
  <c r="AS34" i="52"/>
  <c r="AS75" i="52"/>
  <c r="AS116" i="52"/>
  <c r="AS35" i="52"/>
  <c r="AS76" i="52"/>
  <c r="AS117" i="52"/>
  <c r="AS36" i="52"/>
  <c r="AS77" i="52"/>
  <c r="AS118" i="52"/>
  <c r="AS37" i="52"/>
  <c r="AS78" i="52"/>
  <c r="AS119" i="52"/>
  <c r="AS38" i="52"/>
  <c r="AS79" i="52"/>
  <c r="AS120" i="52"/>
  <c r="AS39" i="52"/>
  <c r="AS80" i="52"/>
  <c r="AS121" i="52"/>
  <c r="AS40" i="52"/>
  <c r="AS81" i="52"/>
  <c r="AS122" i="52"/>
  <c r="AS41" i="52"/>
  <c r="AS82" i="52"/>
  <c r="AS123" i="52"/>
  <c r="AS42" i="52"/>
  <c r="AS83" i="52"/>
  <c r="AS124" i="52"/>
  <c r="AS43" i="52"/>
  <c r="AS84" i="52"/>
  <c r="AR43" i="52"/>
  <c r="AR84" i="52"/>
  <c r="AS125" i="52"/>
  <c r="AS129" i="52"/>
  <c r="AS134" i="52"/>
  <c r="AS175" i="52"/>
  <c r="AS216" i="52"/>
  <c r="AS135" i="52"/>
  <c r="AS176" i="52"/>
  <c r="AS217" i="52"/>
  <c r="AS136" i="52"/>
  <c r="AS177" i="52"/>
  <c r="AS218" i="52"/>
  <c r="AS137" i="52"/>
  <c r="AS178" i="52"/>
  <c r="AS219" i="52"/>
  <c r="AS138" i="52"/>
  <c r="AS179" i="52"/>
  <c r="AS220" i="52"/>
  <c r="AS139" i="52"/>
  <c r="AS180" i="52"/>
  <c r="AS221" i="52"/>
  <c r="AS140" i="52"/>
  <c r="AS181" i="52"/>
  <c r="AS222" i="52"/>
  <c r="AS141" i="52"/>
  <c r="AS182" i="52"/>
  <c r="AS223" i="52"/>
  <c r="AS142" i="52"/>
  <c r="AS183" i="52"/>
  <c r="AS224" i="52"/>
  <c r="AS143" i="52"/>
  <c r="AS184" i="52"/>
  <c r="AS225" i="52"/>
  <c r="AS144" i="52"/>
  <c r="AS185" i="52"/>
  <c r="AS226" i="52"/>
  <c r="AS145" i="52"/>
  <c r="AS186" i="52"/>
  <c r="AS227" i="52"/>
  <c r="AS146" i="52"/>
  <c r="AS187" i="52"/>
  <c r="AS228" i="52"/>
  <c r="AS147" i="52"/>
  <c r="AS188" i="52"/>
  <c r="AS229" i="52"/>
  <c r="AS148" i="52"/>
  <c r="AS189" i="52"/>
  <c r="AS230" i="52"/>
  <c r="AS149" i="52"/>
  <c r="AS190" i="52"/>
  <c r="AS231" i="52"/>
  <c r="AS150" i="52"/>
  <c r="AS191" i="52"/>
  <c r="AS232" i="52"/>
  <c r="AS151" i="52"/>
  <c r="AS192" i="52"/>
  <c r="AS233" i="52"/>
  <c r="AS152" i="52"/>
  <c r="AS193" i="52"/>
  <c r="AS234" i="52"/>
  <c r="AS153" i="52"/>
  <c r="AS194" i="52"/>
  <c r="AS235" i="52"/>
  <c r="AS154" i="52"/>
  <c r="AS195" i="52"/>
  <c r="AS236" i="52"/>
  <c r="AS155" i="52"/>
  <c r="AS196" i="52"/>
  <c r="AS237" i="52"/>
  <c r="AS156" i="52"/>
  <c r="AS197" i="52"/>
  <c r="AS238" i="52"/>
  <c r="AS157" i="52"/>
  <c r="AS198" i="52"/>
  <c r="AS239" i="52"/>
  <c r="AS158" i="52"/>
  <c r="AS199" i="52"/>
  <c r="AS240" i="52"/>
  <c r="AS159" i="52"/>
  <c r="AS200" i="52"/>
  <c r="AS241" i="52"/>
  <c r="AS160" i="52"/>
  <c r="AS201" i="52"/>
  <c r="AS242" i="52"/>
  <c r="AS161" i="52"/>
  <c r="AS202" i="52"/>
  <c r="AS243" i="52"/>
  <c r="AS162" i="52"/>
  <c r="AS203" i="52"/>
  <c r="AS244" i="52"/>
  <c r="AS163" i="52"/>
  <c r="AS204" i="52"/>
  <c r="AS245" i="52"/>
  <c r="AS164" i="52"/>
  <c r="AS205" i="52"/>
  <c r="AS246" i="52"/>
  <c r="AS165" i="52"/>
  <c r="AS206" i="52"/>
  <c r="AS247" i="52"/>
  <c r="AS166" i="52"/>
  <c r="AS207" i="52"/>
  <c r="AS248" i="52"/>
  <c r="AS167" i="52"/>
  <c r="AS208" i="52"/>
  <c r="AS249" i="52"/>
  <c r="AS168" i="52"/>
  <c r="AS209" i="52"/>
  <c r="AS250" i="52"/>
  <c r="AS169" i="52"/>
  <c r="AS210" i="52"/>
  <c r="AS251" i="52"/>
  <c r="AS170" i="52"/>
  <c r="AS211" i="52"/>
  <c r="AR170" i="52"/>
  <c r="AR211" i="52"/>
  <c r="AS252" i="52"/>
  <c r="AS256" i="52"/>
  <c r="AN11" i="32"/>
  <c r="AN28" i="32"/>
  <c r="AN80" i="32"/>
  <c r="AN81" i="32"/>
  <c r="AN82" i="32"/>
  <c r="AT7" i="52"/>
  <c r="BS30" i="25"/>
  <c r="BS7" i="25"/>
  <c r="AT48" i="52"/>
  <c r="AT89" i="52"/>
  <c r="AT8" i="52"/>
  <c r="AT49" i="52"/>
  <c r="AT90" i="52"/>
  <c r="AT9" i="52"/>
  <c r="AT50" i="52"/>
  <c r="AT91" i="52"/>
  <c r="AT10" i="52"/>
  <c r="AT51" i="52"/>
  <c r="AT92" i="52"/>
  <c r="AT11" i="52"/>
  <c r="AT52" i="52"/>
  <c r="AT93" i="52"/>
  <c r="AT12" i="52"/>
  <c r="AT53" i="52"/>
  <c r="AT94" i="52"/>
  <c r="AT13" i="52"/>
  <c r="AT54" i="52"/>
  <c r="AT95" i="52"/>
  <c r="AT14" i="52"/>
  <c r="AT55" i="52"/>
  <c r="AT96" i="52"/>
  <c r="AT15" i="52"/>
  <c r="AT56" i="52"/>
  <c r="AT97" i="52"/>
  <c r="AT16" i="52"/>
  <c r="AT57" i="52"/>
  <c r="AT98" i="52"/>
  <c r="AT17" i="52"/>
  <c r="AT58" i="52"/>
  <c r="AT99" i="52"/>
  <c r="AT18" i="52"/>
  <c r="AT59" i="52"/>
  <c r="AT100" i="52"/>
  <c r="AT19" i="52"/>
  <c r="AT60" i="52"/>
  <c r="AT101" i="52"/>
  <c r="AT20" i="52"/>
  <c r="AT61" i="52"/>
  <c r="AT102" i="52"/>
  <c r="AT21" i="52"/>
  <c r="AT62" i="52"/>
  <c r="AT103" i="52"/>
  <c r="AT22" i="52"/>
  <c r="AT63" i="52"/>
  <c r="AT104" i="52"/>
  <c r="AT23" i="52"/>
  <c r="AT64" i="52"/>
  <c r="AT105" i="52"/>
  <c r="AT24" i="52"/>
  <c r="AT65" i="52"/>
  <c r="AT106" i="52"/>
  <c r="AT25" i="52"/>
  <c r="AT66" i="52"/>
  <c r="AT107" i="52"/>
  <c r="AT26" i="52"/>
  <c r="AT67" i="52"/>
  <c r="AT108" i="52"/>
  <c r="AT27" i="52"/>
  <c r="AT68" i="52"/>
  <c r="AT109" i="52"/>
  <c r="AT28" i="52"/>
  <c r="AT69" i="52"/>
  <c r="AT110" i="52"/>
  <c r="AT29" i="52"/>
  <c r="AT70" i="52"/>
  <c r="AT111" i="52"/>
  <c r="AT30" i="52"/>
  <c r="AT71" i="52"/>
  <c r="AT112" i="52"/>
  <c r="AT31" i="52"/>
  <c r="AT72" i="52"/>
  <c r="AT113" i="52"/>
  <c r="AT32" i="52"/>
  <c r="AT73" i="52"/>
  <c r="AT114" i="52"/>
  <c r="AT33" i="52"/>
  <c r="AT74" i="52"/>
  <c r="AT115" i="52"/>
  <c r="AT34" i="52"/>
  <c r="AT75" i="52"/>
  <c r="AT116" i="52"/>
  <c r="AT35" i="52"/>
  <c r="AT76" i="52"/>
  <c r="AT117" i="52"/>
  <c r="AT36" i="52"/>
  <c r="AT77" i="52"/>
  <c r="AT118" i="52"/>
  <c r="AT37" i="52"/>
  <c r="AT78" i="52"/>
  <c r="AT119" i="52"/>
  <c r="AT38" i="52"/>
  <c r="AT79" i="52"/>
  <c r="AT120" i="52"/>
  <c r="AT39" i="52"/>
  <c r="AT80" i="52"/>
  <c r="AT121" i="52"/>
  <c r="AT40" i="52"/>
  <c r="AT81" i="52"/>
  <c r="AT122" i="52"/>
  <c r="AT41" i="52"/>
  <c r="AT82" i="52"/>
  <c r="AT123" i="52"/>
  <c r="AT42" i="52"/>
  <c r="AT83" i="52"/>
  <c r="AT124" i="52"/>
  <c r="AT43" i="52"/>
  <c r="AT84" i="52"/>
  <c r="AT125" i="52"/>
  <c r="AT44" i="52"/>
  <c r="AT85" i="52"/>
  <c r="AS44" i="52"/>
  <c r="AS85" i="52"/>
  <c r="AT126" i="52"/>
  <c r="AT129" i="52"/>
  <c r="AT134" i="52"/>
  <c r="AT175" i="52"/>
  <c r="AT216" i="52"/>
  <c r="AT135" i="52"/>
  <c r="AT176" i="52"/>
  <c r="AT217" i="52"/>
  <c r="AT136" i="52"/>
  <c r="AT177" i="52"/>
  <c r="AT218" i="52"/>
  <c r="AT137" i="52"/>
  <c r="AT178" i="52"/>
  <c r="AT219" i="52"/>
  <c r="AT138" i="52"/>
  <c r="AT179" i="52"/>
  <c r="AT220" i="52"/>
  <c r="AT139" i="52"/>
  <c r="AT180" i="52"/>
  <c r="AT221" i="52"/>
  <c r="AT140" i="52"/>
  <c r="AT181" i="52"/>
  <c r="AT222" i="52"/>
  <c r="AT141" i="52"/>
  <c r="AT182" i="52"/>
  <c r="AT223" i="52"/>
  <c r="AT142" i="52"/>
  <c r="AT183" i="52"/>
  <c r="AT224" i="52"/>
  <c r="AT143" i="52"/>
  <c r="AT184" i="52"/>
  <c r="AT225" i="52"/>
  <c r="AT144" i="52"/>
  <c r="AT185" i="52"/>
  <c r="AT226" i="52"/>
  <c r="AT145" i="52"/>
  <c r="AT186" i="52"/>
  <c r="AT227" i="52"/>
  <c r="AT146" i="52"/>
  <c r="AT187" i="52"/>
  <c r="AT228" i="52"/>
  <c r="AT147" i="52"/>
  <c r="AT188" i="52"/>
  <c r="AT229" i="52"/>
  <c r="AT148" i="52"/>
  <c r="AT189" i="52"/>
  <c r="AT230" i="52"/>
  <c r="AT149" i="52"/>
  <c r="AT190" i="52"/>
  <c r="AT231" i="52"/>
  <c r="AT150" i="52"/>
  <c r="AT191" i="52"/>
  <c r="AT232" i="52"/>
  <c r="AT151" i="52"/>
  <c r="AT192" i="52"/>
  <c r="AT233" i="52"/>
  <c r="AT152" i="52"/>
  <c r="AT193" i="52"/>
  <c r="AT234" i="52"/>
  <c r="AT153" i="52"/>
  <c r="AT194" i="52"/>
  <c r="AT235" i="52"/>
  <c r="AT154" i="52"/>
  <c r="AT195" i="52"/>
  <c r="AT236" i="52"/>
  <c r="AT155" i="52"/>
  <c r="AT196" i="52"/>
  <c r="AT237" i="52"/>
  <c r="AT156" i="52"/>
  <c r="AT197" i="52"/>
  <c r="AT238" i="52"/>
  <c r="AT157" i="52"/>
  <c r="AT198" i="52"/>
  <c r="AT239" i="52"/>
  <c r="AT158" i="52"/>
  <c r="AT199" i="52"/>
  <c r="AT240" i="52"/>
  <c r="AT159" i="52"/>
  <c r="AT200" i="52"/>
  <c r="AT241" i="52"/>
  <c r="AT160" i="52"/>
  <c r="AT201" i="52"/>
  <c r="AT242" i="52"/>
  <c r="AT161" i="52"/>
  <c r="AT202" i="52"/>
  <c r="AT243" i="52"/>
  <c r="AT162" i="52"/>
  <c r="AT203" i="52"/>
  <c r="AT244" i="52"/>
  <c r="AT163" i="52"/>
  <c r="AT204" i="52"/>
  <c r="AT245" i="52"/>
  <c r="AT164" i="52"/>
  <c r="AT205" i="52"/>
  <c r="AT246" i="52"/>
  <c r="AT165" i="52"/>
  <c r="AT206" i="52"/>
  <c r="AT247" i="52"/>
  <c r="AT166" i="52"/>
  <c r="AT207" i="52"/>
  <c r="AT248" i="52"/>
  <c r="AT167" i="52"/>
  <c r="AT208" i="52"/>
  <c r="AT249" i="52"/>
  <c r="AT168" i="52"/>
  <c r="AT209" i="52"/>
  <c r="AT250" i="52"/>
  <c r="AT169" i="52"/>
  <c r="AT210" i="52"/>
  <c r="AT251" i="52"/>
  <c r="AT170" i="52"/>
  <c r="AT211" i="52"/>
  <c r="AT252" i="52"/>
  <c r="AT171" i="52"/>
  <c r="AT212" i="52"/>
  <c r="AS171" i="52"/>
  <c r="AS212" i="52"/>
  <c r="AT253" i="52"/>
  <c r="AT256" i="52"/>
  <c r="AO11" i="32"/>
  <c r="AO28" i="32"/>
  <c r="AO80" i="32"/>
  <c r="AO81" i="32"/>
  <c r="AO82" i="32"/>
  <c r="AU7" i="52"/>
  <c r="BT30" i="25"/>
  <c r="BT7" i="25"/>
  <c r="AU48" i="52"/>
  <c r="AU89" i="52"/>
  <c r="AU8" i="52"/>
  <c r="AU49" i="52"/>
  <c r="AU90" i="52"/>
  <c r="AU9" i="52"/>
  <c r="AU50" i="52"/>
  <c r="AU91" i="52"/>
  <c r="AU10" i="52"/>
  <c r="AU51" i="52"/>
  <c r="AU92" i="52"/>
  <c r="AU11" i="52"/>
  <c r="AU52" i="52"/>
  <c r="AU93" i="52"/>
  <c r="AU12" i="52"/>
  <c r="AU53" i="52"/>
  <c r="AU94" i="52"/>
  <c r="AU13" i="52"/>
  <c r="AU54" i="52"/>
  <c r="AU95" i="52"/>
  <c r="AU14" i="52"/>
  <c r="AU55" i="52"/>
  <c r="AU96" i="52"/>
  <c r="AU15" i="52"/>
  <c r="AU56" i="52"/>
  <c r="AU97" i="52"/>
  <c r="AU16" i="52"/>
  <c r="AU57" i="52"/>
  <c r="AU98" i="52"/>
  <c r="AU17" i="52"/>
  <c r="AU58" i="52"/>
  <c r="AU99" i="52"/>
  <c r="AU18" i="52"/>
  <c r="AU59" i="52"/>
  <c r="AU100" i="52"/>
  <c r="AU19" i="52"/>
  <c r="AU60" i="52"/>
  <c r="AU101" i="52"/>
  <c r="AU20" i="52"/>
  <c r="AU61" i="52"/>
  <c r="AU102" i="52"/>
  <c r="AU21" i="52"/>
  <c r="AU62" i="52"/>
  <c r="AU103" i="52"/>
  <c r="AU22" i="52"/>
  <c r="AU63" i="52"/>
  <c r="AU104" i="52"/>
  <c r="AU23" i="52"/>
  <c r="AU64" i="52"/>
  <c r="AU105" i="52"/>
  <c r="AU24" i="52"/>
  <c r="AU65" i="52"/>
  <c r="AU106" i="52"/>
  <c r="AU25" i="52"/>
  <c r="AU66" i="52"/>
  <c r="AU107" i="52"/>
  <c r="AU26" i="52"/>
  <c r="AU67" i="52"/>
  <c r="AU108" i="52"/>
  <c r="AU27" i="52"/>
  <c r="AU68" i="52"/>
  <c r="AU109" i="52"/>
  <c r="AU28" i="52"/>
  <c r="AU69" i="52"/>
  <c r="AU110" i="52"/>
  <c r="AU29" i="52"/>
  <c r="AU70" i="52"/>
  <c r="AU111" i="52"/>
  <c r="AU30" i="52"/>
  <c r="AU71" i="52"/>
  <c r="AU112" i="52"/>
  <c r="AU31" i="52"/>
  <c r="AU72" i="52"/>
  <c r="AU113" i="52"/>
  <c r="AU32" i="52"/>
  <c r="AU73" i="52"/>
  <c r="AU114" i="52"/>
  <c r="AU33" i="52"/>
  <c r="AU74" i="52"/>
  <c r="AU115" i="52"/>
  <c r="AU34" i="52"/>
  <c r="AU75" i="52"/>
  <c r="AU116" i="52"/>
  <c r="AU35" i="52"/>
  <c r="AU76" i="52"/>
  <c r="AU117" i="52"/>
  <c r="AU36" i="52"/>
  <c r="AU77" i="52"/>
  <c r="AU118" i="52"/>
  <c r="AU37" i="52"/>
  <c r="AU78" i="52"/>
  <c r="AU119" i="52"/>
  <c r="AU38" i="52"/>
  <c r="AU79" i="52"/>
  <c r="AU120" i="52"/>
  <c r="AU39" i="52"/>
  <c r="AU80" i="52"/>
  <c r="AU121" i="52"/>
  <c r="AU40" i="52"/>
  <c r="AU81" i="52"/>
  <c r="AU122" i="52"/>
  <c r="AU41" i="52"/>
  <c r="AU82" i="52"/>
  <c r="AU123" i="52"/>
  <c r="AU42" i="52"/>
  <c r="AU83" i="52"/>
  <c r="AU124" i="52"/>
  <c r="AU43" i="52"/>
  <c r="AU84" i="52"/>
  <c r="AU125" i="52"/>
  <c r="AU44" i="52"/>
  <c r="AU85" i="52"/>
  <c r="AU126" i="52"/>
  <c r="AU45" i="52"/>
  <c r="AU86" i="52"/>
  <c r="AT45" i="52"/>
  <c r="AT86" i="52"/>
  <c r="AU127" i="52"/>
  <c r="AU129" i="52"/>
  <c r="AU134" i="52"/>
  <c r="AU175" i="52"/>
  <c r="AU216" i="52"/>
  <c r="AU135" i="52"/>
  <c r="AU176" i="52"/>
  <c r="AU217" i="52"/>
  <c r="AU136" i="52"/>
  <c r="AU177" i="52"/>
  <c r="AU218" i="52"/>
  <c r="AU137" i="52"/>
  <c r="AU178" i="52"/>
  <c r="AU219" i="52"/>
  <c r="AU138" i="52"/>
  <c r="AU179" i="52"/>
  <c r="AU220" i="52"/>
  <c r="AU139" i="52"/>
  <c r="AU180" i="52"/>
  <c r="AU221" i="52"/>
  <c r="AU140" i="52"/>
  <c r="AU181" i="52"/>
  <c r="AU222" i="52"/>
  <c r="AU141" i="52"/>
  <c r="AU182" i="52"/>
  <c r="AU223" i="52"/>
  <c r="AU142" i="52"/>
  <c r="AU183" i="52"/>
  <c r="AU224" i="52"/>
  <c r="AU143" i="52"/>
  <c r="AU184" i="52"/>
  <c r="AU225" i="52"/>
  <c r="AU144" i="52"/>
  <c r="AU185" i="52"/>
  <c r="AU226" i="52"/>
  <c r="AU145" i="52"/>
  <c r="AU186" i="52"/>
  <c r="AU227" i="52"/>
  <c r="AU146" i="52"/>
  <c r="AU187" i="52"/>
  <c r="AU228" i="52"/>
  <c r="AU147" i="52"/>
  <c r="AU188" i="52"/>
  <c r="AU229" i="52"/>
  <c r="AU148" i="52"/>
  <c r="AU189" i="52"/>
  <c r="AU230" i="52"/>
  <c r="AU149" i="52"/>
  <c r="AU190" i="52"/>
  <c r="AU231" i="52"/>
  <c r="AU150" i="52"/>
  <c r="AU191" i="52"/>
  <c r="AU232" i="52"/>
  <c r="AU151" i="52"/>
  <c r="AU192" i="52"/>
  <c r="AU233" i="52"/>
  <c r="AU152" i="52"/>
  <c r="AU193" i="52"/>
  <c r="AU234" i="52"/>
  <c r="AU153" i="52"/>
  <c r="AU194" i="52"/>
  <c r="AU235" i="52"/>
  <c r="AU154" i="52"/>
  <c r="AU195" i="52"/>
  <c r="AU236" i="52"/>
  <c r="AU155" i="52"/>
  <c r="AU196" i="52"/>
  <c r="AU237" i="52"/>
  <c r="AU156" i="52"/>
  <c r="AU197" i="52"/>
  <c r="AU238" i="52"/>
  <c r="AU157" i="52"/>
  <c r="AU198" i="52"/>
  <c r="AU239" i="52"/>
  <c r="AU158" i="52"/>
  <c r="AU199" i="52"/>
  <c r="AU240" i="52"/>
  <c r="AU159" i="52"/>
  <c r="AU200" i="52"/>
  <c r="AU241" i="52"/>
  <c r="AU160" i="52"/>
  <c r="AU201" i="52"/>
  <c r="AU242" i="52"/>
  <c r="AU161" i="52"/>
  <c r="AU202" i="52"/>
  <c r="AU243" i="52"/>
  <c r="AU162" i="52"/>
  <c r="AU203" i="52"/>
  <c r="AU244" i="52"/>
  <c r="AU163" i="52"/>
  <c r="AU204" i="52"/>
  <c r="AU245" i="52"/>
  <c r="AU164" i="52"/>
  <c r="AU205" i="52"/>
  <c r="AU246" i="52"/>
  <c r="AU165" i="52"/>
  <c r="AU206" i="52"/>
  <c r="AU247" i="52"/>
  <c r="AU166" i="52"/>
  <c r="AU207" i="52"/>
  <c r="AU248" i="52"/>
  <c r="AU167" i="52"/>
  <c r="AU208" i="52"/>
  <c r="AU249" i="52"/>
  <c r="AU168" i="52"/>
  <c r="AU209" i="52"/>
  <c r="AU250" i="52"/>
  <c r="AU169" i="52"/>
  <c r="AU210" i="52"/>
  <c r="AU251" i="52"/>
  <c r="AU170" i="52"/>
  <c r="AU211" i="52"/>
  <c r="AU252" i="52"/>
  <c r="AU171" i="52"/>
  <c r="AU212" i="52"/>
  <c r="AU253" i="52"/>
  <c r="AU172" i="52"/>
  <c r="AU213" i="52"/>
  <c r="AT172" i="52"/>
  <c r="AT213" i="52"/>
  <c r="AU254" i="52"/>
  <c r="AU256" i="52"/>
  <c r="AP11" i="32"/>
  <c r="AP28" i="32"/>
  <c r="AP80" i="32"/>
  <c r="AP81" i="32"/>
  <c r="AP82" i="32"/>
  <c r="AV7" i="52"/>
  <c r="BU30" i="25"/>
  <c r="BU7" i="25"/>
  <c r="AV48" i="52"/>
  <c r="AV89" i="52"/>
  <c r="AV8" i="52"/>
  <c r="AV49" i="52"/>
  <c r="AV90" i="52"/>
  <c r="AV9" i="52"/>
  <c r="AV50" i="52"/>
  <c r="AV91" i="52"/>
  <c r="AV10" i="52"/>
  <c r="AV51" i="52"/>
  <c r="AV92" i="52"/>
  <c r="AV11" i="52"/>
  <c r="AV52" i="52"/>
  <c r="AV93" i="52"/>
  <c r="AV12" i="52"/>
  <c r="AV53" i="52"/>
  <c r="AV94" i="52"/>
  <c r="AV13" i="52"/>
  <c r="AV54" i="52"/>
  <c r="AV95" i="52"/>
  <c r="AV14" i="52"/>
  <c r="AV55" i="52"/>
  <c r="AV96" i="52"/>
  <c r="AV15" i="52"/>
  <c r="AV56" i="52"/>
  <c r="AV97" i="52"/>
  <c r="AV16" i="52"/>
  <c r="AV57" i="52"/>
  <c r="AV98" i="52"/>
  <c r="AV17" i="52"/>
  <c r="AV58" i="52"/>
  <c r="AV99" i="52"/>
  <c r="AV18" i="52"/>
  <c r="AV59" i="52"/>
  <c r="AV100" i="52"/>
  <c r="AV19" i="52"/>
  <c r="AV60" i="52"/>
  <c r="AV101" i="52"/>
  <c r="AV20" i="52"/>
  <c r="AV61" i="52"/>
  <c r="AV102" i="52"/>
  <c r="AV21" i="52"/>
  <c r="AV62" i="52"/>
  <c r="AV103" i="52"/>
  <c r="AV22" i="52"/>
  <c r="AV63" i="52"/>
  <c r="AV104" i="52"/>
  <c r="AV23" i="52"/>
  <c r="AV64" i="52"/>
  <c r="AV105" i="52"/>
  <c r="AV24" i="52"/>
  <c r="AV65" i="52"/>
  <c r="AV106" i="52"/>
  <c r="AV25" i="52"/>
  <c r="AV66" i="52"/>
  <c r="AV107" i="52"/>
  <c r="AV26" i="52"/>
  <c r="AV67" i="52"/>
  <c r="AV108" i="52"/>
  <c r="AV27" i="52"/>
  <c r="AV68" i="52"/>
  <c r="AV109" i="52"/>
  <c r="AV28" i="52"/>
  <c r="AV69" i="52"/>
  <c r="AV110" i="52"/>
  <c r="AV29" i="52"/>
  <c r="AV70" i="52"/>
  <c r="AV111" i="52"/>
  <c r="AV30" i="52"/>
  <c r="AV71" i="52"/>
  <c r="AV112" i="52"/>
  <c r="AV31" i="52"/>
  <c r="AV72" i="52"/>
  <c r="AV113" i="52"/>
  <c r="AV32" i="52"/>
  <c r="AV73" i="52"/>
  <c r="AV114" i="52"/>
  <c r="AV33" i="52"/>
  <c r="AV74" i="52"/>
  <c r="AV115" i="52"/>
  <c r="AV34" i="52"/>
  <c r="AV75" i="52"/>
  <c r="AV116" i="52"/>
  <c r="AV35" i="52"/>
  <c r="AV76" i="52"/>
  <c r="AV117" i="52"/>
  <c r="AV36" i="52"/>
  <c r="AV77" i="52"/>
  <c r="AV118" i="52"/>
  <c r="AV37" i="52"/>
  <c r="AV78" i="52"/>
  <c r="AV119" i="52"/>
  <c r="AV38" i="52"/>
  <c r="AV79" i="52"/>
  <c r="AV120" i="52"/>
  <c r="AV39" i="52"/>
  <c r="AV80" i="52"/>
  <c r="AV121" i="52"/>
  <c r="AV40" i="52"/>
  <c r="AV81" i="52"/>
  <c r="AV122" i="52"/>
  <c r="AV41" i="52"/>
  <c r="AV82" i="52"/>
  <c r="AV123" i="52"/>
  <c r="AV42" i="52"/>
  <c r="AV83" i="52"/>
  <c r="AV124" i="52"/>
  <c r="AV43" i="52"/>
  <c r="AV84" i="52"/>
  <c r="AV125" i="52"/>
  <c r="AV44" i="52"/>
  <c r="AV85" i="52"/>
  <c r="AV126" i="52"/>
  <c r="AV45" i="52"/>
  <c r="AV86" i="52"/>
  <c r="AV127" i="52"/>
  <c r="AV46" i="52"/>
  <c r="AV87" i="52"/>
  <c r="AU46" i="52"/>
  <c r="AU87" i="52"/>
  <c r="AV128" i="52"/>
  <c r="AV129" i="52"/>
  <c r="AV134" i="52"/>
  <c r="AV175" i="52"/>
  <c r="AV216" i="52"/>
  <c r="AV135" i="52"/>
  <c r="AV176" i="52"/>
  <c r="AV217" i="52"/>
  <c r="AV136" i="52"/>
  <c r="AV177" i="52"/>
  <c r="AV218" i="52"/>
  <c r="AV137" i="52"/>
  <c r="AV178" i="52"/>
  <c r="AV219" i="52"/>
  <c r="AV138" i="52"/>
  <c r="AV179" i="52"/>
  <c r="AV220" i="52"/>
  <c r="AV139" i="52"/>
  <c r="AV180" i="52"/>
  <c r="AV221" i="52"/>
  <c r="AV140" i="52"/>
  <c r="AV181" i="52"/>
  <c r="AV222" i="52"/>
  <c r="AV141" i="52"/>
  <c r="AV182" i="52"/>
  <c r="AV223" i="52"/>
  <c r="AV142" i="52"/>
  <c r="AV183" i="52"/>
  <c r="AV224" i="52"/>
  <c r="AV143" i="52"/>
  <c r="AV184" i="52"/>
  <c r="AV225" i="52"/>
  <c r="AV144" i="52"/>
  <c r="AV185" i="52"/>
  <c r="AV226" i="52"/>
  <c r="AV145" i="52"/>
  <c r="AV186" i="52"/>
  <c r="AV227" i="52"/>
  <c r="AV146" i="52"/>
  <c r="AV187" i="52"/>
  <c r="AV228" i="52"/>
  <c r="AV147" i="52"/>
  <c r="AV188" i="52"/>
  <c r="AV229" i="52"/>
  <c r="AV148" i="52"/>
  <c r="AV189" i="52"/>
  <c r="AV230" i="52"/>
  <c r="AV149" i="52"/>
  <c r="AV190" i="52"/>
  <c r="AV231" i="52"/>
  <c r="AV150" i="52"/>
  <c r="AV191" i="52"/>
  <c r="AV232" i="52"/>
  <c r="AV151" i="52"/>
  <c r="AV192" i="52"/>
  <c r="AV233" i="52"/>
  <c r="AV152" i="52"/>
  <c r="AV193" i="52"/>
  <c r="AV234" i="52"/>
  <c r="AV153" i="52"/>
  <c r="AV194" i="52"/>
  <c r="AV235" i="52"/>
  <c r="AV154" i="52"/>
  <c r="AV195" i="52"/>
  <c r="AV236" i="52"/>
  <c r="AV155" i="52"/>
  <c r="AV196" i="52"/>
  <c r="AV237" i="52"/>
  <c r="AV156" i="52"/>
  <c r="AV197" i="52"/>
  <c r="AV238" i="52"/>
  <c r="AV157" i="52"/>
  <c r="AV198" i="52"/>
  <c r="AV239" i="52"/>
  <c r="AV158" i="52"/>
  <c r="AV199" i="52"/>
  <c r="AV240" i="52"/>
  <c r="AV159" i="52"/>
  <c r="AV200" i="52"/>
  <c r="AV241" i="52"/>
  <c r="AV160" i="52"/>
  <c r="AV201" i="52"/>
  <c r="AV242" i="52"/>
  <c r="AV161" i="52"/>
  <c r="AV202" i="52"/>
  <c r="AV243" i="52"/>
  <c r="AV162" i="52"/>
  <c r="AV203" i="52"/>
  <c r="AV244" i="52"/>
  <c r="AV163" i="52"/>
  <c r="AV204" i="52"/>
  <c r="AV245" i="52"/>
  <c r="AV164" i="52"/>
  <c r="AV205" i="52"/>
  <c r="AV246" i="52"/>
  <c r="AV165" i="52"/>
  <c r="AV206" i="52"/>
  <c r="AV247" i="52"/>
  <c r="AV166" i="52"/>
  <c r="AV207" i="52"/>
  <c r="AV248" i="52"/>
  <c r="AV167" i="52"/>
  <c r="AV208" i="52"/>
  <c r="AV249" i="52"/>
  <c r="AV168" i="52"/>
  <c r="AV209" i="52"/>
  <c r="AV250" i="52"/>
  <c r="AV169" i="52"/>
  <c r="AV210" i="52"/>
  <c r="AV251" i="52"/>
  <c r="AV170" i="52"/>
  <c r="AV211" i="52"/>
  <c r="AV252" i="52"/>
  <c r="AV171" i="52"/>
  <c r="AV212" i="52"/>
  <c r="AV253" i="52"/>
  <c r="AV172" i="52"/>
  <c r="AV213" i="52"/>
  <c r="AV254" i="52"/>
  <c r="AV173" i="52"/>
  <c r="AV214" i="52"/>
  <c r="AU173" i="52"/>
  <c r="AU214" i="52"/>
  <c r="AV255" i="52"/>
  <c r="AV256" i="52"/>
  <c r="AQ11" i="32"/>
  <c r="AQ28" i="32"/>
  <c r="AQ80" i="32"/>
  <c r="AQ81" i="32"/>
  <c r="AQ82" i="32"/>
  <c r="M10" i="48"/>
  <c r="G10" i="48"/>
  <c r="E140" i="3"/>
  <c r="E148" i="3"/>
  <c r="F71" i="20"/>
  <c r="H7" i="57"/>
  <c r="G8" i="57"/>
  <c r="H9" i="57"/>
  <c r="H12" i="44"/>
  <c r="F16" i="44"/>
  <c r="F17" i="44"/>
  <c r="E133" i="3"/>
  <c r="E136" i="3"/>
  <c r="K12" i="44"/>
  <c r="N12" i="44"/>
  <c r="H7" i="43"/>
  <c r="F42" i="29"/>
  <c r="F78" i="20"/>
  <c r="F23" i="43"/>
  <c r="H11" i="43"/>
  <c r="H12" i="43"/>
  <c r="H11" i="44"/>
  <c r="K11" i="44"/>
  <c r="N11" i="44"/>
  <c r="F296" i="20"/>
  <c r="K10" i="40"/>
  <c r="H10" i="44"/>
  <c r="K10" i="44"/>
  <c r="N10" i="44"/>
  <c r="F166" i="20"/>
  <c r="F222" i="20"/>
  <c r="F53" i="20"/>
  <c r="F33" i="20"/>
  <c r="F223" i="20"/>
  <c r="H9" i="44"/>
  <c r="K9" i="44"/>
  <c r="N9" i="44"/>
  <c r="F7" i="57"/>
  <c r="F9" i="57"/>
  <c r="F12" i="44"/>
  <c r="I12" i="44"/>
  <c r="L12" i="44"/>
  <c r="H28" i="43"/>
  <c r="F49" i="46"/>
  <c r="F79" i="20"/>
  <c r="F39" i="43"/>
  <c r="H32" i="43"/>
  <c r="H33" i="43"/>
  <c r="F11" i="44"/>
  <c r="I11" i="44"/>
  <c r="L11" i="44"/>
  <c r="E79" i="3"/>
  <c r="F308" i="20"/>
  <c r="F271" i="20"/>
  <c r="F253" i="20"/>
  <c r="E21" i="3"/>
  <c r="F254" i="20"/>
  <c r="F273" i="20"/>
  <c r="F274" i="20"/>
  <c r="F309" i="20"/>
  <c r="F10" i="44"/>
  <c r="I10" i="44"/>
  <c r="L10" i="44"/>
  <c r="F218" i="20"/>
  <c r="F219" i="20"/>
  <c r="F9" i="44"/>
  <c r="I9" i="44"/>
  <c r="L9" i="44"/>
  <c r="F154" i="20"/>
  <c r="E15" i="23"/>
  <c r="F21" i="33"/>
  <c r="F39" i="33"/>
  <c r="F76" i="20"/>
  <c r="F155" i="20"/>
  <c r="E16" i="23"/>
  <c r="F21" i="22"/>
  <c r="F41" i="22"/>
  <c r="F77" i="20"/>
  <c r="F158" i="20"/>
  <c r="E19" i="23"/>
  <c r="F24" i="34"/>
  <c r="F43" i="34"/>
  <c r="F80" i="20"/>
  <c r="F159" i="20"/>
  <c r="E20" i="23"/>
  <c r="F23" i="30"/>
  <c r="F9" i="30"/>
  <c r="F42" i="30"/>
  <c r="F81" i="20"/>
  <c r="F160" i="20"/>
  <c r="E21" i="23"/>
  <c r="F18" i="35"/>
  <c r="F33" i="35"/>
  <c r="F82" i="20"/>
  <c r="F83" i="20"/>
  <c r="F123" i="48"/>
  <c r="F50" i="46"/>
  <c r="E139" i="3"/>
  <c r="E142" i="3"/>
  <c r="E159" i="3"/>
  <c r="F128" i="48"/>
  <c r="F129" i="48"/>
  <c r="F115" i="48"/>
  <c r="F120" i="48"/>
  <c r="F121" i="48"/>
  <c r="F43" i="29"/>
  <c r="F125" i="48"/>
  <c r="F126" i="48"/>
  <c r="F117" i="48"/>
  <c r="F118" i="48"/>
  <c r="H11" i="48"/>
  <c r="H33" i="48"/>
  <c r="H22" i="48"/>
  <c r="H44" i="48"/>
  <c r="F11" i="48"/>
  <c r="F33" i="48"/>
  <c r="G11" i="48"/>
  <c r="G33" i="48"/>
  <c r="G22" i="48"/>
  <c r="G44" i="48"/>
  <c r="F22" i="48"/>
  <c r="F44" i="48"/>
  <c r="H9" i="48"/>
  <c r="H31" i="48"/>
  <c r="H20" i="48"/>
  <c r="H42" i="48"/>
  <c r="F9" i="48"/>
  <c r="F31" i="48"/>
  <c r="G9" i="48"/>
  <c r="G31" i="48"/>
  <c r="G20" i="48"/>
  <c r="G42" i="48"/>
  <c r="F20" i="48"/>
  <c r="F42" i="48"/>
  <c r="H8" i="48"/>
  <c r="H30" i="48"/>
  <c r="H19" i="48"/>
  <c r="H41" i="48"/>
  <c r="F8" i="48"/>
  <c r="F30" i="48"/>
  <c r="G8" i="48"/>
  <c r="G30" i="48"/>
  <c r="G19" i="48"/>
  <c r="G41" i="48"/>
  <c r="F19" i="48"/>
  <c r="F41" i="48"/>
  <c r="H23" i="48"/>
  <c r="H21" i="48"/>
  <c r="H12" i="48"/>
  <c r="H10" i="48"/>
  <c r="G23" i="48"/>
  <c r="G12" i="48"/>
  <c r="F23" i="48"/>
  <c r="F21" i="48"/>
  <c r="F12" i="48"/>
  <c r="F10" i="48"/>
  <c r="H45" i="48"/>
  <c r="H34" i="48"/>
  <c r="G45" i="48"/>
  <c r="G34" i="48"/>
  <c r="F45" i="48"/>
  <c r="F34" i="48"/>
  <c r="H68" i="48"/>
  <c r="H67" i="48"/>
  <c r="G68" i="48"/>
  <c r="G67" i="48"/>
  <c r="F68" i="48"/>
  <c r="F67" i="48"/>
  <c r="H66" i="48"/>
  <c r="G66" i="48"/>
  <c r="F66" i="48"/>
  <c r="H65" i="48"/>
  <c r="G65" i="48"/>
  <c r="F65" i="48"/>
  <c r="H64" i="48"/>
  <c r="G64" i="48"/>
  <c r="F64" i="48"/>
  <c r="H69" i="48"/>
  <c r="G56" i="48"/>
  <c r="G69" i="48"/>
  <c r="F69" i="48"/>
  <c r="H56" i="48"/>
  <c r="H52" i="48"/>
  <c r="H53" i="48"/>
  <c r="H54" i="48"/>
  <c r="H55" i="48"/>
  <c r="H57" i="48"/>
  <c r="G52" i="48"/>
  <c r="G53" i="48"/>
  <c r="G54" i="48"/>
  <c r="G55" i="48"/>
  <c r="G57" i="48"/>
  <c r="F56" i="48"/>
  <c r="F52" i="48"/>
  <c r="F53" i="48"/>
  <c r="F54" i="48"/>
  <c r="F55" i="48"/>
  <c r="F57" i="48"/>
  <c r="K32" i="44"/>
  <c r="I32" i="44"/>
  <c r="K31" i="44"/>
  <c r="I31" i="44"/>
  <c r="K30" i="44"/>
  <c r="I30" i="44"/>
  <c r="K29" i="44"/>
  <c r="I29" i="44"/>
  <c r="F18" i="43"/>
  <c r="L13" i="44"/>
  <c r="N13" i="44"/>
  <c r="N33" i="44"/>
  <c r="L33" i="44"/>
  <c r="F101" i="20"/>
  <c r="E130" i="3"/>
  <c r="F99" i="20"/>
  <c r="F17" i="43"/>
  <c r="F132" i="20"/>
  <c r="F130" i="20"/>
  <c r="F128" i="20"/>
  <c r="F126" i="20"/>
  <c r="F115" i="20"/>
  <c r="F108" i="20"/>
  <c r="F106" i="20"/>
  <c r="G7" i="57"/>
  <c r="G9" i="57"/>
  <c r="F178" i="20"/>
  <c r="F180" i="20"/>
  <c r="F181" i="20"/>
  <c r="F182" i="20"/>
  <c r="F183" i="20"/>
  <c r="F184" i="20"/>
  <c r="F185" i="20"/>
  <c r="F18" i="20"/>
  <c r="F19" i="20"/>
  <c r="F20" i="20"/>
  <c r="F21" i="20"/>
  <c r="F28" i="26"/>
  <c r="F29" i="26"/>
  <c r="F13" i="26"/>
  <c r="F16" i="26"/>
  <c r="F26" i="26"/>
  <c r="F25" i="26"/>
  <c r="F24" i="26"/>
  <c r="F23" i="26"/>
  <c r="F22" i="26"/>
  <c r="F21" i="26"/>
  <c r="F18" i="26"/>
  <c r="F79" i="3"/>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F108" i="48"/>
  <c r="F82" i="48"/>
  <c r="F84" i="48"/>
  <c r="F99" i="48"/>
  <c r="F89" i="48"/>
  <c r="F98" i="48"/>
  <c r="F86" i="48"/>
  <c r="F96" i="48"/>
  <c r="F87" i="48"/>
  <c r="F95" i="48"/>
  <c r="F85" i="48"/>
  <c r="F88" i="48"/>
  <c r="F97" i="48"/>
  <c r="F100" i="48"/>
  <c r="F93" i="48"/>
  <c r="I135" i="52"/>
  <c r="J136" i="52"/>
  <c r="K137" i="52"/>
  <c r="L138" i="52"/>
  <c r="M139" i="52"/>
  <c r="N140" i="52"/>
  <c r="O141" i="52"/>
  <c r="P142" i="52"/>
  <c r="Q143" i="52"/>
  <c r="R144" i="52"/>
  <c r="S145" i="52"/>
  <c r="T146" i="52"/>
  <c r="U147" i="52"/>
  <c r="V148" i="52"/>
  <c r="W149" i="52"/>
  <c r="X150" i="52"/>
  <c r="Y151" i="52"/>
  <c r="Z152" i="52"/>
  <c r="AA153" i="52"/>
  <c r="AB154" i="52"/>
  <c r="AC155" i="52"/>
  <c r="AD156" i="52"/>
  <c r="AE157" i="52"/>
  <c r="AF158" i="52"/>
  <c r="F38" i="43"/>
  <c r="AV15" i="56"/>
  <c r="AV16" i="56"/>
  <c r="AU15" i="56"/>
  <c r="AU16" i="56"/>
  <c r="AT15" i="56"/>
  <c r="AT16" i="56"/>
  <c r="AS15" i="56"/>
  <c r="AS16" i="56"/>
  <c r="AR15" i="56"/>
  <c r="AR16" i="56"/>
  <c r="AQ15" i="56"/>
  <c r="AQ16" i="56"/>
  <c r="AP15" i="56"/>
  <c r="AP16" i="56"/>
  <c r="AO15" i="56"/>
  <c r="AO16" i="56"/>
  <c r="AN15" i="56"/>
  <c r="AN16" i="56"/>
  <c r="AM15" i="56"/>
  <c r="AM16" i="56"/>
  <c r="AL15" i="56"/>
  <c r="AL16" i="56"/>
  <c r="AK15" i="56"/>
  <c r="AK16" i="56"/>
  <c r="AJ15" i="56"/>
  <c r="AJ16" i="56"/>
  <c r="AI15" i="56"/>
  <c r="AI16" i="56"/>
  <c r="AH15" i="56"/>
  <c r="AH16" i="56"/>
  <c r="AG15" i="56"/>
  <c r="AG16" i="56"/>
  <c r="AF15" i="56"/>
  <c r="AF16" i="56"/>
  <c r="AE15" i="56"/>
  <c r="AE16" i="56"/>
  <c r="AD15" i="56"/>
  <c r="AD16" i="56"/>
  <c r="AC15" i="56"/>
  <c r="AC16" i="56"/>
  <c r="AB15" i="56"/>
  <c r="AB16" i="56"/>
  <c r="AA15" i="56"/>
  <c r="AA16" i="56"/>
  <c r="Z15" i="56"/>
  <c r="Z16" i="56"/>
  <c r="Y15" i="56"/>
  <c r="Y16" i="56"/>
  <c r="X15" i="56"/>
  <c r="X16" i="56"/>
  <c r="W15" i="56"/>
  <c r="W16" i="56"/>
  <c r="V15" i="56"/>
  <c r="V16" i="56"/>
  <c r="U15" i="56"/>
  <c r="U16" i="56"/>
  <c r="T15" i="56"/>
  <c r="T16" i="56"/>
  <c r="S15" i="56"/>
  <c r="S16" i="56"/>
  <c r="R15" i="56"/>
  <c r="R16" i="56"/>
  <c r="Q15" i="56"/>
  <c r="Q16" i="56"/>
  <c r="P15" i="56"/>
  <c r="P16" i="56"/>
  <c r="O15" i="56"/>
  <c r="O16" i="56"/>
  <c r="N15" i="56"/>
  <c r="N16" i="56"/>
  <c r="M15" i="56"/>
  <c r="M16" i="56"/>
  <c r="L15" i="56"/>
  <c r="L16" i="56"/>
  <c r="K15" i="56"/>
  <c r="K16" i="56"/>
  <c r="J15" i="56"/>
  <c r="J16" i="56"/>
  <c r="I15" i="56"/>
  <c r="I16" i="56"/>
  <c r="AV17" i="56"/>
  <c r="AU17" i="56"/>
  <c r="AT17" i="56"/>
  <c r="AS17" i="56"/>
  <c r="AR17" i="56"/>
  <c r="AQ17" i="56"/>
  <c r="AP17" i="56"/>
  <c r="AO17" i="56"/>
  <c r="AN17" i="56"/>
  <c r="AM17" i="56"/>
  <c r="AL17" i="56"/>
  <c r="AK17" i="56"/>
  <c r="AJ17" i="56"/>
  <c r="AI17" i="56"/>
  <c r="AH17" i="56"/>
  <c r="AG17" i="56"/>
  <c r="AF17" i="56"/>
  <c r="AE17" i="56"/>
  <c r="AD17" i="56"/>
  <c r="AC17" i="56"/>
  <c r="AB17" i="56"/>
  <c r="AA17" i="56"/>
  <c r="Z17" i="56"/>
  <c r="Y17" i="56"/>
  <c r="X17" i="56"/>
  <c r="W17" i="56"/>
  <c r="V17" i="56"/>
  <c r="U17" i="56"/>
  <c r="T17" i="56"/>
  <c r="S17" i="56"/>
  <c r="R17" i="56"/>
  <c r="Q17" i="56"/>
  <c r="P17" i="56"/>
  <c r="O17" i="56"/>
  <c r="N17" i="56"/>
  <c r="M17" i="56"/>
  <c r="L17" i="56"/>
  <c r="K17" i="56"/>
  <c r="J17" i="56"/>
  <c r="I17" i="56"/>
  <c r="AV8" i="56"/>
  <c r="AU8" i="56"/>
  <c r="AT8" i="56"/>
  <c r="AS8" i="56"/>
  <c r="AR8" i="56"/>
  <c r="AQ8" i="56"/>
  <c r="AP8" i="56"/>
  <c r="AO8" i="56"/>
  <c r="AN8" i="56"/>
  <c r="AM8" i="56"/>
  <c r="AL8" i="56"/>
  <c r="AK8" i="56"/>
  <c r="AJ8" i="56"/>
  <c r="AI8" i="56"/>
  <c r="AH8" i="56"/>
  <c r="AG8" i="56"/>
  <c r="AF8" i="56"/>
  <c r="AE8" i="56"/>
  <c r="AD8" i="56"/>
  <c r="AC8" i="56"/>
  <c r="AB8" i="56"/>
  <c r="AA8" i="56"/>
  <c r="Z8" i="56"/>
  <c r="Y8" i="56"/>
  <c r="X8" i="56"/>
  <c r="W8" i="56"/>
  <c r="V8" i="56"/>
  <c r="U8" i="56"/>
  <c r="T8" i="56"/>
  <c r="S8" i="56"/>
  <c r="R8" i="56"/>
  <c r="Q8" i="56"/>
  <c r="P8" i="56"/>
  <c r="O8" i="56"/>
  <c r="N8" i="56"/>
  <c r="M8" i="56"/>
  <c r="L8" i="56"/>
  <c r="K8" i="56"/>
  <c r="J8" i="56"/>
  <c r="I8" i="56"/>
  <c r="I18" i="56"/>
  <c r="I19" i="56"/>
  <c r="J18" i="56"/>
  <c r="J19" i="56"/>
  <c r="K18" i="56"/>
  <c r="K19" i="56"/>
  <c r="L18" i="56"/>
  <c r="L19" i="56"/>
  <c r="M18" i="56"/>
  <c r="M19" i="56"/>
  <c r="N18" i="56"/>
  <c r="N19" i="56"/>
  <c r="O18" i="56"/>
  <c r="O19" i="56"/>
  <c r="P18" i="56"/>
  <c r="P19" i="56"/>
  <c r="Q18" i="56"/>
  <c r="Q19" i="56"/>
  <c r="R18" i="56"/>
  <c r="R19" i="56"/>
  <c r="S18" i="56"/>
  <c r="S19" i="56"/>
  <c r="T18" i="56"/>
  <c r="T19" i="56"/>
  <c r="U18" i="56"/>
  <c r="U19" i="56"/>
  <c r="V18" i="56"/>
  <c r="V19" i="56"/>
  <c r="W18" i="56"/>
  <c r="W19" i="56"/>
  <c r="X18" i="56"/>
  <c r="X19" i="56"/>
  <c r="Y18" i="56"/>
  <c r="Y19" i="56"/>
  <c r="Z18" i="56"/>
  <c r="Z19" i="56"/>
  <c r="AA18" i="56"/>
  <c r="AA19" i="56"/>
  <c r="AB18" i="56"/>
  <c r="AB19" i="56"/>
  <c r="AC18" i="56"/>
  <c r="AC19" i="56"/>
  <c r="AD18" i="56"/>
  <c r="AD19" i="56"/>
  <c r="AE18" i="56"/>
  <c r="AE19" i="56"/>
  <c r="AF18" i="56"/>
  <c r="AF19" i="56"/>
  <c r="AG18" i="56"/>
  <c r="AG19" i="56"/>
  <c r="AH18" i="56"/>
  <c r="AH19" i="56"/>
  <c r="AI18" i="56"/>
  <c r="AI19" i="56"/>
  <c r="AJ18" i="56"/>
  <c r="AJ19" i="56"/>
  <c r="AK18" i="56"/>
  <c r="AK19" i="56"/>
  <c r="AL18" i="56"/>
  <c r="AL19" i="56"/>
  <c r="AM18" i="56"/>
  <c r="AM19" i="56"/>
  <c r="AN18" i="56"/>
  <c r="AN19" i="56"/>
  <c r="AO18" i="56"/>
  <c r="AO19" i="56"/>
  <c r="AP18" i="56"/>
  <c r="AP19" i="56"/>
  <c r="AQ18" i="56"/>
  <c r="AQ19" i="56"/>
  <c r="AR18" i="56"/>
  <c r="AR19" i="56"/>
  <c r="AS18" i="56"/>
  <c r="AS19" i="56"/>
  <c r="AT18" i="56"/>
  <c r="AT19" i="56"/>
  <c r="AU18" i="56"/>
  <c r="AU19" i="56"/>
  <c r="AV18" i="56"/>
  <c r="AV19" i="56"/>
  <c r="AV20" i="56"/>
  <c r="AV48" i="56"/>
  <c r="I9" i="56"/>
  <c r="I10" i="56"/>
  <c r="J9" i="56"/>
  <c r="J10" i="56"/>
  <c r="K9" i="56"/>
  <c r="K10" i="56"/>
  <c r="L9" i="56"/>
  <c r="L10" i="56"/>
  <c r="M9" i="56"/>
  <c r="M10" i="56"/>
  <c r="N9" i="56"/>
  <c r="N10" i="56"/>
  <c r="O9" i="56"/>
  <c r="O10" i="56"/>
  <c r="P9" i="56"/>
  <c r="P10" i="56"/>
  <c r="Q9" i="56"/>
  <c r="Q10" i="56"/>
  <c r="R9" i="56"/>
  <c r="R10" i="56"/>
  <c r="S9" i="56"/>
  <c r="S10" i="56"/>
  <c r="T9" i="56"/>
  <c r="T10" i="56"/>
  <c r="U9" i="56"/>
  <c r="U10" i="56"/>
  <c r="V9" i="56"/>
  <c r="V10" i="56"/>
  <c r="W9" i="56"/>
  <c r="W10" i="56"/>
  <c r="X9" i="56"/>
  <c r="X10" i="56"/>
  <c r="Y9" i="56"/>
  <c r="Y10" i="56"/>
  <c r="Z9" i="56"/>
  <c r="Z10" i="56"/>
  <c r="AA9" i="56"/>
  <c r="AA10" i="56"/>
  <c r="AB9" i="56"/>
  <c r="AB10" i="56"/>
  <c r="AC9" i="56"/>
  <c r="AC10" i="56"/>
  <c r="AD9" i="56"/>
  <c r="AD10" i="56"/>
  <c r="AE9" i="56"/>
  <c r="AE10" i="56"/>
  <c r="AF9" i="56"/>
  <c r="AF10" i="56"/>
  <c r="AG9" i="56"/>
  <c r="AG10" i="56"/>
  <c r="AH9" i="56"/>
  <c r="AH10" i="56"/>
  <c r="AI9" i="56"/>
  <c r="AI10" i="56"/>
  <c r="AJ9" i="56"/>
  <c r="AJ10" i="56"/>
  <c r="AK9" i="56"/>
  <c r="AK10" i="56"/>
  <c r="AL9" i="56"/>
  <c r="AL10" i="56"/>
  <c r="AM9" i="56"/>
  <c r="AM10" i="56"/>
  <c r="AN9" i="56"/>
  <c r="AN10" i="56"/>
  <c r="AO9" i="56"/>
  <c r="AO10" i="56"/>
  <c r="AP9" i="56"/>
  <c r="AP10" i="56"/>
  <c r="AQ9" i="56"/>
  <c r="AQ10" i="56"/>
  <c r="AR9" i="56"/>
  <c r="AR10" i="56"/>
  <c r="AS9" i="56"/>
  <c r="AS10" i="56"/>
  <c r="AT9" i="56"/>
  <c r="AT10" i="56"/>
  <c r="AU9" i="56"/>
  <c r="AU10" i="56"/>
  <c r="AV9" i="56"/>
  <c r="AV10" i="56"/>
  <c r="AV11" i="56"/>
  <c r="AV47" i="56"/>
  <c r="AV49" i="56"/>
  <c r="AU20" i="56"/>
  <c r="AU48" i="56"/>
  <c r="AU11" i="56"/>
  <c r="AU47" i="56"/>
  <c r="AU49" i="56"/>
  <c r="AT20" i="56"/>
  <c r="AT48" i="56"/>
  <c r="AT11" i="56"/>
  <c r="AT47" i="56"/>
  <c r="AT49" i="56"/>
  <c r="AS20" i="56"/>
  <c r="AS48" i="56"/>
  <c r="AS11" i="56"/>
  <c r="AS47" i="56"/>
  <c r="AS49" i="56"/>
  <c r="AR20" i="56"/>
  <c r="AR48" i="56"/>
  <c r="AR11" i="56"/>
  <c r="AR47" i="56"/>
  <c r="AR49" i="56"/>
  <c r="AQ20" i="56"/>
  <c r="AQ48" i="56"/>
  <c r="AQ11" i="56"/>
  <c r="AQ47" i="56"/>
  <c r="AQ49" i="56"/>
  <c r="AP20" i="56"/>
  <c r="AP48" i="56"/>
  <c r="AP11" i="56"/>
  <c r="AP47" i="56"/>
  <c r="AP49" i="56"/>
  <c r="AO20" i="56"/>
  <c r="AO48" i="56"/>
  <c r="AO11" i="56"/>
  <c r="AO47" i="56"/>
  <c r="AO49" i="56"/>
  <c r="AN20" i="56"/>
  <c r="AN48" i="56"/>
  <c r="AN11" i="56"/>
  <c r="AN47" i="56"/>
  <c r="AN49" i="56"/>
  <c r="AM20" i="56"/>
  <c r="AM48" i="56"/>
  <c r="AM11" i="56"/>
  <c r="AM47" i="56"/>
  <c r="AM49" i="56"/>
  <c r="AL20" i="56"/>
  <c r="AL48" i="56"/>
  <c r="AL11" i="56"/>
  <c r="AL47" i="56"/>
  <c r="AL49" i="56"/>
  <c r="AK20" i="56"/>
  <c r="AK48" i="56"/>
  <c r="AK11" i="56"/>
  <c r="AK47" i="56"/>
  <c r="AK49" i="56"/>
  <c r="AJ20" i="56"/>
  <c r="AJ48" i="56"/>
  <c r="AJ11" i="56"/>
  <c r="AJ47" i="56"/>
  <c r="AJ49" i="56"/>
  <c r="AI20" i="56"/>
  <c r="AI48" i="56"/>
  <c r="AI11" i="56"/>
  <c r="AI47" i="56"/>
  <c r="AI49" i="56"/>
  <c r="AH20" i="56"/>
  <c r="AH48" i="56"/>
  <c r="AH11" i="56"/>
  <c r="AH47" i="56"/>
  <c r="AH49" i="56"/>
  <c r="AG20" i="56"/>
  <c r="AG48" i="56"/>
  <c r="AG11" i="56"/>
  <c r="AG47" i="56"/>
  <c r="AG49" i="56"/>
  <c r="AF20" i="56"/>
  <c r="AF48" i="56"/>
  <c r="AF11" i="56"/>
  <c r="AF47" i="56"/>
  <c r="AF49" i="56"/>
  <c r="AE20" i="56"/>
  <c r="AE48" i="56"/>
  <c r="AE11" i="56"/>
  <c r="AE47" i="56"/>
  <c r="AE49" i="56"/>
  <c r="AD20" i="56"/>
  <c r="AD48" i="56"/>
  <c r="AD11" i="56"/>
  <c r="AD47" i="56"/>
  <c r="AD49" i="56"/>
  <c r="AC20" i="56"/>
  <c r="AC48" i="56"/>
  <c r="AC11" i="56"/>
  <c r="AC47" i="56"/>
  <c r="AC49" i="56"/>
  <c r="AB20" i="56"/>
  <c r="AB48" i="56"/>
  <c r="AB11" i="56"/>
  <c r="AB47" i="56"/>
  <c r="AB49" i="56"/>
  <c r="AA20" i="56"/>
  <c r="AA48" i="56"/>
  <c r="AA11" i="56"/>
  <c r="AA47" i="56"/>
  <c r="AA49" i="56"/>
  <c r="Z20" i="56"/>
  <c r="Z48" i="56"/>
  <c r="Z11" i="56"/>
  <c r="Z47" i="56"/>
  <c r="Z49" i="56"/>
  <c r="Y20" i="56"/>
  <c r="Y48" i="56"/>
  <c r="Y11" i="56"/>
  <c r="Y47" i="56"/>
  <c r="Y49" i="56"/>
  <c r="X20" i="56"/>
  <c r="X48" i="56"/>
  <c r="X11" i="56"/>
  <c r="X47" i="56"/>
  <c r="X49" i="56"/>
  <c r="W20" i="56"/>
  <c r="W48" i="56"/>
  <c r="W11" i="56"/>
  <c r="W47" i="56"/>
  <c r="W49" i="56"/>
  <c r="V20" i="56"/>
  <c r="V48" i="56"/>
  <c r="V11" i="56"/>
  <c r="V47" i="56"/>
  <c r="V49" i="56"/>
  <c r="U20" i="56"/>
  <c r="U48" i="56"/>
  <c r="U11" i="56"/>
  <c r="U47" i="56"/>
  <c r="U49" i="56"/>
  <c r="T20" i="56"/>
  <c r="T48" i="56"/>
  <c r="T11" i="56"/>
  <c r="T47" i="56"/>
  <c r="T49" i="56"/>
  <c r="S20" i="56"/>
  <c r="S48" i="56"/>
  <c r="S11" i="56"/>
  <c r="S47" i="56"/>
  <c r="S49" i="56"/>
  <c r="R20" i="56"/>
  <c r="R48" i="56"/>
  <c r="R11" i="56"/>
  <c r="R47" i="56"/>
  <c r="R49" i="56"/>
  <c r="Q20" i="56"/>
  <c r="Q48" i="56"/>
  <c r="Q11" i="56"/>
  <c r="Q47" i="56"/>
  <c r="Q49" i="56"/>
  <c r="P20" i="56"/>
  <c r="P48" i="56"/>
  <c r="P11" i="56"/>
  <c r="P47" i="56"/>
  <c r="P49" i="56"/>
  <c r="O20" i="56"/>
  <c r="O48" i="56"/>
  <c r="O11" i="56"/>
  <c r="O47" i="56"/>
  <c r="O49" i="56"/>
  <c r="N20" i="56"/>
  <c r="N48" i="56"/>
  <c r="N11" i="56"/>
  <c r="N47" i="56"/>
  <c r="N49" i="56"/>
  <c r="M20" i="56"/>
  <c r="M48" i="56"/>
  <c r="M11" i="56"/>
  <c r="M47" i="56"/>
  <c r="M49" i="56"/>
  <c r="L20" i="56"/>
  <c r="L48" i="56"/>
  <c r="L11" i="56"/>
  <c r="L47" i="56"/>
  <c r="L49" i="56"/>
  <c r="K20" i="56"/>
  <c r="K48" i="56"/>
  <c r="K11" i="56"/>
  <c r="K47" i="56"/>
  <c r="K49" i="56"/>
  <c r="J20" i="56"/>
  <c r="J48" i="56"/>
  <c r="J11" i="56"/>
  <c r="J47" i="56"/>
  <c r="J49" i="56"/>
  <c r="I20" i="56"/>
  <c r="I48" i="56"/>
  <c r="I11" i="56"/>
  <c r="I47" i="56"/>
  <c r="I49" i="56"/>
  <c r="AV25" i="56"/>
  <c r="AV24" i="56"/>
  <c r="AV26" i="56"/>
  <c r="AU25" i="56"/>
  <c r="AU24" i="56"/>
  <c r="AU26" i="56"/>
  <c r="AT25" i="56"/>
  <c r="AT24" i="56"/>
  <c r="AT26" i="56"/>
  <c r="AS25" i="56"/>
  <c r="AS24" i="56"/>
  <c r="AS26" i="56"/>
  <c r="AR25" i="56"/>
  <c r="AR24" i="56"/>
  <c r="AR26" i="56"/>
  <c r="AQ25" i="56"/>
  <c r="AQ24" i="56"/>
  <c r="AQ26" i="56"/>
  <c r="AP25" i="56"/>
  <c r="AP24" i="56"/>
  <c r="AP26" i="56"/>
  <c r="AO25" i="56"/>
  <c r="AO24" i="56"/>
  <c r="AO26" i="56"/>
  <c r="AN25" i="56"/>
  <c r="AN24" i="56"/>
  <c r="AN26" i="56"/>
  <c r="AM25" i="56"/>
  <c r="AM24" i="56"/>
  <c r="AM26" i="56"/>
  <c r="AL25" i="56"/>
  <c r="AL24" i="56"/>
  <c r="AL26" i="56"/>
  <c r="AK25" i="56"/>
  <c r="AK24" i="56"/>
  <c r="AK26" i="56"/>
  <c r="AJ25" i="56"/>
  <c r="AJ24" i="56"/>
  <c r="AJ26" i="56"/>
  <c r="AI25" i="56"/>
  <c r="AI24" i="56"/>
  <c r="AI26" i="56"/>
  <c r="AH25" i="56"/>
  <c r="AH24" i="56"/>
  <c r="AH26" i="56"/>
  <c r="AG25" i="56"/>
  <c r="AG24" i="56"/>
  <c r="AG26" i="56"/>
  <c r="AF25" i="56"/>
  <c r="AF24" i="56"/>
  <c r="AF26" i="56"/>
  <c r="AE25" i="56"/>
  <c r="AE24" i="56"/>
  <c r="AE26" i="56"/>
  <c r="AD25" i="56"/>
  <c r="AD24" i="56"/>
  <c r="AD26" i="56"/>
  <c r="AC25" i="56"/>
  <c r="AC24" i="56"/>
  <c r="AC26" i="56"/>
  <c r="AB25" i="56"/>
  <c r="AB24" i="56"/>
  <c r="AB26" i="56"/>
  <c r="AA25" i="56"/>
  <c r="AA24" i="56"/>
  <c r="AA26" i="56"/>
  <c r="Z25" i="56"/>
  <c r="Z24" i="56"/>
  <c r="Z26" i="56"/>
  <c r="Y25" i="56"/>
  <c r="Y24" i="56"/>
  <c r="Y26" i="56"/>
  <c r="X25" i="56"/>
  <c r="X24" i="56"/>
  <c r="X26" i="56"/>
  <c r="W25" i="56"/>
  <c r="W24" i="56"/>
  <c r="W26" i="56"/>
  <c r="V25" i="56"/>
  <c r="V24" i="56"/>
  <c r="V26" i="56"/>
  <c r="U25" i="56"/>
  <c r="U24" i="56"/>
  <c r="U26" i="56"/>
  <c r="T25" i="56"/>
  <c r="T24" i="56"/>
  <c r="T26" i="56"/>
  <c r="S25" i="56"/>
  <c r="S24" i="56"/>
  <c r="S26" i="56"/>
  <c r="R25" i="56"/>
  <c r="R24" i="56"/>
  <c r="R26" i="56"/>
  <c r="Q25" i="56"/>
  <c r="Q24" i="56"/>
  <c r="Q26" i="56"/>
  <c r="P25" i="56"/>
  <c r="P24" i="56"/>
  <c r="P26" i="56"/>
  <c r="O25" i="56"/>
  <c r="O24" i="56"/>
  <c r="O26" i="56"/>
  <c r="N25" i="56"/>
  <c r="N24" i="56"/>
  <c r="N26" i="56"/>
  <c r="M25" i="56"/>
  <c r="M24" i="56"/>
  <c r="M26" i="56"/>
  <c r="L25" i="56"/>
  <c r="L24" i="56"/>
  <c r="L26" i="56"/>
  <c r="K25" i="56"/>
  <c r="K24" i="56"/>
  <c r="K26" i="56"/>
  <c r="J25" i="56"/>
  <c r="J24" i="56"/>
  <c r="J26" i="56"/>
  <c r="I25" i="56"/>
  <c r="I24" i="56"/>
  <c r="I26" i="56"/>
  <c r="F22" i="43"/>
  <c r="F21" i="43"/>
  <c r="I17" i="43"/>
  <c r="F327" i="20"/>
  <c r="F323" i="20"/>
  <c r="F277" i="20"/>
  <c r="F280" i="20"/>
  <c r="F281" i="20"/>
  <c r="F282" i="20"/>
  <c r="F319" i="20"/>
  <c r="F278" i="20"/>
  <c r="F10" i="35"/>
  <c r="F24" i="35"/>
  <c r="F15" i="30"/>
  <c r="F51" i="30"/>
  <c r="F8" i="30"/>
  <c r="F33" i="30"/>
  <c r="F12" i="34"/>
  <c r="F34" i="34"/>
  <c r="F40" i="46"/>
  <c r="F33" i="29"/>
  <c r="F12" i="22"/>
  <c r="F32" i="22"/>
  <c r="F12" i="33"/>
  <c r="F30" i="33"/>
  <c r="F34" i="33"/>
  <c r="F35" i="33"/>
  <c r="F36" i="33"/>
  <c r="F37" i="33"/>
  <c r="F22" i="33"/>
  <c r="F19" i="33"/>
  <c r="F23" i="33"/>
  <c r="F31" i="33"/>
  <c r="F28" i="35"/>
  <c r="F29" i="35"/>
  <c r="F30" i="35"/>
  <c r="F31" i="35"/>
  <c r="F17" i="35"/>
  <c r="F32" i="35"/>
  <c r="F19" i="35"/>
  <c r="F37" i="30"/>
  <c r="F38" i="30"/>
  <c r="F39" i="30"/>
  <c r="F40" i="30"/>
  <c r="F22" i="30"/>
  <c r="F41" i="30"/>
  <c r="F24" i="30"/>
  <c r="F38" i="34"/>
  <c r="F39" i="34"/>
  <c r="F40" i="34"/>
  <c r="F41" i="34"/>
  <c r="F23" i="34"/>
  <c r="F42" i="34"/>
  <c r="F25" i="34"/>
  <c r="F48" i="46"/>
  <c r="F41" i="29"/>
  <c r="F36" i="22"/>
  <c r="F37" i="22"/>
  <c r="F38" i="22"/>
  <c r="F39" i="22"/>
  <c r="F19" i="22"/>
  <c r="F40" i="22"/>
  <c r="F25" i="30"/>
  <c r="F26" i="34"/>
  <c r="F38" i="33"/>
  <c r="F249" i="20"/>
  <c r="F251" i="20"/>
  <c r="F250" i="20"/>
  <c r="F252" i="20"/>
  <c r="F11" i="33"/>
  <c r="F24" i="33"/>
  <c r="F48" i="33"/>
  <c r="F57" i="33"/>
  <c r="F10" i="33"/>
  <c r="F25" i="33"/>
  <c r="F15" i="23"/>
  <c r="F11" i="22"/>
  <c r="N17" i="25"/>
  <c r="N6" i="25"/>
  <c r="F25" i="22"/>
  <c r="AG9" i="25"/>
  <c r="F19" i="34"/>
  <c r="F11" i="34"/>
  <c r="F20" i="34"/>
  <c r="F27" i="34"/>
  <c r="F28" i="34"/>
  <c r="F19" i="23"/>
  <c r="F12" i="30"/>
  <c r="F13" i="30"/>
  <c r="F14" i="30"/>
  <c r="F26" i="30"/>
  <c r="F64" i="30"/>
  <c r="F10" i="30"/>
  <c r="F27" i="30"/>
  <c r="F20" i="23"/>
  <c r="F11" i="35"/>
  <c r="F16" i="30"/>
  <c r="F13" i="34"/>
  <c r="F17" i="46"/>
  <c r="F13" i="29"/>
  <c r="F13" i="22"/>
  <c r="F13" i="33"/>
  <c r="I10" i="25"/>
  <c r="I18" i="51"/>
  <c r="I29" i="51"/>
  <c r="I6" i="21"/>
  <c r="I7" i="21"/>
  <c r="D9" i="32"/>
  <c r="D26" i="32"/>
  <c r="J7" i="51"/>
  <c r="J10" i="25"/>
  <c r="J18" i="51"/>
  <c r="J29" i="51"/>
  <c r="J6" i="21"/>
  <c r="J7" i="21"/>
  <c r="E9" i="32"/>
  <c r="E26" i="32"/>
  <c r="K7" i="51"/>
  <c r="K10" i="25"/>
  <c r="K18" i="51"/>
  <c r="K29" i="51"/>
  <c r="K6" i="21"/>
  <c r="K7" i="21"/>
  <c r="F9" i="32"/>
  <c r="F26" i="32"/>
  <c r="L7" i="51"/>
  <c r="L10" i="25"/>
  <c r="L18" i="51"/>
  <c r="L29" i="51"/>
  <c r="L6" i="21"/>
  <c r="L7" i="21"/>
  <c r="G9" i="32"/>
  <c r="G26" i="32"/>
  <c r="M7" i="51"/>
  <c r="M10" i="25"/>
  <c r="M18" i="51"/>
  <c r="M29" i="51"/>
  <c r="M6" i="21"/>
  <c r="M7" i="21"/>
  <c r="H9" i="32"/>
  <c r="H26" i="32"/>
  <c r="N7" i="51"/>
  <c r="N10" i="25"/>
  <c r="N18" i="51"/>
  <c r="N29" i="51"/>
  <c r="N6" i="21"/>
  <c r="N7" i="21"/>
  <c r="I9" i="32"/>
  <c r="I26" i="32"/>
  <c r="O7" i="51"/>
  <c r="O10" i="25"/>
  <c r="O18" i="51"/>
  <c r="O29" i="51"/>
  <c r="O6" i="21"/>
  <c r="O7" i="21"/>
  <c r="J9" i="32"/>
  <c r="J26" i="32"/>
  <c r="P7" i="51"/>
  <c r="P10" i="25"/>
  <c r="P18" i="51"/>
  <c r="P29" i="51"/>
  <c r="P6" i="21"/>
  <c r="P7" i="21"/>
  <c r="K9" i="32"/>
  <c r="K26" i="32"/>
  <c r="Q7" i="51"/>
  <c r="Q10" i="25"/>
  <c r="Q18" i="51"/>
  <c r="Q29" i="51"/>
  <c r="Q6" i="21"/>
  <c r="Q7" i="21"/>
  <c r="L9" i="32"/>
  <c r="L26" i="32"/>
  <c r="R7" i="51"/>
  <c r="R10" i="25"/>
  <c r="R18" i="51"/>
  <c r="R29" i="51"/>
  <c r="R6" i="21"/>
  <c r="R7" i="21"/>
  <c r="M9" i="32"/>
  <c r="M26" i="32"/>
  <c r="S7" i="51"/>
  <c r="S10" i="25"/>
  <c r="S18" i="51"/>
  <c r="S29" i="51"/>
  <c r="S6" i="21"/>
  <c r="S7" i="21"/>
  <c r="N9" i="32"/>
  <c r="N26" i="32"/>
  <c r="T7" i="51"/>
  <c r="T10" i="25"/>
  <c r="T18" i="51"/>
  <c r="T29" i="51"/>
  <c r="T6" i="21"/>
  <c r="T7" i="21"/>
  <c r="O9" i="32"/>
  <c r="O26" i="32"/>
  <c r="U7" i="51"/>
  <c r="U10" i="25"/>
  <c r="U18" i="51"/>
  <c r="U29" i="51"/>
  <c r="U6" i="21"/>
  <c r="U7" i="21"/>
  <c r="P9" i="32"/>
  <c r="P26" i="32"/>
  <c r="V7" i="51"/>
  <c r="V10" i="25"/>
  <c r="V18" i="51"/>
  <c r="V29" i="51"/>
  <c r="V6" i="21"/>
  <c r="V7" i="21"/>
  <c r="Q9" i="32"/>
  <c r="Q26" i="32"/>
  <c r="W7" i="51"/>
  <c r="W10" i="25"/>
  <c r="W18" i="51"/>
  <c r="W29" i="51"/>
  <c r="W6" i="21"/>
  <c r="W7" i="21"/>
  <c r="R9" i="32"/>
  <c r="R26" i="32"/>
  <c r="X7" i="51"/>
  <c r="X10" i="25"/>
  <c r="X18" i="51"/>
  <c r="X29" i="51"/>
  <c r="X6" i="21"/>
  <c r="X7" i="21"/>
  <c r="S9" i="32"/>
  <c r="S26" i="32"/>
  <c r="Y7" i="51"/>
  <c r="Y10" i="25"/>
  <c r="Y18" i="51"/>
  <c r="Y29" i="51"/>
  <c r="Y6" i="21"/>
  <c r="Y7" i="21"/>
  <c r="T9" i="32"/>
  <c r="T26" i="32"/>
  <c r="Z7" i="51"/>
  <c r="Z10" i="25"/>
  <c r="Z18" i="51"/>
  <c r="Z29" i="51"/>
  <c r="Z6" i="21"/>
  <c r="Z7" i="21"/>
  <c r="U9" i="32"/>
  <c r="U26" i="32"/>
  <c r="AA7" i="51"/>
  <c r="AA10" i="25"/>
  <c r="AA18" i="51"/>
  <c r="AA29" i="51"/>
  <c r="AA6" i="21"/>
  <c r="AA7" i="21"/>
  <c r="V9" i="32"/>
  <c r="V26" i="32"/>
  <c r="AB7" i="51"/>
  <c r="AB10" i="25"/>
  <c r="AB18" i="51"/>
  <c r="AB29" i="51"/>
  <c r="AB6" i="21"/>
  <c r="AB7" i="21"/>
  <c r="W9" i="32"/>
  <c r="W26" i="32"/>
  <c r="AC7" i="51"/>
  <c r="AC10" i="25"/>
  <c r="AC18" i="51"/>
  <c r="AC29" i="51"/>
  <c r="AC6" i="21"/>
  <c r="AC7" i="21"/>
  <c r="X9" i="32"/>
  <c r="X26" i="32"/>
  <c r="AD7" i="51"/>
  <c r="AD10" i="25"/>
  <c r="AD18" i="51"/>
  <c r="AD29" i="51"/>
  <c r="AD6" i="21"/>
  <c r="AD7" i="21"/>
  <c r="Y9" i="32"/>
  <c r="Y26" i="32"/>
  <c r="AE7" i="51"/>
  <c r="AE10" i="25"/>
  <c r="AE18" i="51"/>
  <c r="AE29" i="51"/>
  <c r="AE6" i="21"/>
  <c r="AE7" i="21"/>
  <c r="Z9" i="32"/>
  <c r="Z26" i="32"/>
  <c r="AF7" i="51"/>
  <c r="AF10" i="25"/>
  <c r="AF18" i="51"/>
  <c r="AF29" i="51"/>
  <c r="AF6" i="21"/>
  <c r="AF7" i="21"/>
  <c r="AA9" i="32"/>
  <c r="AA26" i="32"/>
  <c r="AG7" i="51"/>
  <c r="AG10" i="25"/>
  <c r="AG18" i="51"/>
  <c r="AG29" i="51"/>
  <c r="AG6" i="21"/>
  <c r="AG7" i="21"/>
  <c r="AB9" i="32"/>
  <c r="AB26" i="32"/>
  <c r="AH7" i="51"/>
  <c r="AH10" i="25"/>
  <c r="AH18" i="51"/>
  <c r="AH29" i="51"/>
  <c r="AH6" i="21"/>
  <c r="AH7" i="21"/>
  <c r="AC9" i="32"/>
  <c r="AC26" i="32"/>
  <c r="AI7" i="51"/>
  <c r="AI10" i="25"/>
  <c r="AI18" i="51"/>
  <c r="AI29" i="51"/>
  <c r="AI6" i="21"/>
  <c r="AI7" i="21"/>
  <c r="AD9" i="32"/>
  <c r="AD26" i="32"/>
  <c r="AJ7" i="51"/>
  <c r="AJ10" i="25"/>
  <c r="AJ18" i="51"/>
  <c r="AJ29" i="51"/>
  <c r="AJ6" i="21"/>
  <c r="AJ7" i="21"/>
  <c r="AE9" i="32"/>
  <c r="AE26" i="32"/>
  <c r="AK7" i="51"/>
  <c r="AK10" i="25"/>
  <c r="AK18" i="51"/>
  <c r="AK29" i="51"/>
  <c r="AK6" i="21"/>
  <c r="AK7" i="21"/>
  <c r="AF9" i="32"/>
  <c r="AF26" i="32"/>
  <c r="AL7" i="51"/>
  <c r="AL10" i="25"/>
  <c r="AL18" i="51"/>
  <c r="AL29" i="51"/>
  <c r="AL6" i="21"/>
  <c r="AL7" i="21"/>
  <c r="AG9" i="32"/>
  <c r="AG26" i="32"/>
  <c r="AM7" i="51"/>
  <c r="AM10" i="25"/>
  <c r="AM18" i="51"/>
  <c r="AM29" i="51"/>
  <c r="AM6" i="21"/>
  <c r="AM7" i="21"/>
  <c r="AH9" i="32"/>
  <c r="AH26" i="32"/>
  <c r="AN7" i="51"/>
  <c r="AN10" i="25"/>
  <c r="AN18" i="51"/>
  <c r="AN29" i="51"/>
  <c r="AN6" i="21"/>
  <c r="AN7" i="21"/>
  <c r="AI9" i="32"/>
  <c r="AI26" i="32"/>
  <c r="AO7" i="51"/>
  <c r="AO10" i="25"/>
  <c r="AO18" i="51"/>
  <c r="AO29" i="51"/>
  <c r="AO6" i="21"/>
  <c r="AO7" i="21"/>
  <c r="AJ9" i="32"/>
  <c r="AJ26" i="32"/>
  <c r="AP7" i="51"/>
  <c r="AP10" i="25"/>
  <c r="AP18" i="51"/>
  <c r="AP29" i="51"/>
  <c r="AP6" i="21"/>
  <c r="AP7" i="21"/>
  <c r="AK9" i="32"/>
  <c r="AK26" i="32"/>
  <c r="AQ7" i="51"/>
  <c r="AQ10" i="25"/>
  <c r="AQ18" i="51"/>
  <c r="AQ29" i="51"/>
  <c r="AQ6" i="21"/>
  <c r="AQ7" i="21"/>
  <c r="AL9" i="32"/>
  <c r="AL26" i="32"/>
  <c r="AR7" i="51"/>
  <c r="AR10" i="25"/>
  <c r="AR18" i="51"/>
  <c r="AR29" i="51"/>
  <c r="AR6" i="21"/>
  <c r="AR7" i="21"/>
  <c r="AM9" i="32"/>
  <c r="AM26" i="32"/>
  <c r="AS7" i="51"/>
  <c r="AS10" i="25"/>
  <c r="AS18" i="51"/>
  <c r="AS29" i="51"/>
  <c r="AS6" i="21"/>
  <c r="AS7" i="21"/>
  <c r="AN9" i="32"/>
  <c r="AN26" i="32"/>
  <c r="AT7" i="51"/>
  <c r="AT10" i="25"/>
  <c r="AT18" i="51"/>
  <c r="AT29" i="51"/>
  <c r="AT6" i="21"/>
  <c r="AT7" i="21"/>
  <c r="AO9" i="32"/>
  <c r="AO26" i="32"/>
  <c r="AU7" i="51"/>
  <c r="AU10" i="25"/>
  <c r="AU18" i="51"/>
  <c r="AU29" i="51"/>
  <c r="AU6" i="21"/>
  <c r="AU7" i="21"/>
  <c r="AP9" i="32"/>
  <c r="AP26" i="32"/>
  <c r="AV7" i="51"/>
  <c r="AV10" i="25"/>
  <c r="AV18" i="51"/>
  <c r="AV29" i="51"/>
  <c r="AV6" i="21"/>
  <c r="AV7" i="21"/>
  <c r="AQ9" i="32"/>
  <c r="AQ26" i="32"/>
  <c r="I17" i="25"/>
  <c r="I6" i="25"/>
  <c r="I55" i="51"/>
  <c r="I66" i="51"/>
  <c r="J8" i="51"/>
  <c r="J19" i="51"/>
  <c r="J30" i="51"/>
  <c r="J44" i="51"/>
  <c r="J17" i="25"/>
  <c r="J6" i="25"/>
  <c r="J55" i="51"/>
  <c r="J66" i="51"/>
  <c r="J45" i="51"/>
  <c r="J56" i="51"/>
  <c r="J67" i="51"/>
  <c r="K8" i="51"/>
  <c r="K19" i="51"/>
  <c r="K30" i="51"/>
  <c r="K9" i="51"/>
  <c r="K20" i="51"/>
  <c r="K31" i="51"/>
  <c r="K44" i="51"/>
  <c r="K17" i="25"/>
  <c r="K6" i="25"/>
  <c r="K55" i="51"/>
  <c r="K66" i="51"/>
  <c r="K45" i="51"/>
  <c r="K56" i="51"/>
  <c r="K67" i="51"/>
  <c r="K46" i="51"/>
  <c r="K57" i="51"/>
  <c r="K68" i="51"/>
  <c r="L8" i="51"/>
  <c r="L19" i="51"/>
  <c r="L30" i="51"/>
  <c r="L9" i="51"/>
  <c r="L20" i="51"/>
  <c r="L31" i="51"/>
  <c r="L10" i="51"/>
  <c r="L21" i="51"/>
  <c r="L32" i="51"/>
  <c r="L44" i="51"/>
  <c r="L17" i="25"/>
  <c r="L6" i="25"/>
  <c r="L55" i="51"/>
  <c r="L66" i="51"/>
  <c r="L45" i="51"/>
  <c r="L56" i="51"/>
  <c r="L67" i="51"/>
  <c r="L46" i="51"/>
  <c r="L57" i="51"/>
  <c r="L68" i="51"/>
  <c r="L47" i="51"/>
  <c r="L58" i="51"/>
  <c r="L69" i="51"/>
  <c r="M8" i="51"/>
  <c r="M19" i="51"/>
  <c r="M30" i="51"/>
  <c r="M9" i="51"/>
  <c r="M20" i="51"/>
  <c r="M31" i="51"/>
  <c r="M10" i="51"/>
  <c r="M21" i="51"/>
  <c r="M32" i="51"/>
  <c r="M11" i="51"/>
  <c r="M22" i="51"/>
  <c r="M33" i="51"/>
  <c r="M44" i="51"/>
  <c r="M17" i="25"/>
  <c r="M6" i="25"/>
  <c r="M55" i="51"/>
  <c r="M66" i="51"/>
  <c r="M45" i="51"/>
  <c r="M56" i="51"/>
  <c r="M67" i="51"/>
  <c r="M46" i="51"/>
  <c r="M57" i="51"/>
  <c r="M68" i="51"/>
  <c r="M47" i="51"/>
  <c r="M58" i="51"/>
  <c r="M69" i="51"/>
  <c r="M48" i="51"/>
  <c r="M59" i="51"/>
  <c r="M70" i="51"/>
  <c r="N8" i="51"/>
  <c r="N19" i="51"/>
  <c r="N30" i="51"/>
  <c r="N9" i="51"/>
  <c r="N20" i="51"/>
  <c r="N31" i="51"/>
  <c r="N10" i="51"/>
  <c r="N21" i="51"/>
  <c r="N32" i="51"/>
  <c r="N11" i="51"/>
  <c r="N22" i="51"/>
  <c r="N33" i="51"/>
  <c r="N12" i="51"/>
  <c r="N23" i="51"/>
  <c r="N34" i="51"/>
  <c r="N44" i="51"/>
  <c r="N55" i="51"/>
  <c r="N66" i="51"/>
  <c r="N45" i="51"/>
  <c r="N56" i="51"/>
  <c r="N67" i="51"/>
  <c r="N46" i="51"/>
  <c r="N57" i="51"/>
  <c r="N68" i="51"/>
  <c r="N47" i="51"/>
  <c r="N58" i="51"/>
  <c r="N69" i="51"/>
  <c r="N48" i="51"/>
  <c r="N59" i="51"/>
  <c r="N70" i="51"/>
  <c r="N49" i="51"/>
  <c r="N60" i="51"/>
  <c r="N71" i="51"/>
  <c r="O8" i="51"/>
  <c r="O19" i="51"/>
  <c r="O30" i="51"/>
  <c r="O9" i="51"/>
  <c r="O20" i="51"/>
  <c r="O31" i="51"/>
  <c r="O10" i="51"/>
  <c r="O21" i="51"/>
  <c r="O32" i="51"/>
  <c r="O11" i="51"/>
  <c r="O22" i="51"/>
  <c r="O33" i="51"/>
  <c r="O12" i="51"/>
  <c r="O23" i="51"/>
  <c r="O34" i="51"/>
  <c r="O13" i="51"/>
  <c r="H10" i="25"/>
  <c r="O24" i="51"/>
  <c r="O35" i="51"/>
  <c r="O44" i="51"/>
  <c r="O55" i="51"/>
  <c r="O66" i="51"/>
  <c r="O45" i="51"/>
  <c r="O56" i="51"/>
  <c r="O67" i="51"/>
  <c r="O46" i="51"/>
  <c r="O57" i="51"/>
  <c r="O68" i="51"/>
  <c r="O47" i="51"/>
  <c r="O58" i="51"/>
  <c r="O69" i="51"/>
  <c r="O48" i="51"/>
  <c r="O59" i="51"/>
  <c r="O70" i="51"/>
  <c r="O49" i="51"/>
  <c r="O60" i="51"/>
  <c r="O71" i="51"/>
  <c r="O50" i="51"/>
  <c r="H6" i="25"/>
  <c r="O61" i="51"/>
  <c r="O72" i="51"/>
  <c r="P8" i="51"/>
  <c r="P19" i="51"/>
  <c r="P30" i="51"/>
  <c r="P9" i="51"/>
  <c r="P20" i="51"/>
  <c r="P31" i="51"/>
  <c r="P10" i="51"/>
  <c r="P21" i="51"/>
  <c r="P32" i="51"/>
  <c r="P11" i="51"/>
  <c r="P22" i="51"/>
  <c r="P33" i="51"/>
  <c r="P12" i="51"/>
  <c r="P23" i="51"/>
  <c r="P34" i="51"/>
  <c r="P13" i="51"/>
  <c r="P24" i="51"/>
  <c r="P35" i="51"/>
  <c r="P14" i="51"/>
  <c r="P25" i="51"/>
  <c r="P36" i="51"/>
  <c r="P44" i="51"/>
  <c r="P55" i="51"/>
  <c r="P66" i="51"/>
  <c r="P45" i="51"/>
  <c r="P56" i="51"/>
  <c r="P67" i="51"/>
  <c r="P46" i="51"/>
  <c r="P57" i="51"/>
  <c r="P68" i="51"/>
  <c r="P47" i="51"/>
  <c r="P58" i="51"/>
  <c r="P69" i="51"/>
  <c r="P48" i="51"/>
  <c r="P59" i="51"/>
  <c r="P70" i="51"/>
  <c r="P49" i="51"/>
  <c r="P60" i="51"/>
  <c r="P71" i="51"/>
  <c r="P50" i="51"/>
  <c r="P61" i="51"/>
  <c r="P72" i="51"/>
  <c r="P51" i="51"/>
  <c r="P62" i="51"/>
  <c r="P73" i="51"/>
  <c r="Q8" i="51"/>
  <c r="Q19" i="51"/>
  <c r="Q30" i="51"/>
  <c r="Q9" i="51"/>
  <c r="Q20" i="51"/>
  <c r="Q31" i="51"/>
  <c r="Q10" i="51"/>
  <c r="Q21" i="51"/>
  <c r="Q32" i="51"/>
  <c r="Q11" i="51"/>
  <c r="Q22" i="51"/>
  <c r="Q33" i="51"/>
  <c r="Q12" i="51"/>
  <c r="Q23" i="51"/>
  <c r="Q34" i="51"/>
  <c r="Q13" i="51"/>
  <c r="Q24" i="51"/>
  <c r="Q35" i="51"/>
  <c r="Q14" i="51"/>
  <c r="Q25" i="51"/>
  <c r="Q36" i="51"/>
  <c r="Q15" i="51"/>
  <c r="Q26" i="51"/>
  <c r="Q37" i="51"/>
  <c r="Q44" i="51"/>
  <c r="Q55" i="51"/>
  <c r="Q66" i="51"/>
  <c r="Q45" i="51"/>
  <c r="Q56" i="51"/>
  <c r="Q67" i="51"/>
  <c r="Q46" i="51"/>
  <c r="Q57" i="51"/>
  <c r="Q68" i="51"/>
  <c r="Q47" i="51"/>
  <c r="Q58" i="51"/>
  <c r="Q69" i="51"/>
  <c r="Q48" i="51"/>
  <c r="Q59" i="51"/>
  <c r="Q70" i="51"/>
  <c r="Q49" i="51"/>
  <c r="Q60" i="51"/>
  <c r="Q71" i="51"/>
  <c r="Q50" i="51"/>
  <c r="Q61" i="51"/>
  <c r="Q72" i="51"/>
  <c r="Q51" i="51"/>
  <c r="Q62" i="51"/>
  <c r="Q73" i="51"/>
  <c r="Q52" i="51"/>
  <c r="Q63" i="51"/>
  <c r="Q74" i="51"/>
  <c r="R8" i="51"/>
  <c r="R19" i="51"/>
  <c r="R30" i="51"/>
  <c r="R9" i="51"/>
  <c r="R20" i="51"/>
  <c r="R31" i="51"/>
  <c r="R10" i="51"/>
  <c r="R21" i="51"/>
  <c r="R32" i="51"/>
  <c r="R11" i="51"/>
  <c r="R22" i="51"/>
  <c r="R33" i="51"/>
  <c r="R12" i="51"/>
  <c r="R23" i="51"/>
  <c r="R34" i="51"/>
  <c r="R13" i="51"/>
  <c r="R24" i="51"/>
  <c r="R35" i="51"/>
  <c r="R14" i="51"/>
  <c r="R25" i="51"/>
  <c r="R36" i="51"/>
  <c r="R15" i="51"/>
  <c r="R26" i="51"/>
  <c r="R37" i="51"/>
  <c r="R16" i="51"/>
  <c r="R27" i="51"/>
  <c r="R38" i="51"/>
  <c r="R44" i="51"/>
  <c r="R55" i="51"/>
  <c r="R66" i="51"/>
  <c r="R45" i="51"/>
  <c r="R56" i="51"/>
  <c r="R67" i="51"/>
  <c r="R46" i="51"/>
  <c r="R57" i="51"/>
  <c r="R68" i="51"/>
  <c r="R47" i="51"/>
  <c r="R58" i="51"/>
  <c r="R69" i="51"/>
  <c r="R48" i="51"/>
  <c r="R59" i="51"/>
  <c r="R70" i="51"/>
  <c r="R49" i="51"/>
  <c r="R60" i="51"/>
  <c r="R71" i="51"/>
  <c r="R50" i="51"/>
  <c r="R61" i="51"/>
  <c r="R72" i="51"/>
  <c r="R51" i="51"/>
  <c r="R62" i="51"/>
  <c r="R73" i="51"/>
  <c r="R52" i="51"/>
  <c r="R63" i="51"/>
  <c r="R74" i="51"/>
  <c r="R53" i="51"/>
  <c r="R64" i="51"/>
  <c r="R75" i="51"/>
  <c r="S8" i="51"/>
  <c r="S19" i="51"/>
  <c r="S30" i="51"/>
  <c r="S9" i="51"/>
  <c r="S20" i="51"/>
  <c r="S31" i="51"/>
  <c r="S10" i="51"/>
  <c r="S21" i="51"/>
  <c r="S32" i="51"/>
  <c r="S11" i="51"/>
  <c r="S22" i="51"/>
  <c r="S33" i="51"/>
  <c r="S12" i="51"/>
  <c r="S23" i="51"/>
  <c r="S34" i="51"/>
  <c r="S13" i="51"/>
  <c r="S24" i="51"/>
  <c r="S35" i="51"/>
  <c r="S14" i="51"/>
  <c r="S25" i="51"/>
  <c r="S36" i="51"/>
  <c r="S15" i="51"/>
  <c r="S26" i="51"/>
  <c r="S37" i="51"/>
  <c r="S16" i="51"/>
  <c r="S27" i="51"/>
  <c r="S38" i="51"/>
  <c r="S44" i="51"/>
  <c r="S55" i="51"/>
  <c r="S66" i="51"/>
  <c r="S45" i="51"/>
  <c r="S56" i="51"/>
  <c r="S67" i="51"/>
  <c r="S46" i="51"/>
  <c r="S57" i="51"/>
  <c r="S68" i="51"/>
  <c r="S47" i="51"/>
  <c r="S58" i="51"/>
  <c r="S69" i="51"/>
  <c r="S48" i="51"/>
  <c r="S59" i="51"/>
  <c r="S70" i="51"/>
  <c r="S49" i="51"/>
  <c r="S60" i="51"/>
  <c r="S71" i="51"/>
  <c r="S50" i="51"/>
  <c r="S61" i="51"/>
  <c r="S72" i="51"/>
  <c r="S51" i="51"/>
  <c r="S62" i="51"/>
  <c r="S73" i="51"/>
  <c r="S52" i="51"/>
  <c r="S63" i="51"/>
  <c r="S74" i="51"/>
  <c r="S53" i="51"/>
  <c r="S64" i="51"/>
  <c r="S75" i="51"/>
  <c r="T8" i="51"/>
  <c r="T19" i="51"/>
  <c r="T30" i="51"/>
  <c r="T9" i="51"/>
  <c r="T20" i="51"/>
  <c r="T31" i="51"/>
  <c r="T10" i="51"/>
  <c r="T21" i="51"/>
  <c r="T32" i="51"/>
  <c r="T11" i="51"/>
  <c r="T22" i="51"/>
  <c r="T33" i="51"/>
  <c r="T12" i="51"/>
  <c r="T23" i="51"/>
  <c r="T34" i="51"/>
  <c r="T13" i="51"/>
  <c r="T24" i="51"/>
  <c r="T35" i="51"/>
  <c r="T14" i="51"/>
  <c r="T25" i="51"/>
  <c r="T36" i="51"/>
  <c r="T15" i="51"/>
  <c r="T26" i="51"/>
  <c r="T37" i="51"/>
  <c r="T16" i="51"/>
  <c r="T27" i="51"/>
  <c r="T38" i="51"/>
  <c r="T44" i="51"/>
  <c r="T55" i="51"/>
  <c r="T66" i="51"/>
  <c r="T45" i="51"/>
  <c r="T56" i="51"/>
  <c r="T67" i="51"/>
  <c r="T46" i="51"/>
  <c r="T57" i="51"/>
  <c r="T68" i="51"/>
  <c r="T47" i="51"/>
  <c r="T58" i="51"/>
  <c r="T69" i="51"/>
  <c r="T48" i="51"/>
  <c r="T59" i="51"/>
  <c r="T70" i="51"/>
  <c r="T49" i="51"/>
  <c r="T60" i="51"/>
  <c r="T71" i="51"/>
  <c r="T50" i="51"/>
  <c r="T61" i="51"/>
  <c r="T72" i="51"/>
  <c r="T51" i="51"/>
  <c r="T62" i="51"/>
  <c r="T73" i="51"/>
  <c r="T52" i="51"/>
  <c r="T63" i="51"/>
  <c r="T74" i="51"/>
  <c r="T53" i="51"/>
  <c r="T64" i="51"/>
  <c r="T75" i="51"/>
  <c r="U8" i="51"/>
  <c r="U19" i="51"/>
  <c r="U30" i="51"/>
  <c r="U9" i="51"/>
  <c r="U20" i="51"/>
  <c r="U31" i="51"/>
  <c r="U10" i="51"/>
  <c r="U21" i="51"/>
  <c r="U32" i="51"/>
  <c r="U11" i="51"/>
  <c r="U22" i="51"/>
  <c r="U33" i="51"/>
  <c r="U12" i="51"/>
  <c r="U23" i="51"/>
  <c r="U34" i="51"/>
  <c r="U13" i="51"/>
  <c r="U24" i="51"/>
  <c r="U35" i="51"/>
  <c r="U14" i="51"/>
  <c r="U25" i="51"/>
  <c r="U36" i="51"/>
  <c r="U15" i="51"/>
  <c r="U26" i="51"/>
  <c r="U37" i="51"/>
  <c r="U16" i="51"/>
  <c r="U27" i="51"/>
  <c r="U38" i="51"/>
  <c r="U44" i="51"/>
  <c r="U55" i="51"/>
  <c r="U66" i="51"/>
  <c r="U45" i="51"/>
  <c r="U56" i="51"/>
  <c r="U67" i="51"/>
  <c r="U46" i="51"/>
  <c r="U57" i="51"/>
  <c r="U68" i="51"/>
  <c r="U47" i="51"/>
  <c r="U58" i="51"/>
  <c r="U69" i="51"/>
  <c r="U48" i="51"/>
  <c r="U59" i="51"/>
  <c r="U70" i="51"/>
  <c r="U49" i="51"/>
  <c r="U60" i="51"/>
  <c r="U71" i="51"/>
  <c r="U50" i="51"/>
  <c r="U61" i="51"/>
  <c r="U72" i="51"/>
  <c r="U51" i="51"/>
  <c r="U62" i="51"/>
  <c r="U73" i="51"/>
  <c r="U52" i="51"/>
  <c r="U63" i="51"/>
  <c r="U74" i="51"/>
  <c r="U53" i="51"/>
  <c r="U64" i="51"/>
  <c r="U75" i="51"/>
  <c r="V8" i="51"/>
  <c r="V19" i="51"/>
  <c r="V30" i="51"/>
  <c r="V9" i="51"/>
  <c r="V20" i="51"/>
  <c r="V31" i="51"/>
  <c r="V10" i="51"/>
  <c r="V21" i="51"/>
  <c r="V32" i="51"/>
  <c r="V11" i="51"/>
  <c r="V22" i="51"/>
  <c r="V33" i="51"/>
  <c r="V12" i="51"/>
  <c r="V23" i="51"/>
  <c r="V34" i="51"/>
  <c r="V13" i="51"/>
  <c r="V24" i="51"/>
  <c r="V35" i="51"/>
  <c r="V14" i="51"/>
  <c r="V25" i="51"/>
  <c r="V36" i="51"/>
  <c r="V15" i="51"/>
  <c r="V26" i="51"/>
  <c r="V37" i="51"/>
  <c r="V16" i="51"/>
  <c r="V27" i="51"/>
  <c r="V38" i="51"/>
  <c r="V44" i="51"/>
  <c r="V55" i="51"/>
  <c r="V66" i="51"/>
  <c r="V45" i="51"/>
  <c r="V56" i="51"/>
  <c r="V67" i="51"/>
  <c r="V46" i="51"/>
  <c r="V57" i="51"/>
  <c r="V68" i="51"/>
  <c r="V47" i="51"/>
  <c r="V58" i="51"/>
  <c r="V69" i="51"/>
  <c r="V48" i="51"/>
  <c r="V59" i="51"/>
  <c r="V70" i="51"/>
  <c r="V49" i="51"/>
  <c r="V60" i="51"/>
  <c r="V71" i="51"/>
  <c r="V50" i="51"/>
  <c r="V61" i="51"/>
  <c r="V72" i="51"/>
  <c r="V51" i="51"/>
  <c r="V62" i="51"/>
  <c r="V73" i="51"/>
  <c r="V52" i="51"/>
  <c r="V63" i="51"/>
  <c r="V74" i="51"/>
  <c r="V53" i="51"/>
  <c r="V64" i="51"/>
  <c r="V75" i="51"/>
  <c r="W8" i="51"/>
  <c r="W19" i="51"/>
  <c r="W30" i="51"/>
  <c r="W9" i="51"/>
  <c r="W20" i="51"/>
  <c r="W31" i="51"/>
  <c r="W10" i="51"/>
  <c r="W21" i="51"/>
  <c r="W32" i="51"/>
  <c r="W11" i="51"/>
  <c r="W22" i="51"/>
  <c r="W33" i="51"/>
  <c r="W12" i="51"/>
  <c r="W23" i="51"/>
  <c r="W34" i="51"/>
  <c r="W13" i="51"/>
  <c r="W24" i="51"/>
  <c r="W35" i="51"/>
  <c r="W14" i="51"/>
  <c r="W25" i="51"/>
  <c r="W36" i="51"/>
  <c r="W15" i="51"/>
  <c r="W26" i="51"/>
  <c r="W37" i="51"/>
  <c r="W16" i="51"/>
  <c r="W27" i="51"/>
  <c r="W38" i="51"/>
  <c r="W44" i="51"/>
  <c r="W55" i="51"/>
  <c r="W66" i="51"/>
  <c r="W45" i="51"/>
  <c r="W56" i="51"/>
  <c r="W67" i="51"/>
  <c r="W46" i="51"/>
  <c r="W57" i="51"/>
  <c r="W68" i="51"/>
  <c r="W47" i="51"/>
  <c r="W58" i="51"/>
  <c r="W69" i="51"/>
  <c r="W48" i="51"/>
  <c r="W59" i="51"/>
  <c r="W70" i="51"/>
  <c r="W49" i="51"/>
  <c r="W60" i="51"/>
  <c r="W71" i="51"/>
  <c r="W50" i="51"/>
  <c r="W61" i="51"/>
  <c r="W72" i="51"/>
  <c r="W51" i="51"/>
  <c r="W62" i="51"/>
  <c r="W73" i="51"/>
  <c r="W52" i="51"/>
  <c r="W63" i="51"/>
  <c r="W74" i="51"/>
  <c r="W53" i="51"/>
  <c r="W64" i="51"/>
  <c r="W75" i="51"/>
  <c r="X8" i="51"/>
  <c r="X19" i="51"/>
  <c r="X30" i="51"/>
  <c r="X9" i="51"/>
  <c r="X20" i="51"/>
  <c r="X31" i="51"/>
  <c r="X10" i="51"/>
  <c r="X21" i="51"/>
  <c r="X32" i="51"/>
  <c r="X11" i="51"/>
  <c r="X22" i="51"/>
  <c r="X33" i="51"/>
  <c r="X12" i="51"/>
  <c r="X23" i="51"/>
  <c r="X34" i="51"/>
  <c r="X13" i="51"/>
  <c r="X24" i="51"/>
  <c r="X35" i="51"/>
  <c r="X14" i="51"/>
  <c r="X25" i="51"/>
  <c r="X36" i="51"/>
  <c r="X15" i="51"/>
  <c r="X26" i="51"/>
  <c r="X37" i="51"/>
  <c r="X16" i="51"/>
  <c r="X27" i="51"/>
  <c r="X38" i="51"/>
  <c r="X44" i="51"/>
  <c r="X55" i="51"/>
  <c r="X66" i="51"/>
  <c r="X45" i="51"/>
  <c r="X56" i="51"/>
  <c r="X67" i="51"/>
  <c r="X46" i="51"/>
  <c r="X57" i="51"/>
  <c r="X68" i="51"/>
  <c r="X47" i="51"/>
  <c r="X58" i="51"/>
  <c r="X69" i="51"/>
  <c r="X48" i="51"/>
  <c r="X59" i="51"/>
  <c r="X70" i="51"/>
  <c r="X49" i="51"/>
  <c r="X60" i="51"/>
  <c r="X71" i="51"/>
  <c r="X50" i="51"/>
  <c r="X61" i="51"/>
  <c r="X72" i="51"/>
  <c r="X51" i="51"/>
  <c r="X62" i="51"/>
  <c r="X73" i="51"/>
  <c r="X52" i="51"/>
  <c r="X63" i="51"/>
  <c r="X74" i="51"/>
  <c r="X53" i="51"/>
  <c r="X64" i="51"/>
  <c r="X75" i="51"/>
  <c r="Y8" i="51"/>
  <c r="Y19" i="51"/>
  <c r="Y30" i="51"/>
  <c r="Y9" i="51"/>
  <c r="Y20" i="51"/>
  <c r="Y31" i="51"/>
  <c r="Y10" i="51"/>
  <c r="Y21" i="51"/>
  <c r="Y32" i="51"/>
  <c r="Y11" i="51"/>
  <c r="Y22" i="51"/>
  <c r="Y33" i="51"/>
  <c r="Y12" i="51"/>
  <c r="Y23" i="51"/>
  <c r="Y34" i="51"/>
  <c r="Y13" i="51"/>
  <c r="Y24" i="51"/>
  <c r="Y35" i="51"/>
  <c r="Y14" i="51"/>
  <c r="Y25" i="51"/>
  <c r="Y36" i="51"/>
  <c r="Y15" i="51"/>
  <c r="Y26" i="51"/>
  <c r="Y37" i="51"/>
  <c r="Y16" i="51"/>
  <c r="Y27" i="51"/>
  <c r="Y38" i="51"/>
  <c r="Y44" i="51"/>
  <c r="Y55" i="51"/>
  <c r="Y66" i="51"/>
  <c r="Y45" i="51"/>
  <c r="Y56" i="51"/>
  <c r="Y67" i="51"/>
  <c r="Y46" i="51"/>
  <c r="Y57" i="51"/>
  <c r="Y68" i="51"/>
  <c r="Y47" i="51"/>
  <c r="Y58" i="51"/>
  <c r="Y69" i="51"/>
  <c r="Y48" i="51"/>
  <c r="Y59" i="51"/>
  <c r="Y70" i="51"/>
  <c r="Y49" i="51"/>
  <c r="Y60" i="51"/>
  <c r="Y71" i="51"/>
  <c r="Y50" i="51"/>
  <c r="Y61" i="51"/>
  <c r="Y72" i="51"/>
  <c r="Y51" i="51"/>
  <c r="Y62" i="51"/>
  <c r="Y73" i="51"/>
  <c r="Y52" i="51"/>
  <c r="Y63" i="51"/>
  <c r="Y74" i="51"/>
  <c r="Y53" i="51"/>
  <c r="Y64" i="51"/>
  <c r="Y75" i="51"/>
  <c r="Z8" i="51"/>
  <c r="Z19" i="51"/>
  <c r="Z30" i="51"/>
  <c r="Z9" i="51"/>
  <c r="Z20" i="51"/>
  <c r="Z31" i="51"/>
  <c r="Z10" i="51"/>
  <c r="Z21" i="51"/>
  <c r="Z32" i="51"/>
  <c r="Z11" i="51"/>
  <c r="Z22" i="51"/>
  <c r="Z33" i="51"/>
  <c r="Z12" i="51"/>
  <c r="Z23" i="51"/>
  <c r="Z34" i="51"/>
  <c r="Z13" i="51"/>
  <c r="Z24" i="51"/>
  <c r="Z35" i="51"/>
  <c r="Z14" i="51"/>
  <c r="Z25" i="51"/>
  <c r="Z36" i="51"/>
  <c r="Z15" i="51"/>
  <c r="Z26" i="51"/>
  <c r="Z37" i="51"/>
  <c r="Z16" i="51"/>
  <c r="Z27" i="51"/>
  <c r="Z38" i="51"/>
  <c r="Z44" i="51"/>
  <c r="Z55" i="51"/>
  <c r="Z66" i="51"/>
  <c r="Z45" i="51"/>
  <c r="Z56" i="51"/>
  <c r="Z67" i="51"/>
  <c r="Z46" i="51"/>
  <c r="Z57" i="51"/>
  <c r="Z68" i="51"/>
  <c r="Z47" i="51"/>
  <c r="Z58" i="51"/>
  <c r="Z69" i="51"/>
  <c r="Z48" i="51"/>
  <c r="Z59" i="51"/>
  <c r="Z70" i="51"/>
  <c r="Z49" i="51"/>
  <c r="Z60" i="51"/>
  <c r="Z71" i="51"/>
  <c r="Z50" i="51"/>
  <c r="Z61" i="51"/>
  <c r="Z72" i="51"/>
  <c r="Z51" i="51"/>
  <c r="Z62" i="51"/>
  <c r="Z73" i="51"/>
  <c r="Z52" i="51"/>
  <c r="Z63" i="51"/>
  <c r="Z74" i="51"/>
  <c r="Z53" i="51"/>
  <c r="Z64" i="51"/>
  <c r="Z75" i="51"/>
  <c r="AA8" i="51"/>
  <c r="AA19" i="51"/>
  <c r="AA30" i="51"/>
  <c r="AA9" i="51"/>
  <c r="AA20" i="51"/>
  <c r="AA31" i="51"/>
  <c r="AA10" i="51"/>
  <c r="AA21" i="51"/>
  <c r="AA32" i="51"/>
  <c r="AA11" i="51"/>
  <c r="AA22" i="51"/>
  <c r="AA33" i="51"/>
  <c r="AA12" i="51"/>
  <c r="AA23" i="51"/>
  <c r="AA34" i="51"/>
  <c r="AA13" i="51"/>
  <c r="AA24" i="51"/>
  <c r="AA35" i="51"/>
  <c r="AA14" i="51"/>
  <c r="AA25" i="51"/>
  <c r="AA36" i="51"/>
  <c r="AA15" i="51"/>
  <c r="AA26" i="51"/>
  <c r="AA37" i="51"/>
  <c r="AA16" i="51"/>
  <c r="AA27" i="51"/>
  <c r="AA38" i="51"/>
  <c r="AA44" i="51"/>
  <c r="AA55" i="51"/>
  <c r="AA66" i="51"/>
  <c r="AA45" i="51"/>
  <c r="AA56" i="51"/>
  <c r="AA67" i="51"/>
  <c r="AA46" i="51"/>
  <c r="AA57" i="51"/>
  <c r="AA68" i="51"/>
  <c r="AA47" i="51"/>
  <c r="AA58" i="51"/>
  <c r="AA69" i="51"/>
  <c r="AA48" i="51"/>
  <c r="AA59" i="51"/>
  <c r="AA70" i="51"/>
  <c r="AA49" i="51"/>
  <c r="AA60" i="51"/>
  <c r="AA71" i="51"/>
  <c r="AA50" i="51"/>
  <c r="AA61" i="51"/>
  <c r="AA72" i="51"/>
  <c r="AA51" i="51"/>
  <c r="AA62" i="51"/>
  <c r="AA73" i="51"/>
  <c r="AA52" i="51"/>
  <c r="AA63" i="51"/>
  <c r="AA74" i="51"/>
  <c r="AA53" i="51"/>
  <c r="AA64" i="51"/>
  <c r="AA75" i="51"/>
  <c r="AB8" i="51"/>
  <c r="AB19" i="51"/>
  <c r="AB30" i="51"/>
  <c r="AB9" i="51"/>
  <c r="AB20" i="51"/>
  <c r="AB31" i="51"/>
  <c r="AB10" i="51"/>
  <c r="AB21" i="51"/>
  <c r="AB32" i="51"/>
  <c r="AB11" i="51"/>
  <c r="AB22" i="51"/>
  <c r="AB33" i="51"/>
  <c r="AB12" i="51"/>
  <c r="AB23" i="51"/>
  <c r="AB34" i="51"/>
  <c r="AB13" i="51"/>
  <c r="AB24" i="51"/>
  <c r="AB35" i="51"/>
  <c r="AB14" i="51"/>
  <c r="AB25" i="51"/>
  <c r="AB36" i="51"/>
  <c r="AB15" i="51"/>
  <c r="AB26" i="51"/>
  <c r="AB37" i="51"/>
  <c r="AB16" i="51"/>
  <c r="AB27" i="51"/>
  <c r="AB38" i="51"/>
  <c r="AB44" i="51"/>
  <c r="AB55" i="51"/>
  <c r="AB66" i="51"/>
  <c r="AB45" i="51"/>
  <c r="AB56" i="51"/>
  <c r="AB67" i="51"/>
  <c r="AB46" i="51"/>
  <c r="AB57" i="51"/>
  <c r="AB68" i="51"/>
  <c r="AB47" i="51"/>
  <c r="AB58" i="51"/>
  <c r="AB69" i="51"/>
  <c r="AB48" i="51"/>
  <c r="AB59" i="51"/>
  <c r="AB70" i="51"/>
  <c r="AB49" i="51"/>
  <c r="AB60" i="51"/>
  <c r="AB71" i="51"/>
  <c r="AB50" i="51"/>
  <c r="AB61" i="51"/>
  <c r="AB72" i="51"/>
  <c r="AB51" i="51"/>
  <c r="AB62" i="51"/>
  <c r="AB73" i="51"/>
  <c r="AB52" i="51"/>
  <c r="AB63" i="51"/>
  <c r="AB74" i="51"/>
  <c r="AB53" i="51"/>
  <c r="AB64" i="51"/>
  <c r="AB75" i="51"/>
  <c r="AC8" i="51"/>
  <c r="AC19" i="51"/>
  <c r="AC30" i="51"/>
  <c r="AC9" i="51"/>
  <c r="AC20" i="51"/>
  <c r="AC31" i="51"/>
  <c r="AC10" i="51"/>
  <c r="AC21" i="51"/>
  <c r="AC32" i="51"/>
  <c r="AC11" i="51"/>
  <c r="AC22" i="51"/>
  <c r="AC33" i="51"/>
  <c r="AC12" i="51"/>
  <c r="AC23" i="51"/>
  <c r="AC34" i="51"/>
  <c r="AC13" i="51"/>
  <c r="AC24" i="51"/>
  <c r="AC35" i="51"/>
  <c r="AC14" i="51"/>
  <c r="AC25" i="51"/>
  <c r="AC36" i="51"/>
  <c r="AC15" i="51"/>
  <c r="AC26" i="51"/>
  <c r="AC37" i="51"/>
  <c r="AC16" i="51"/>
  <c r="AC27" i="51"/>
  <c r="AC38" i="51"/>
  <c r="AC44" i="51"/>
  <c r="AC55" i="51"/>
  <c r="AC66" i="51"/>
  <c r="AC45" i="51"/>
  <c r="AC56" i="51"/>
  <c r="AC67" i="51"/>
  <c r="AC46" i="51"/>
  <c r="AC57" i="51"/>
  <c r="AC68" i="51"/>
  <c r="AC47" i="51"/>
  <c r="AC58" i="51"/>
  <c r="AC69" i="51"/>
  <c r="AC48" i="51"/>
  <c r="AC59" i="51"/>
  <c r="AC70" i="51"/>
  <c r="AC49" i="51"/>
  <c r="AC60" i="51"/>
  <c r="AC71" i="51"/>
  <c r="AC50" i="51"/>
  <c r="AC61" i="51"/>
  <c r="AC72" i="51"/>
  <c r="AC51" i="51"/>
  <c r="AC62" i="51"/>
  <c r="AC73" i="51"/>
  <c r="AC52" i="51"/>
  <c r="AC63" i="51"/>
  <c r="AC74" i="51"/>
  <c r="AC53" i="51"/>
  <c r="AC64" i="51"/>
  <c r="AC75" i="51"/>
  <c r="AD8" i="51"/>
  <c r="AD19" i="51"/>
  <c r="AD30" i="51"/>
  <c r="AD9" i="51"/>
  <c r="AD20" i="51"/>
  <c r="AD31" i="51"/>
  <c r="AD10" i="51"/>
  <c r="AD21" i="51"/>
  <c r="AD32" i="51"/>
  <c r="AD11" i="51"/>
  <c r="AD22" i="51"/>
  <c r="AD33" i="51"/>
  <c r="AD12" i="51"/>
  <c r="AD23" i="51"/>
  <c r="AD34" i="51"/>
  <c r="AD13" i="51"/>
  <c r="AD24" i="51"/>
  <c r="AD35" i="51"/>
  <c r="AD14" i="51"/>
  <c r="AD25" i="51"/>
  <c r="AD36" i="51"/>
  <c r="AD15" i="51"/>
  <c r="AD26" i="51"/>
  <c r="AD37" i="51"/>
  <c r="AD16" i="51"/>
  <c r="AD27" i="51"/>
  <c r="AD38" i="51"/>
  <c r="AD44" i="51"/>
  <c r="AD55" i="51"/>
  <c r="AD66" i="51"/>
  <c r="AD45" i="51"/>
  <c r="AD56" i="51"/>
  <c r="AD67" i="51"/>
  <c r="AD46" i="51"/>
  <c r="AD57" i="51"/>
  <c r="AD68" i="51"/>
  <c r="AD47" i="51"/>
  <c r="AD58" i="51"/>
  <c r="AD69" i="51"/>
  <c r="AD48" i="51"/>
  <c r="AD59" i="51"/>
  <c r="AD70" i="51"/>
  <c r="AD49" i="51"/>
  <c r="AD60" i="51"/>
  <c r="AD71" i="51"/>
  <c r="AD50" i="51"/>
  <c r="AD61" i="51"/>
  <c r="AD72" i="51"/>
  <c r="AD51" i="51"/>
  <c r="AD62" i="51"/>
  <c r="AD73" i="51"/>
  <c r="AD52" i="51"/>
  <c r="AD63" i="51"/>
  <c r="AD74" i="51"/>
  <c r="AD53" i="51"/>
  <c r="AD64" i="51"/>
  <c r="AD75" i="51"/>
  <c r="AE8" i="51"/>
  <c r="AE19" i="51"/>
  <c r="AE30" i="51"/>
  <c r="AE9" i="51"/>
  <c r="AE20" i="51"/>
  <c r="AE31" i="51"/>
  <c r="AE10" i="51"/>
  <c r="AE21" i="51"/>
  <c r="AE32" i="51"/>
  <c r="AE11" i="51"/>
  <c r="AE22" i="51"/>
  <c r="AE33" i="51"/>
  <c r="AE12" i="51"/>
  <c r="AE23" i="51"/>
  <c r="AE34" i="51"/>
  <c r="AE13" i="51"/>
  <c r="AE24" i="51"/>
  <c r="AE35" i="51"/>
  <c r="AE14" i="51"/>
  <c r="AE25" i="51"/>
  <c r="AE36" i="51"/>
  <c r="AE15" i="51"/>
  <c r="AE26" i="51"/>
  <c r="AE37" i="51"/>
  <c r="AE16" i="51"/>
  <c r="AE27" i="51"/>
  <c r="AE38" i="51"/>
  <c r="AE44" i="51"/>
  <c r="AE55" i="51"/>
  <c r="AE66" i="51"/>
  <c r="AE45" i="51"/>
  <c r="AE56" i="51"/>
  <c r="AE67" i="51"/>
  <c r="AE46" i="51"/>
  <c r="AE57" i="51"/>
  <c r="AE68" i="51"/>
  <c r="AE47" i="51"/>
  <c r="AE58" i="51"/>
  <c r="AE69" i="51"/>
  <c r="AE48" i="51"/>
  <c r="AE59" i="51"/>
  <c r="AE70" i="51"/>
  <c r="AE49" i="51"/>
  <c r="AE60" i="51"/>
  <c r="AE71" i="51"/>
  <c r="AE50" i="51"/>
  <c r="AE61" i="51"/>
  <c r="AE72" i="51"/>
  <c r="AE51" i="51"/>
  <c r="AE62" i="51"/>
  <c r="AE73" i="51"/>
  <c r="AE52" i="51"/>
  <c r="AE63" i="51"/>
  <c r="AE74" i="51"/>
  <c r="AE53" i="51"/>
  <c r="AE64" i="51"/>
  <c r="AE75" i="51"/>
  <c r="AF8" i="51"/>
  <c r="AF19" i="51"/>
  <c r="AF30" i="51"/>
  <c r="AF9" i="51"/>
  <c r="AF20" i="51"/>
  <c r="AF31" i="51"/>
  <c r="AF10" i="51"/>
  <c r="AF21" i="51"/>
  <c r="AF32" i="51"/>
  <c r="AF11" i="51"/>
  <c r="AF22" i="51"/>
  <c r="AF33" i="51"/>
  <c r="AF12" i="51"/>
  <c r="AF23" i="51"/>
  <c r="AF34" i="51"/>
  <c r="AF13" i="51"/>
  <c r="AF24" i="51"/>
  <c r="AF35" i="51"/>
  <c r="AF14" i="51"/>
  <c r="AF25" i="51"/>
  <c r="AF36" i="51"/>
  <c r="AF15" i="51"/>
  <c r="AF26" i="51"/>
  <c r="AF37" i="51"/>
  <c r="AF16" i="51"/>
  <c r="AF27" i="51"/>
  <c r="AF38" i="51"/>
  <c r="AF44" i="51"/>
  <c r="AF55" i="51"/>
  <c r="AF66" i="51"/>
  <c r="AF45" i="51"/>
  <c r="AF56" i="51"/>
  <c r="AF67" i="51"/>
  <c r="AF46" i="51"/>
  <c r="AF57" i="51"/>
  <c r="AF68" i="51"/>
  <c r="AF47" i="51"/>
  <c r="AF58" i="51"/>
  <c r="AF69" i="51"/>
  <c r="AF48" i="51"/>
  <c r="AF59" i="51"/>
  <c r="AF70" i="51"/>
  <c r="AF49" i="51"/>
  <c r="AF60" i="51"/>
  <c r="AF71" i="51"/>
  <c r="AF50" i="51"/>
  <c r="AF61" i="51"/>
  <c r="AF72" i="51"/>
  <c r="AF51" i="51"/>
  <c r="AF62" i="51"/>
  <c r="AF73" i="51"/>
  <c r="AF52" i="51"/>
  <c r="AF63" i="51"/>
  <c r="AF74" i="51"/>
  <c r="AF53" i="51"/>
  <c r="AF64" i="51"/>
  <c r="AF75" i="51"/>
  <c r="AG8" i="51"/>
  <c r="AG19" i="51"/>
  <c r="AG30" i="51"/>
  <c r="AG9" i="51"/>
  <c r="AG20" i="51"/>
  <c r="AG31" i="51"/>
  <c r="AG10" i="51"/>
  <c r="AG21" i="51"/>
  <c r="AG32" i="51"/>
  <c r="AG11" i="51"/>
  <c r="AG22" i="51"/>
  <c r="AG33" i="51"/>
  <c r="AG12" i="51"/>
  <c r="AG23" i="51"/>
  <c r="AG34" i="51"/>
  <c r="AG13" i="51"/>
  <c r="AG24" i="51"/>
  <c r="AG35" i="51"/>
  <c r="AG14" i="51"/>
  <c r="AG25" i="51"/>
  <c r="AG36" i="51"/>
  <c r="AG15" i="51"/>
  <c r="AG26" i="51"/>
  <c r="AG37" i="51"/>
  <c r="AG16" i="51"/>
  <c r="AG27" i="51"/>
  <c r="AG38" i="51"/>
  <c r="AG44" i="51"/>
  <c r="AG55" i="51"/>
  <c r="AG66" i="51"/>
  <c r="AG45" i="51"/>
  <c r="AG56" i="51"/>
  <c r="AG67" i="51"/>
  <c r="AG46" i="51"/>
  <c r="AG57" i="51"/>
  <c r="AG68" i="51"/>
  <c r="AG47" i="51"/>
  <c r="AG58" i="51"/>
  <c r="AG69" i="51"/>
  <c r="AG48" i="51"/>
  <c r="AG59" i="51"/>
  <c r="AG70" i="51"/>
  <c r="AG49" i="51"/>
  <c r="AG60" i="51"/>
  <c r="AG71" i="51"/>
  <c r="AG50" i="51"/>
  <c r="AG61" i="51"/>
  <c r="AG72" i="51"/>
  <c r="AG51" i="51"/>
  <c r="AG62" i="51"/>
  <c r="AG73" i="51"/>
  <c r="AG52" i="51"/>
  <c r="AG63" i="51"/>
  <c r="AG74" i="51"/>
  <c r="AG53" i="51"/>
  <c r="AG64" i="51"/>
  <c r="AG75" i="51"/>
  <c r="AH8" i="51"/>
  <c r="AH19" i="51"/>
  <c r="AH30" i="51"/>
  <c r="AH9" i="51"/>
  <c r="AH20" i="51"/>
  <c r="AH31" i="51"/>
  <c r="AH10" i="51"/>
  <c r="AH21" i="51"/>
  <c r="AH32" i="51"/>
  <c r="AH11" i="51"/>
  <c r="AH22" i="51"/>
  <c r="AH33" i="51"/>
  <c r="AH12" i="51"/>
  <c r="AH23" i="51"/>
  <c r="AH34" i="51"/>
  <c r="AH13" i="51"/>
  <c r="AH24" i="51"/>
  <c r="AH35" i="51"/>
  <c r="AH14" i="51"/>
  <c r="AH25" i="51"/>
  <c r="AH36" i="51"/>
  <c r="AH15" i="51"/>
  <c r="AH26" i="51"/>
  <c r="AH37" i="51"/>
  <c r="AH16" i="51"/>
  <c r="AH27" i="51"/>
  <c r="AH38" i="51"/>
  <c r="AH44" i="51"/>
  <c r="AH55" i="51"/>
  <c r="AH66" i="51"/>
  <c r="AH45" i="51"/>
  <c r="AH56" i="51"/>
  <c r="AH67" i="51"/>
  <c r="AH46" i="51"/>
  <c r="AH57" i="51"/>
  <c r="AH68" i="51"/>
  <c r="AH47" i="51"/>
  <c r="AH58" i="51"/>
  <c r="AH69" i="51"/>
  <c r="AH48" i="51"/>
  <c r="AH59" i="51"/>
  <c r="AH70" i="51"/>
  <c r="AH49" i="51"/>
  <c r="AH60" i="51"/>
  <c r="AH71" i="51"/>
  <c r="AH50" i="51"/>
  <c r="AH61" i="51"/>
  <c r="AH72" i="51"/>
  <c r="AH51" i="51"/>
  <c r="AH62" i="51"/>
  <c r="AH73" i="51"/>
  <c r="AH52" i="51"/>
  <c r="AH63" i="51"/>
  <c r="AH74" i="51"/>
  <c r="AH53" i="51"/>
  <c r="AH64" i="51"/>
  <c r="AH75" i="51"/>
  <c r="AI8" i="51"/>
  <c r="AI19" i="51"/>
  <c r="AI30" i="51"/>
  <c r="AI9" i="51"/>
  <c r="AI20" i="51"/>
  <c r="AI31" i="51"/>
  <c r="AI10" i="51"/>
  <c r="AI21" i="51"/>
  <c r="AI32" i="51"/>
  <c r="AI11" i="51"/>
  <c r="AI22" i="51"/>
  <c r="AI33" i="51"/>
  <c r="AI12" i="51"/>
  <c r="AI23" i="51"/>
  <c r="AI34" i="51"/>
  <c r="AI13" i="51"/>
  <c r="AI24" i="51"/>
  <c r="AI35" i="51"/>
  <c r="AI14" i="51"/>
  <c r="AI25" i="51"/>
  <c r="AI36" i="51"/>
  <c r="AI15" i="51"/>
  <c r="AI26" i="51"/>
  <c r="AI37" i="51"/>
  <c r="AI16" i="51"/>
  <c r="AI27" i="51"/>
  <c r="AI38" i="51"/>
  <c r="AI44" i="51"/>
  <c r="AI55" i="51"/>
  <c r="AI66" i="51"/>
  <c r="AI45" i="51"/>
  <c r="AI56" i="51"/>
  <c r="AI67" i="51"/>
  <c r="AI46" i="51"/>
  <c r="AI57" i="51"/>
  <c r="AI68" i="51"/>
  <c r="AI47" i="51"/>
  <c r="AI58" i="51"/>
  <c r="AI69" i="51"/>
  <c r="AI48" i="51"/>
  <c r="AI59" i="51"/>
  <c r="AI70" i="51"/>
  <c r="AI49" i="51"/>
  <c r="AI60" i="51"/>
  <c r="AI71" i="51"/>
  <c r="AI50" i="51"/>
  <c r="AI61" i="51"/>
  <c r="AI72" i="51"/>
  <c r="AI51" i="51"/>
  <c r="AI62" i="51"/>
  <c r="AI73" i="51"/>
  <c r="AI52" i="51"/>
  <c r="AI63" i="51"/>
  <c r="AI74" i="51"/>
  <c r="AI53" i="51"/>
  <c r="AI64" i="51"/>
  <c r="AI75" i="51"/>
  <c r="AJ8" i="51"/>
  <c r="AJ19" i="51"/>
  <c r="AJ30" i="51"/>
  <c r="AJ9" i="51"/>
  <c r="AJ20" i="51"/>
  <c r="AJ31" i="51"/>
  <c r="AJ10" i="51"/>
  <c r="AJ21" i="51"/>
  <c r="AJ32" i="51"/>
  <c r="AJ11" i="51"/>
  <c r="AJ22" i="51"/>
  <c r="AJ33" i="51"/>
  <c r="AJ12" i="51"/>
  <c r="AJ23" i="51"/>
  <c r="AJ34" i="51"/>
  <c r="AJ13" i="51"/>
  <c r="AJ24" i="51"/>
  <c r="AJ35" i="51"/>
  <c r="AJ14" i="51"/>
  <c r="AJ25" i="51"/>
  <c r="AJ36" i="51"/>
  <c r="AJ15" i="51"/>
  <c r="AJ26" i="51"/>
  <c r="AJ37" i="51"/>
  <c r="AJ16" i="51"/>
  <c r="AJ27" i="51"/>
  <c r="AJ38" i="51"/>
  <c r="AJ44" i="51"/>
  <c r="AJ55" i="51"/>
  <c r="AJ66" i="51"/>
  <c r="AJ45" i="51"/>
  <c r="AJ56" i="51"/>
  <c r="AJ67" i="51"/>
  <c r="AJ46" i="51"/>
  <c r="AJ57" i="51"/>
  <c r="AJ68" i="51"/>
  <c r="AJ47" i="51"/>
  <c r="AJ58" i="51"/>
  <c r="AJ69" i="51"/>
  <c r="AJ48" i="51"/>
  <c r="AJ59" i="51"/>
  <c r="AJ70" i="51"/>
  <c r="AJ49" i="51"/>
  <c r="AJ60" i="51"/>
  <c r="AJ71" i="51"/>
  <c r="AJ50" i="51"/>
  <c r="AJ61" i="51"/>
  <c r="AJ72" i="51"/>
  <c r="AJ51" i="51"/>
  <c r="AJ62" i="51"/>
  <c r="AJ73" i="51"/>
  <c r="AJ52" i="51"/>
  <c r="AJ63" i="51"/>
  <c r="AJ74" i="51"/>
  <c r="AJ53" i="51"/>
  <c r="AJ64" i="51"/>
  <c r="AJ75" i="51"/>
  <c r="AK8" i="51"/>
  <c r="AK19" i="51"/>
  <c r="AK30" i="51"/>
  <c r="AK9" i="51"/>
  <c r="AK20" i="51"/>
  <c r="AK31" i="51"/>
  <c r="AK10" i="51"/>
  <c r="AK21" i="51"/>
  <c r="AK32" i="51"/>
  <c r="AK11" i="51"/>
  <c r="AK22" i="51"/>
  <c r="AK33" i="51"/>
  <c r="AK12" i="51"/>
  <c r="AK23" i="51"/>
  <c r="AK34" i="51"/>
  <c r="AK13" i="51"/>
  <c r="AK24" i="51"/>
  <c r="AK35" i="51"/>
  <c r="AK14" i="51"/>
  <c r="AK25" i="51"/>
  <c r="AK36" i="51"/>
  <c r="AK15" i="51"/>
  <c r="AK26" i="51"/>
  <c r="AK37" i="51"/>
  <c r="AK16" i="51"/>
  <c r="AK27" i="51"/>
  <c r="AK38" i="51"/>
  <c r="AK44" i="51"/>
  <c r="AK55" i="51"/>
  <c r="AK66" i="51"/>
  <c r="AK45" i="51"/>
  <c r="AK56" i="51"/>
  <c r="AK67" i="51"/>
  <c r="AK46" i="51"/>
  <c r="AK57" i="51"/>
  <c r="AK68" i="51"/>
  <c r="AK47" i="51"/>
  <c r="AK58" i="51"/>
  <c r="AK69" i="51"/>
  <c r="AK48" i="51"/>
  <c r="AK59" i="51"/>
  <c r="AK70" i="51"/>
  <c r="AK49" i="51"/>
  <c r="AK60" i="51"/>
  <c r="AK71" i="51"/>
  <c r="AK50" i="51"/>
  <c r="AK61" i="51"/>
  <c r="AK72" i="51"/>
  <c r="AK51" i="51"/>
  <c r="AK62" i="51"/>
  <c r="AK73" i="51"/>
  <c r="AK52" i="51"/>
  <c r="AK63" i="51"/>
  <c r="AK74" i="51"/>
  <c r="AK53" i="51"/>
  <c r="AK64" i="51"/>
  <c r="AK75" i="51"/>
  <c r="AL8" i="51"/>
  <c r="AL19" i="51"/>
  <c r="AL30" i="51"/>
  <c r="AL9" i="51"/>
  <c r="AL20" i="51"/>
  <c r="AL31" i="51"/>
  <c r="AL10" i="51"/>
  <c r="AL21" i="51"/>
  <c r="AL32" i="51"/>
  <c r="AL11" i="51"/>
  <c r="AL22" i="51"/>
  <c r="AL33" i="51"/>
  <c r="AL12" i="51"/>
  <c r="AL23" i="51"/>
  <c r="AL34" i="51"/>
  <c r="AL13" i="51"/>
  <c r="AL24" i="51"/>
  <c r="AL35" i="51"/>
  <c r="AL14" i="51"/>
  <c r="AL25" i="51"/>
  <c r="AL36" i="51"/>
  <c r="AL15" i="51"/>
  <c r="AL26" i="51"/>
  <c r="AL37" i="51"/>
  <c r="AL16" i="51"/>
  <c r="AL27" i="51"/>
  <c r="AL38" i="51"/>
  <c r="AL44" i="51"/>
  <c r="AL55" i="51"/>
  <c r="AL66" i="51"/>
  <c r="AL45" i="51"/>
  <c r="AL56" i="51"/>
  <c r="AL67" i="51"/>
  <c r="AL46" i="51"/>
  <c r="AL57" i="51"/>
  <c r="AL68" i="51"/>
  <c r="AL47" i="51"/>
  <c r="AL58" i="51"/>
  <c r="AL69" i="51"/>
  <c r="AL48" i="51"/>
  <c r="AL59" i="51"/>
  <c r="AL70" i="51"/>
  <c r="AL49" i="51"/>
  <c r="AL60" i="51"/>
  <c r="AL71" i="51"/>
  <c r="AL50" i="51"/>
  <c r="AL61" i="51"/>
  <c r="AL72" i="51"/>
  <c r="AL51" i="51"/>
  <c r="AL62" i="51"/>
  <c r="AL73" i="51"/>
  <c r="AL52" i="51"/>
  <c r="AL63" i="51"/>
  <c r="AL74" i="51"/>
  <c r="AL53" i="51"/>
  <c r="AL64" i="51"/>
  <c r="AL75" i="51"/>
  <c r="AM8" i="51"/>
  <c r="AM19" i="51"/>
  <c r="AM30" i="51"/>
  <c r="AM9" i="51"/>
  <c r="AM20" i="51"/>
  <c r="AM31" i="51"/>
  <c r="AM10" i="51"/>
  <c r="AM21" i="51"/>
  <c r="AM32" i="51"/>
  <c r="AM11" i="51"/>
  <c r="AM22" i="51"/>
  <c r="AM33" i="51"/>
  <c r="AM12" i="51"/>
  <c r="AM23" i="51"/>
  <c r="AM34" i="51"/>
  <c r="AM13" i="51"/>
  <c r="AM24" i="51"/>
  <c r="AM35" i="51"/>
  <c r="AM14" i="51"/>
  <c r="AM25" i="51"/>
  <c r="AM36" i="51"/>
  <c r="AM15" i="51"/>
  <c r="AM26" i="51"/>
  <c r="AM37" i="51"/>
  <c r="AM16" i="51"/>
  <c r="AM27" i="51"/>
  <c r="AM38" i="51"/>
  <c r="AM44" i="51"/>
  <c r="AM55" i="51"/>
  <c r="AM66" i="51"/>
  <c r="AM45" i="51"/>
  <c r="AM56" i="51"/>
  <c r="AM67" i="51"/>
  <c r="AM46" i="51"/>
  <c r="AM57" i="51"/>
  <c r="AM68" i="51"/>
  <c r="AM47" i="51"/>
  <c r="AM58" i="51"/>
  <c r="AM69" i="51"/>
  <c r="AM48" i="51"/>
  <c r="AM59" i="51"/>
  <c r="AM70" i="51"/>
  <c r="AM49" i="51"/>
  <c r="AM60" i="51"/>
  <c r="AM71" i="51"/>
  <c r="AM50" i="51"/>
  <c r="AM61" i="51"/>
  <c r="AM72" i="51"/>
  <c r="AM51" i="51"/>
  <c r="AM62" i="51"/>
  <c r="AM73" i="51"/>
  <c r="AM52" i="51"/>
  <c r="AM63" i="51"/>
  <c r="AM74" i="51"/>
  <c r="AM53" i="51"/>
  <c r="AM64" i="51"/>
  <c r="AM75" i="51"/>
  <c r="AN8" i="51"/>
  <c r="AN19" i="51"/>
  <c r="AN30" i="51"/>
  <c r="AN9" i="51"/>
  <c r="AN20" i="51"/>
  <c r="AN31" i="51"/>
  <c r="AN10" i="51"/>
  <c r="AN21" i="51"/>
  <c r="AN32" i="51"/>
  <c r="AN11" i="51"/>
  <c r="AN22" i="51"/>
  <c r="AN33" i="51"/>
  <c r="AN12" i="51"/>
  <c r="AN23" i="51"/>
  <c r="AN34" i="51"/>
  <c r="AN13" i="51"/>
  <c r="AN24" i="51"/>
  <c r="AN35" i="51"/>
  <c r="AN14" i="51"/>
  <c r="AN25" i="51"/>
  <c r="AN36" i="51"/>
  <c r="AN15" i="51"/>
  <c r="AN26" i="51"/>
  <c r="AN37" i="51"/>
  <c r="AN16" i="51"/>
  <c r="AN27" i="51"/>
  <c r="AN38" i="51"/>
  <c r="AN44" i="51"/>
  <c r="AN55" i="51"/>
  <c r="AN66" i="51"/>
  <c r="AN45" i="51"/>
  <c r="AN56" i="51"/>
  <c r="AN67" i="51"/>
  <c r="AN46" i="51"/>
  <c r="AN57" i="51"/>
  <c r="AN68" i="51"/>
  <c r="AN47" i="51"/>
  <c r="AN58" i="51"/>
  <c r="AN69" i="51"/>
  <c r="AN48" i="51"/>
  <c r="AN59" i="51"/>
  <c r="AN70" i="51"/>
  <c r="AN49" i="51"/>
  <c r="AN60" i="51"/>
  <c r="AN71" i="51"/>
  <c r="AN50" i="51"/>
  <c r="AN61" i="51"/>
  <c r="AN72" i="51"/>
  <c r="AN51" i="51"/>
  <c r="AN62" i="51"/>
  <c r="AN73" i="51"/>
  <c r="AN52" i="51"/>
  <c r="AN63" i="51"/>
  <c r="AN74" i="51"/>
  <c r="AN53" i="51"/>
  <c r="AN64" i="51"/>
  <c r="AN75" i="51"/>
  <c r="AO8" i="51"/>
  <c r="AO19" i="51"/>
  <c r="AO30" i="51"/>
  <c r="AO9" i="51"/>
  <c r="AO20" i="51"/>
  <c r="AO31" i="51"/>
  <c r="AO10" i="51"/>
  <c r="AO21" i="51"/>
  <c r="AO32" i="51"/>
  <c r="AO11" i="51"/>
  <c r="AO22" i="51"/>
  <c r="AO33" i="51"/>
  <c r="AO12" i="51"/>
  <c r="AO23" i="51"/>
  <c r="AO34" i="51"/>
  <c r="AO13" i="51"/>
  <c r="AO24" i="51"/>
  <c r="AO35" i="51"/>
  <c r="AO14" i="51"/>
  <c r="AO25" i="51"/>
  <c r="AO36" i="51"/>
  <c r="AO15" i="51"/>
  <c r="AO26" i="51"/>
  <c r="AO37" i="51"/>
  <c r="AO16" i="51"/>
  <c r="AO27" i="51"/>
  <c r="AO38" i="51"/>
  <c r="AO44" i="51"/>
  <c r="AO55" i="51"/>
  <c r="AO66" i="51"/>
  <c r="AO45" i="51"/>
  <c r="AO56" i="51"/>
  <c r="AO67" i="51"/>
  <c r="AO46" i="51"/>
  <c r="AO57" i="51"/>
  <c r="AO68" i="51"/>
  <c r="AO47" i="51"/>
  <c r="AO58" i="51"/>
  <c r="AO69" i="51"/>
  <c r="AO48" i="51"/>
  <c r="AO59" i="51"/>
  <c r="AO70" i="51"/>
  <c r="AO49" i="51"/>
  <c r="AO60" i="51"/>
  <c r="AO71" i="51"/>
  <c r="AO50" i="51"/>
  <c r="AO61" i="51"/>
  <c r="AO72" i="51"/>
  <c r="AO51" i="51"/>
  <c r="AO62" i="51"/>
  <c r="AO73" i="51"/>
  <c r="AO52" i="51"/>
  <c r="AO63" i="51"/>
  <c r="AO74" i="51"/>
  <c r="AO53" i="51"/>
  <c r="AO64" i="51"/>
  <c r="AO75" i="51"/>
  <c r="AP8" i="51"/>
  <c r="AP19" i="51"/>
  <c r="AP30" i="51"/>
  <c r="AP9" i="51"/>
  <c r="AP20" i="51"/>
  <c r="AP31" i="51"/>
  <c r="AP10" i="51"/>
  <c r="AP21" i="51"/>
  <c r="AP32" i="51"/>
  <c r="AP11" i="51"/>
  <c r="AP22" i="51"/>
  <c r="AP33" i="51"/>
  <c r="AP12" i="51"/>
  <c r="AP23" i="51"/>
  <c r="AP34" i="51"/>
  <c r="AP13" i="51"/>
  <c r="AP24" i="51"/>
  <c r="AP35" i="51"/>
  <c r="AP14" i="51"/>
  <c r="AP25" i="51"/>
  <c r="AP36" i="51"/>
  <c r="AP15" i="51"/>
  <c r="AP26" i="51"/>
  <c r="AP37" i="51"/>
  <c r="AP16" i="51"/>
  <c r="AP27" i="51"/>
  <c r="AP38" i="51"/>
  <c r="AP44" i="51"/>
  <c r="AP55" i="51"/>
  <c r="AP66" i="51"/>
  <c r="AP45" i="51"/>
  <c r="AP56" i="51"/>
  <c r="AP67" i="51"/>
  <c r="AP46" i="51"/>
  <c r="AP57" i="51"/>
  <c r="AP68" i="51"/>
  <c r="AP47" i="51"/>
  <c r="AP58" i="51"/>
  <c r="AP69" i="51"/>
  <c r="AP48" i="51"/>
  <c r="AP59" i="51"/>
  <c r="AP70" i="51"/>
  <c r="AP49" i="51"/>
  <c r="AP60" i="51"/>
  <c r="AP71" i="51"/>
  <c r="AP50" i="51"/>
  <c r="AP61" i="51"/>
  <c r="AP72" i="51"/>
  <c r="AP51" i="51"/>
  <c r="AP62" i="51"/>
  <c r="AP73" i="51"/>
  <c r="AP52" i="51"/>
  <c r="AP63" i="51"/>
  <c r="AP74" i="51"/>
  <c r="AP53" i="51"/>
  <c r="AP64" i="51"/>
  <c r="AP75" i="51"/>
  <c r="AQ8" i="51"/>
  <c r="AQ19" i="51"/>
  <c r="AQ30" i="51"/>
  <c r="AQ9" i="51"/>
  <c r="AQ20" i="51"/>
  <c r="AQ31" i="51"/>
  <c r="AQ10" i="51"/>
  <c r="AQ21" i="51"/>
  <c r="AQ32" i="51"/>
  <c r="AQ11" i="51"/>
  <c r="AQ22" i="51"/>
  <c r="AQ33" i="51"/>
  <c r="AQ12" i="51"/>
  <c r="AQ23" i="51"/>
  <c r="AQ34" i="51"/>
  <c r="AQ13" i="51"/>
  <c r="AQ24" i="51"/>
  <c r="AQ35" i="51"/>
  <c r="AQ14" i="51"/>
  <c r="AQ25" i="51"/>
  <c r="AQ36" i="51"/>
  <c r="AQ15" i="51"/>
  <c r="AQ26" i="51"/>
  <c r="AQ37" i="51"/>
  <c r="AQ16" i="51"/>
  <c r="AQ27" i="51"/>
  <c r="AQ38" i="51"/>
  <c r="AQ44" i="51"/>
  <c r="AQ55" i="51"/>
  <c r="AQ66" i="51"/>
  <c r="AQ45" i="51"/>
  <c r="AQ56" i="51"/>
  <c r="AQ67" i="51"/>
  <c r="AQ46" i="51"/>
  <c r="AQ57" i="51"/>
  <c r="AQ68" i="51"/>
  <c r="AQ47" i="51"/>
  <c r="AQ58" i="51"/>
  <c r="AQ69" i="51"/>
  <c r="AQ48" i="51"/>
  <c r="AQ59" i="51"/>
  <c r="AQ70" i="51"/>
  <c r="AQ49" i="51"/>
  <c r="AQ60" i="51"/>
  <c r="AQ71" i="51"/>
  <c r="AQ50" i="51"/>
  <c r="AQ61" i="51"/>
  <c r="AQ72" i="51"/>
  <c r="AQ51" i="51"/>
  <c r="AQ62" i="51"/>
  <c r="AQ73" i="51"/>
  <c r="AQ52" i="51"/>
  <c r="AQ63" i="51"/>
  <c r="AQ74" i="51"/>
  <c r="AQ53" i="51"/>
  <c r="AQ64" i="51"/>
  <c r="AQ75" i="51"/>
  <c r="AR8" i="51"/>
  <c r="AR19" i="51"/>
  <c r="AR30" i="51"/>
  <c r="AR9" i="51"/>
  <c r="AR20" i="51"/>
  <c r="AR31" i="51"/>
  <c r="AR10" i="51"/>
  <c r="AR21" i="51"/>
  <c r="AR32" i="51"/>
  <c r="AR11" i="51"/>
  <c r="AR22" i="51"/>
  <c r="AR33" i="51"/>
  <c r="AR12" i="51"/>
  <c r="AR23" i="51"/>
  <c r="AR34" i="51"/>
  <c r="AR13" i="51"/>
  <c r="AR24" i="51"/>
  <c r="AR35" i="51"/>
  <c r="AR14" i="51"/>
  <c r="AR25" i="51"/>
  <c r="AR36" i="51"/>
  <c r="AR15" i="51"/>
  <c r="AR26" i="51"/>
  <c r="AR37" i="51"/>
  <c r="AR16" i="51"/>
  <c r="AR27" i="51"/>
  <c r="AR38" i="51"/>
  <c r="AR44" i="51"/>
  <c r="AR55" i="51"/>
  <c r="AR66" i="51"/>
  <c r="AR45" i="51"/>
  <c r="AR56" i="51"/>
  <c r="AR67" i="51"/>
  <c r="AR46" i="51"/>
  <c r="AR57" i="51"/>
  <c r="AR68" i="51"/>
  <c r="AR47" i="51"/>
  <c r="AR58" i="51"/>
  <c r="AR69" i="51"/>
  <c r="AR48" i="51"/>
  <c r="AR59" i="51"/>
  <c r="AR70" i="51"/>
  <c r="AR49" i="51"/>
  <c r="AR60" i="51"/>
  <c r="AR71" i="51"/>
  <c r="AR50" i="51"/>
  <c r="AR61" i="51"/>
  <c r="AR72" i="51"/>
  <c r="AR51" i="51"/>
  <c r="AR62" i="51"/>
  <c r="AR73" i="51"/>
  <c r="AR52" i="51"/>
  <c r="AR63" i="51"/>
  <c r="AR74" i="51"/>
  <c r="AR53" i="51"/>
  <c r="AR64" i="51"/>
  <c r="AR75" i="51"/>
  <c r="AS8" i="51"/>
  <c r="AS19" i="51"/>
  <c r="AS30" i="51"/>
  <c r="AS9" i="51"/>
  <c r="AS20" i="51"/>
  <c r="AS31" i="51"/>
  <c r="AS10" i="51"/>
  <c r="AS21" i="51"/>
  <c r="AS32" i="51"/>
  <c r="AS11" i="51"/>
  <c r="AS22" i="51"/>
  <c r="AS33" i="51"/>
  <c r="AS12" i="51"/>
  <c r="AS23" i="51"/>
  <c r="AS34" i="51"/>
  <c r="AS13" i="51"/>
  <c r="AS24" i="51"/>
  <c r="AS35" i="51"/>
  <c r="AS14" i="51"/>
  <c r="AS25" i="51"/>
  <c r="AS36" i="51"/>
  <c r="AS15" i="51"/>
  <c r="AS26" i="51"/>
  <c r="AS37" i="51"/>
  <c r="AS16" i="51"/>
  <c r="AS27" i="51"/>
  <c r="AS38" i="51"/>
  <c r="AS44" i="51"/>
  <c r="AS55" i="51"/>
  <c r="AS66" i="51"/>
  <c r="AS45" i="51"/>
  <c r="AS56" i="51"/>
  <c r="AS67" i="51"/>
  <c r="AS46" i="51"/>
  <c r="AS57" i="51"/>
  <c r="AS68" i="51"/>
  <c r="AS47" i="51"/>
  <c r="AS58" i="51"/>
  <c r="AS69" i="51"/>
  <c r="AS48" i="51"/>
  <c r="AS59" i="51"/>
  <c r="AS70" i="51"/>
  <c r="AS49" i="51"/>
  <c r="AS60" i="51"/>
  <c r="AS71" i="51"/>
  <c r="AS50" i="51"/>
  <c r="AS61" i="51"/>
  <c r="AS72" i="51"/>
  <c r="AS51" i="51"/>
  <c r="AS62" i="51"/>
  <c r="AS73" i="51"/>
  <c r="AS52" i="51"/>
  <c r="AS63" i="51"/>
  <c r="AS74" i="51"/>
  <c r="AS53" i="51"/>
  <c r="AS64" i="51"/>
  <c r="AS75" i="51"/>
  <c r="AT8" i="51"/>
  <c r="AT19" i="51"/>
  <c r="AT30" i="51"/>
  <c r="AT9" i="51"/>
  <c r="AT20" i="51"/>
  <c r="AT31" i="51"/>
  <c r="AT10" i="51"/>
  <c r="AT21" i="51"/>
  <c r="AT32" i="51"/>
  <c r="AT11" i="51"/>
  <c r="AT22" i="51"/>
  <c r="AT33" i="51"/>
  <c r="AT12" i="51"/>
  <c r="AT23" i="51"/>
  <c r="AT34" i="51"/>
  <c r="AT13" i="51"/>
  <c r="AT24" i="51"/>
  <c r="AT35" i="51"/>
  <c r="AT14" i="51"/>
  <c r="AT25" i="51"/>
  <c r="AT36" i="51"/>
  <c r="AT15" i="51"/>
  <c r="AT26" i="51"/>
  <c r="AT37" i="51"/>
  <c r="AT16" i="51"/>
  <c r="AT27" i="51"/>
  <c r="AT38" i="51"/>
  <c r="AT44" i="51"/>
  <c r="AT55" i="51"/>
  <c r="AT66" i="51"/>
  <c r="AT45" i="51"/>
  <c r="AT56" i="51"/>
  <c r="AT67" i="51"/>
  <c r="AT46" i="51"/>
  <c r="AT57" i="51"/>
  <c r="AT68" i="51"/>
  <c r="AT47" i="51"/>
  <c r="AT58" i="51"/>
  <c r="AT69" i="51"/>
  <c r="AT48" i="51"/>
  <c r="AT59" i="51"/>
  <c r="AT70" i="51"/>
  <c r="AT49" i="51"/>
  <c r="AT60" i="51"/>
  <c r="AT71" i="51"/>
  <c r="AT50" i="51"/>
  <c r="AT61" i="51"/>
  <c r="AT72" i="51"/>
  <c r="AT51" i="51"/>
  <c r="AT62" i="51"/>
  <c r="AT73" i="51"/>
  <c r="AT52" i="51"/>
  <c r="AT63" i="51"/>
  <c r="AT74" i="51"/>
  <c r="AT53" i="51"/>
  <c r="AT64" i="51"/>
  <c r="AT75" i="51"/>
  <c r="AU8" i="51"/>
  <c r="AU19" i="51"/>
  <c r="AU30" i="51"/>
  <c r="AU9" i="51"/>
  <c r="AU20" i="51"/>
  <c r="AU31" i="51"/>
  <c r="AU10" i="51"/>
  <c r="AU21" i="51"/>
  <c r="AU32" i="51"/>
  <c r="AU11" i="51"/>
  <c r="AU22" i="51"/>
  <c r="AU33" i="51"/>
  <c r="AU12" i="51"/>
  <c r="AU23" i="51"/>
  <c r="AU34" i="51"/>
  <c r="AU13" i="51"/>
  <c r="AU24" i="51"/>
  <c r="AU35" i="51"/>
  <c r="AU14" i="51"/>
  <c r="AU25" i="51"/>
  <c r="AU36" i="51"/>
  <c r="AU15" i="51"/>
  <c r="AU26" i="51"/>
  <c r="AU37" i="51"/>
  <c r="AU16" i="51"/>
  <c r="AU27" i="51"/>
  <c r="AU38" i="51"/>
  <c r="AU44" i="51"/>
  <c r="AU55" i="51"/>
  <c r="AU66" i="51"/>
  <c r="AU45" i="51"/>
  <c r="AU56" i="51"/>
  <c r="AU67" i="51"/>
  <c r="AU46" i="51"/>
  <c r="AU57" i="51"/>
  <c r="AU68" i="51"/>
  <c r="AU47" i="51"/>
  <c r="AU58" i="51"/>
  <c r="AU69" i="51"/>
  <c r="AU48" i="51"/>
  <c r="AU59" i="51"/>
  <c r="AU70" i="51"/>
  <c r="AU49" i="51"/>
  <c r="AU60" i="51"/>
  <c r="AU71" i="51"/>
  <c r="AU50" i="51"/>
  <c r="AU61" i="51"/>
  <c r="AU72" i="51"/>
  <c r="AU51" i="51"/>
  <c r="AU62" i="51"/>
  <c r="AU73" i="51"/>
  <c r="AU52" i="51"/>
  <c r="AU63" i="51"/>
  <c r="AU74" i="51"/>
  <c r="AU53" i="51"/>
  <c r="AU64" i="51"/>
  <c r="AU75" i="51"/>
  <c r="AV8" i="51"/>
  <c r="AV19" i="51"/>
  <c r="AV30" i="51"/>
  <c r="AV9" i="51"/>
  <c r="AV20" i="51"/>
  <c r="AV31" i="51"/>
  <c r="AV10" i="51"/>
  <c r="AV21" i="51"/>
  <c r="AV32" i="51"/>
  <c r="AV11" i="51"/>
  <c r="AV22" i="51"/>
  <c r="AV33" i="51"/>
  <c r="AV12" i="51"/>
  <c r="AV23" i="51"/>
  <c r="AV34" i="51"/>
  <c r="AV13" i="51"/>
  <c r="AV24" i="51"/>
  <c r="AV35" i="51"/>
  <c r="AV14" i="51"/>
  <c r="AV25" i="51"/>
  <c r="AV36" i="51"/>
  <c r="AV15" i="51"/>
  <c r="AV26" i="51"/>
  <c r="AV37" i="51"/>
  <c r="AV16" i="51"/>
  <c r="AV27" i="51"/>
  <c r="AV38" i="51"/>
  <c r="AV44" i="51"/>
  <c r="AV55" i="51"/>
  <c r="AV66" i="51"/>
  <c r="AV45" i="51"/>
  <c r="AV56" i="51"/>
  <c r="AV67" i="51"/>
  <c r="AV46" i="51"/>
  <c r="AV57" i="51"/>
  <c r="AV68" i="51"/>
  <c r="AV47" i="51"/>
  <c r="AV58" i="51"/>
  <c r="AV69" i="51"/>
  <c r="AV48" i="51"/>
  <c r="AV59" i="51"/>
  <c r="AV70" i="51"/>
  <c r="AV49" i="51"/>
  <c r="AV60" i="51"/>
  <c r="AV71" i="51"/>
  <c r="AV50" i="51"/>
  <c r="AV61" i="51"/>
  <c r="AV72" i="51"/>
  <c r="AV51" i="51"/>
  <c r="AV62" i="51"/>
  <c r="AV73" i="51"/>
  <c r="AV52" i="51"/>
  <c r="AV63" i="51"/>
  <c r="AV74" i="51"/>
  <c r="AV53" i="51"/>
  <c r="AV64" i="51"/>
  <c r="AV75" i="51"/>
  <c r="F26" i="33"/>
  <c r="D15" i="32"/>
  <c r="D33" i="32"/>
  <c r="E15" i="32"/>
  <c r="E33" i="32"/>
  <c r="F15" i="32"/>
  <c r="F33" i="32"/>
  <c r="G15" i="32"/>
  <c r="G33" i="32"/>
  <c r="H15" i="32"/>
  <c r="H33" i="32"/>
  <c r="I15" i="32"/>
  <c r="I33" i="32"/>
  <c r="J15" i="32"/>
  <c r="J33" i="32"/>
  <c r="K15" i="32"/>
  <c r="K33" i="32"/>
  <c r="L15" i="32"/>
  <c r="L33" i="32"/>
  <c r="M15" i="32"/>
  <c r="M33" i="32"/>
  <c r="N15" i="32"/>
  <c r="N33" i="32"/>
  <c r="O15" i="32"/>
  <c r="O33" i="32"/>
  <c r="P15" i="32"/>
  <c r="P33" i="32"/>
  <c r="Q15" i="32"/>
  <c r="Q33" i="32"/>
  <c r="R15" i="32"/>
  <c r="R33" i="32"/>
  <c r="S15" i="32"/>
  <c r="S33" i="32"/>
  <c r="T15" i="32"/>
  <c r="T33" i="32"/>
  <c r="U15" i="32"/>
  <c r="U33" i="32"/>
  <c r="V15" i="32"/>
  <c r="V33" i="32"/>
  <c r="W15" i="32"/>
  <c r="W33" i="32"/>
  <c r="X15" i="32"/>
  <c r="X33" i="32"/>
  <c r="Y15" i="32"/>
  <c r="Y33" i="32"/>
  <c r="Z15" i="32"/>
  <c r="Z33" i="32"/>
  <c r="AA15" i="32"/>
  <c r="AA33" i="32"/>
  <c r="AB15" i="32"/>
  <c r="AB33" i="32"/>
  <c r="AC15" i="32"/>
  <c r="AC33" i="32"/>
  <c r="AD15" i="32"/>
  <c r="AD33" i="32"/>
  <c r="AE15" i="32"/>
  <c r="AE33" i="32"/>
  <c r="AF15" i="32"/>
  <c r="AF33" i="32"/>
  <c r="AG15" i="32"/>
  <c r="AG33" i="32"/>
  <c r="AH15" i="32"/>
  <c r="AH33" i="32"/>
  <c r="AI15" i="32"/>
  <c r="AI33" i="32"/>
  <c r="AJ15" i="32"/>
  <c r="AJ33" i="32"/>
  <c r="AK15" i="32"/>
  <c r="AK33" i="32"/>
  <c r="AL15" i="32"/>
  <c r="AL33" i="32"/>
  <c r="AM15" i="32"/>
  <c r="AM33" i="32"/>
  <c r="AN15" i="32"/>
  <c r="AN33" i="32"/>
  <c r="AO15" i="32"/>
  <c r="AO33" i="32"/>
  <c r="AP15" i="32"/>
  <c r="AP33" i="32"/>
  <c r="AQ15" i="32"/>
  <c r="AQ33" i="32"/>
  <c r="I12" i="49"/>
  <c r="I13" i="49"/>
  <c r="I14" i="49"/>
  <c r="J12" i="49"/>
  <c r="J13" i="49"/>
  <c r="J14" i="49"/>
  <c r="K12" i="49"/>
  <c r="K13" i="49"/>
  <c r="K14" i="49"/>
  <c r="L12" i="49"/>
  <c r="L13" i="49"/>
  <c r="L14" i="49"/>
  <c r="M12" i="49"/>
  <c r="M13" i="49"/>
  <c r="M14" i="49"/>
  <c r="N12" i="49"/>
  <c r="N13" i="49"/>
  <c r="N14" i="49"/>
  <c r="O87" i="51"/>
  <c r="P87" i="51"/>
  <c r="P88" i="51"/>
  <c r="Q87" i="51"/>
  <c r="Q88" i="51"/>
  <c r="Q89" i="51"/>
  <c r="R87" i="51"/>
  <c r="R88" i="51"/>
  <c r="R89" i="51"/>
  <c r="R90" i="51"/>
  <c r="S87" i="51"/>
  <c r="S88" i="51"/>
  <c r="S89" i="51"/>
  <c r="S90" i="51"/>
  <c r="T87" i="51"/>
  <c r="T88" i="51"/>
  <c r="T89" i="51"/>
  <c r="T90" i="51"/>
  <c r="U87" i="51"/>
  <c r="U88" i="51"/>
  <c r="U89" i="51"/>
  <c r="U90" i="51"/>
  <c r="V87" i="51"/>
  <c r="V88" i="51"/>
  <c r="V89" i="51"/>
  <c r="V90" i="51"/>
  <c r="W87" i="51"/>
  <c r="W88" i="51"/>
  <c r="W89" i="51"/>
  <c r="W90" i="51"/>
  <c r="X87" i="51"/>
  <c r="X88" i="51"/>
  <c r="X89" i="51"/>
  <c r="X90" i="51"/>
  <c r="Y87" i="51"/>
  <c r="Y88" i="51"/>
  <c r="Y89" i="51"/>
  <c r="Y90" i="51"/>
  <c r="Z87" i="51"/>
  <c r="Z88" i="51"/>
  <c r="Z89" i="51"/>
  <c r="Z90" i="51"/>
  <c r="AA87" i="51"/>
  <c r="AA88" i="51"/>
  <c r="AA89" i="51"/>
  <c r="AA90" i="51"/>
  <c r="AB87" i="51"/>
  <c r="AB88" i="51"/>
  <c r="AB89" i="51"/>
  <c r="AB90" i="51"/>
  <c r="AC87" i="51"/>
  <c r="AC88" i="51"/>
  <c r="AC89" i="51"/>
  <c r="AC90" i="51"/>
  <c r="AD87" i="51"/>
  <c r="AD88" i="51"/>
  <c r="AD89" i="51"/>
  <c r="AD90" i="51"/>
  <c r="AE87" i="51"/>
  <c r="AE88" i="51"/>
  <c r="AE89" i="51"/>
  <c r="AE90" i="51"/>
  <c r="AF87" i="51"/>
  <c r="AF88" i="51"/>
  <c r="AF89" i="51"/>
  <c r="AF90" i="51"/>
  <c r="AG87" i="51"/>
  <c r="AG88" i="51"/>
  <c r="AG89" i="51"/>
  <c r="AG90" i="51"/>
  <c r="AH87" i="51"/>
  <c r="AH88" i="51"/>
  <c r="AH89" i="51"/>
  <c r="AH90" i="51"/>
  <c r="AI87" i="51"/>
  <c r="AI88" i="51"/>
  <c r="AI89" i="51"/>
  <c r="AI90" i="51"/>
  <c r="AJ87" i="51"/>
  <c r="AJ88" i="51"/>
  <c r="AJ89" i="51"/>
  <c r="AJ90" i="51"/>
  <c r="AK87" i="51"/>
  <c r="AK88" i="51"/>
  <c r="AK89" i="51"/>
  <c r="AK90" i="51"/>
  <c r="AL87" i="51"/>
  <c r="AL88" i="51"/>
  <c r="AL89" i="51"/>
  <c r="AL90" i="51"/>
  <c r="AM87" i="51"/>
  <c r="AM88" i="51"/>
  <c r="AM89" i="51"/>
  <c r="AM90" i="51"/>
  <c r="AN87" i="51"/>
  <c r="AN88" i="51"/>
  <c r="AN89" i="51"/>
  <c r="AN90" i="51"/>
  <c r="AO87" i="51"/>
  <c r="AO88" i="51"/>
  <c r="AO89" i="51"/>
  <c r="AO90" i="51"/>
  <c r="AP87" i="51"/>
  <c r="AP88" i="51"/>
  <c r="AP89" i="51"/>
  <c r="AP90" i="51"/>
  <c r="AQ87" i="51"/>
  <c r="AQ88" i="51"/>
  <c r="AQ89" i="51"/>
  <c r="AQ90" i="51"/>
  <c r="AR87" i="51"/>
  <c r="AR88" i="51"/>
  <c r="AR89" i="51"/>
  <c r="AR90" i="51"/>
  <c r="AS87" i="51"/>
  <c r="AS88" i="51"/>
  <c r="AS89" i="51"/>
  <c r="AS90" i="51"/>
  <c r="AT87" i="51"/>
  <c r="AT88" i="51"/>
  <c r="AT89" i="51"/>
  <c r="AT90" i="51"/>
  <c r="AU87" i="51"/>
  <c r="AU88" i="51"/>
  <c r="AU89" i="51"/>
  <c r="AU90" i="51"/>
  <c r="AV87" i="51"/>
  <c r="AV88" i="51"/>
  <c r="AV89" i="51"/>
  <c r="AV90" i="51"/>
  <c r="F28" i="29"/>
  <c r="O12" i="49"/>
  <c r="O13" i="49"/>
  <c r="O14" i="49"/>
  <c r="P12" i="49"/>
  <c r="P13" i="49"/>
  <c r="P14" i="49"/>
  <c r="Q12" i="49"/>
  <c r="Q13" i="49"/>
  <c r="Q14" i="49"/>
  <c r="R12" i="49"/>
  <c r="R13" i="49"/>
  <c r="R14" i="49"/>
  <c r="S12" i="49"/>
  <c r="S13" i="49"/>
  <c r="S14" i="49"/>
  <c r="T12" i="49"/>
  <c r="T13" i="49"/>
  <c r="T14" i="49"/>
  <c r="U12" i="49"/>
  <c r="U13" i="49"/>
  <c r="U14" i="49"/>
  <c r="V12" i="49"/>
  <c r="V13" i="49"/>
  <c r="V14" i="49"/>
  <c r="W12" i="49"/>
  <c r="W13" i="49"/>
  <c r="W14" i="49"/>
  <c r="X12" i="49"/>
  <c r="X13" i="49"/>
  <c r="X14" i="49"/>
  <c r="Y12" i="49"/>
  <c r="Y13" i="49"/>
  <c r="Y14" i="49"/>
  <c r="Z12" i="49"/>
  <c r="Z13" i="49"/>
  <c r="Z14" i="49"/>
  <c r="AA12" i="49"/>
  <c r="AA13" i="49"/>
  <c r="AA14" i="49"/>
  <c r="AB12" i="49"/>
  <c r="AB13" i="49"/>
  <c r="AB14" i="49"/>
  <c r="AC12" i="49"/>
  <c r="AC13" i="49"/>
  <c r="AC14" i="49"/>
  <c r="AD12" i="49"/>
  <c r="AD13" i="49"/>
  <c r="AD14" i="49"/>
  <c r="AE12" i="49"/>
  <c r="AE13" i="49"/>
  <c r="AE14" i="49"/>
  <c r="AF12" i="49"/>
  <c r="AF13" i="49"/>
  <c r="AF14" i="49"/>
  <c r="AG12" i="49"/>
  <c r="AG13" i="49"/>
  <c r="AG14" i="49"/>
  <c r="F29" i="29"/>
  <c r="I261" i="52"/>
  <c r="J262" i="52"/>
  <c r="K263" i="52"/>
  <c r="L264" i="52"/>
  <c r="M265" i="52"/>
  <c r="N266" i="52"/>
  <c r="O267" i="52"/>
  <c r="P268" i="52"/>
  <c r="Q269" i="52"/>
  <c r="R270" i="52"/>
  <c r="S271" i="52"/>
  <c r="T272" i="52"/>
  <c r="U273" i="52"/>
  <c r="V274" i="52"/>
  <c r="W275" i="52"/>
  <c r="X276" i="52"/>
  <c r="Y277" i="52"/>
  <c r="Z278" i="52"/>
  <c r="AA279" i="52"/>
  <c r="AB280" i="52"/>
  <c r="AC281" i="52"/>
  <c r="AD282" i="52"/>
  <c r="AE283" i="52"/>
  <c r="AF284" i="52"/>
  <c r="AG285" i="52"/>
  <c r="AH286" i="52"/>
  <c r="J261" i="52"/>
  <c r="K262" i="52"/>
  <c r="L263" i="52"/>
  <c r="M264" i="52"/>
  <c r="N265" i="52"/>
  <c r="O266" i="52"/>
  <c r="P267" i="52"/>
  <c r="Q268" i="52"/>
  <c r="R269" i="52"/>
  <c r="S270" i="52"/>
  <c r="T271" i="52"/>
  <c r="U272" i="52"/>
  <c r="V273" i="52"/>
  <c r="W274" i="52"/>
  <c r="X275" i="52"/>
  <c r="Y276" i="52"/>
  <c r="Z277" i="52"/>
  <c r="AA278" i="52"/>
  <c r="AB279" i="52"/>
  <c r="AC280" i="52"/>
  <c r="AD281" i="52"/>
  <c r="AE282" i="52"/>
  <c r="AF283" i="52"/>
  <c r="AG284" i="52"/>
  <c r="AH285" i="52"/>
  <c r="AI286" i="52"/>
  <c r="AI287" i="52"/>
  <c r="K261" i="52"/>
  <c r="L262" i="52"/>
  <c r="M263" i="52"/>
  <c r="N264" i="52"/>
  <c r="O265" i="52"/>
  <c r="P266" i="52"/>
  <c r="Q267" i="52"/>
  <c r="R268" i="52"/>
  <c r="S269" i="52"/>
  <c r="T270" i="52"/>
  <c r="U271" i="52"/>
  <c r="V272" i="52"/>
  <c r="W273" i="52"/>
  <c r="X274" i="52"/>
  <c r="Y275" i="52"/>
  <c r="Z276" i="52"/>
  <c r="AA277" i="52"/>
  <c r="AB278" i="52"/>
  <c r="AC279" i="52"/>
  <c r="AD280" i="52"/>
  <c r="AE281" i="52"/>
  <c r="AF282" i="52"/>
  <c r="AG283" i="52"/>
  <c r="AH284" i="52"/>
  <c r="AI285" i="52"/>
  <c r="AJ286" i="52"/>
  <c r="AJ287" i="52"/>
  <c r="AJ288" i="52"/>
  <c r="L261" i="52"/>
  <c r="M262" i="52"/>
  <c r="N263" i="52"/>
  <c r="O264" i="52"/>
  <c r="P265" i="52"/>
  <c r="Q266" i="52"/>
  <c r="R267" i="52"/>
  <c r="S268" i="52"/>
  <c r="T269" i="52"/>
  <c r="U270" i="52"/>
  <c r="V271" i="52"/>
  <c r="W272" i="52"/>
  <c r="X273" i="52"/>
  <c r="Y274" i="52"/>
  <c r="Z275" i="52"/>
  <c r="AA276" i="52"/>
  <c r="AB277" i="52"/>
  <c r="AC278" i="52"/>
  <c r="AD279" i="52"/>
  <c r="AE280" i="52"/>
  <c r="AF281" i="52"/>
  <c r="AG282" i="52"/>
  <c r="AH283" i="52"/>
  <c r="AI284" i="52"/>
  <c r="AJ285" i="52"/>
  <c r="AK286" i="52"/>
  <c r="AK287" i="52"/>
  <c r="AK288" i="52"/>
  <c r="AK289" i="52"/>
  <c r="M261" i="52"/>
  <c r="N262" i="52"/>
  <c r="O263" i="52"/>
  <c r="P264" i="52"/>
  <c r="Q265" i="52"/>
  <c r="R266" i="52"/>
  <c r="S267" i="52"/>
  <c r="T268" i="52"/>
  <c r="U269" i="52"/>
  <c r="V270" i="52"/>
  <c r="W271" i="52"/>
  <c r="X272" i="52"/>
  <c r="Y273" i="52"/>
  <c r="Z274" i="52"/>
  <c r="AA275" i="52"/>
  <c r="AB276" i="52"/>
  <c r="AC277" i="52"/>
  <c r="AD278" i="52"/>
  <c r="AE279" i="52"/>
  <c r="AF280" i="52"/>
  <c r="AG281" i="52"/>
  <c r="AH282" i="52"/>
  <c r="AI283" i="52"/>
  <c r="AJ284" i="52"/>
  <c r="AK285" i="52"/>
  <c r="AL286" i="52"/>
  <c r="AL287" i="52"/>
  <c r="AL288" i="52"/>
  <c r="AL289" i="52"/>
  <c r="AL290" i="52"/>
  <c r="N261" i="52"/>
  <c r="O262" i="52"/>
  <c r="P263" i="52"/>
  <c r="Q264" i="52"/>
  <c r="R265" i="52"/>
  <c r="S266" i="52"/>
  <c r="T267" i="52"/>
  <c r="U268" i="52"/>
  <c r="V269" i="52"/>
  <c r="W270" i="52"/>
  <c r="X271" i="52"/>
  <c r="Y272" i="52"/>
  <c r="Z273" i="52"/>
  <c r="AA274" i="52"/>
  <c r="AB275" i="52"/>
  <c r="AC276" i="52"/>
  <c r="AD277" i="52"/>
  <c r="AE278" i="52"/>
  <c r="AF279" i="52"/>
  <c r="AG280" i="52"/>
  <c r="AH281" i="52"/>
  <c r="AI282" i="52"/>
  <c r="AJ283" i="52"/>
  <c r="AK284" i="52"/>
  <c r="AL285" i="52"/>
  <c r="AM286" i="52"/>
  <c r="AM287" i="52"/>
  <c r="AM288" i="52"/>
  <c r="AM289" i="52"/>
  <c r="AM290" i="52"/>
  <c r="AM291" i="52"/>
  <c r="O261" i="52"/>
  <c r="P262" i="52"/>
  <c r="Q263" i="52"/>
  <c r="R264" i="52"/>
  <c r="S265" i="52"/>
  <c r="T266" i="52"/>
  <c r="U267" i="52"/>
  <c r="V268" i="52"/>
  <c r="W269" i="52"/>
  <c r="X270" i="52"/>
  <c r="Y271" i="52"/>
  <c r="Z272" i="52"/>
  <c r="AA273" i="52"/>
  <c r="AB274" i="52"/>
  <c r="AC275" i="52"/>
  <c r="AD276" i="52"/>
  <c r="AE277" i="52"/>
  <c r="AF278" i="52"/>
  <c r="AG279" i="52"/>
  <c r="AH280" i="52"/>
  <c r="AI281" i="52"/>
  <c r="AJ282" i="52"/>
  <c r="AK283" i="52"/>
  <c r="AL284" i="52"/>
  <c r="AM285" i="52"/>
  <c r="AN286" i="52"/>
  <c r="AN287" i="52"/>
  <c r="AN288" i="52"/>
  <c r="AN289" i="52"/>
  <c r="AN290" i="52"/>
  <c r="AN291" i="52"/>
  <c r="AN292" i="52"/>
  <c r="P261" i="52"/>
  <c r="Q262" i="52"/>
  <c r="R263" i="52"/>
  <c r="S264" i="52"/>
  <c r="T265" i="52"/>
  <c r="U266" i="52"/>
  <c r="V267" i="52"/>
  <c r="W268" i="52"/>
  <c r="X269" i="52"/>
  <c r="Y270" i="52"/>
  <c r="Z271" i="52"/>
  <c r="AA272" i="52"/>
  <c r="AB273" i="52"/>
  <c r="AC274" i="52"/>
  <c r="AD275" i="52"/>
  <c r="AE276" i="52"/>
  <c r="AF277" i="52"/>
  <c r="AG278" i="52"/>
  <c r="AH279" i="52"/>
  <c r="AI280" i="52"/>
  <c r="AJ281" i="52"/>
  <c r="AK282" i="52"/>
  <c r="AL283" i="52"/>
  <c r="AM284" i="52"/>
  <c r="AN285" i="52"/>
  <c r="AO286" i="52"/>
  <c r="AO287" i="52"/>
  <c r="AO288" i="52"/>
  <c r="AO289" i="52"/>
  <c r="AO290" i="52"/>
  <c r="AO291" i="52"/>
  <c r="AO292" i="52"/>
  <c r="AO293" i="52"/>
  <c r="Q261" i="52"/>
  <c r="R262" i="52"/>
  <c r="S263" i="52"/>
  <c r="T264" i="52"/>
  <c r="U265" i="52"/>
  <c r="V266" i="52"/>
  <c r="W267" i="52"/>
  <c r="X268" i="52"/>
  <c r="Y269" i="52"/>
  <c r="Z270" i="52"/>
  <c r="AA271" i="52"/>
  <c r="AB272" i="52"/>
  <c r="AC273" i="52"/>
  <c r="AD274" i="52"/>
  <c r="AE275" i="52"/>
  <c r="AF276" i="52"/>
  <c r="AG277" i="52"/>
  <c r="AH278" i="52"/>
  <c r="AI279" i="52"/>
  <c r="AJ280" i="52"/>
  <c r="AK281" i="52"/>
  <c r="AL282" i="52"/>
  <c r="AM283" i="52"/>
  <c r="AN284" i="52"/>
  <c r="AO285" i="52"/>
  <c r="AP286" i="52"/>
  <c r="AP287" i="52"/>
  <c r="AP288" i="52"/>
  <c r="AP289" i="52"/>
  <c r="AP290" i="52"/>
  <c r="AP291" i="52"/>
  <c r="AP292" i="52"/>
  <c r="AP293" i="52"/>
  <c r="AP294" i="52"/>
  <c r="R261" i="52"/>
  <c r="S262" i="52"/>
  <c r="T263" i="52"/>
  <c r="U264" i="52"/>
  <c r="V265" i="52"/>
  <c r="W266" i="52"/>
  <c r="X267" i="52"/>
  <c r="Y268" i="52"/>
  <c r="Z269" i="52"/>
  <c r="AA270" i="52"/>
  <c r="AB271" i="52"/>
  <c r="AC272" i="52"/>
  <c r="AD273" i="52"/>
  <c r="AE274" i="52"/>
  <c r="AF275" i="52"/>
  <c r="AG276" i="52"/>
  <c r="AH277" i="52"/>
  <c r="AI278" i="52"/>
  <c r="AJ279" i="52"/>
  <c r="AK280" i="52"/>
  <c r="AL281" i="52"/>
  <c r="AM282" i="52"/>
  <c r="AN283" i="52"/>
  <c r="AO284" i="52"/>
  <c r="AP285" i="52"/>
  <c r="AQ286" i="52"/>
  <c r="AQ287" i="52"/>
  <c r="AQ288" i="52"/>
  <c r="AQ289" i="52"/>
  <c r="AQ290" i="52"/>
  <c r="AQ291" i="52"/>
  <c r="AQ292" i="52"/>
  <c r="AQ293" i="52"/>
  <c r="AQ294" i="52"/>
  <c r="AQ295" i="52"/>
  <c r="S261" i="52"/>
  <c r="T262" i="52"/>
  <c r="U263" i="52"/>
  <c r="V264" i="52"/>
  <c r="W265" i="52"/>
  <c r="X266" i="52"/>
  <c r="Y267" i="52"/>
  <c r="Z268" i="52"/>
  <c r="AA269" i="52"/>
  <c r="AB270" i="52"/>
  <c r="AC271" i="52"/>
  <c r="AD272" i="52"/>
  <c r="AE273" i="52"/>
  <c r="AF274" i="52"/>
  <c r="AG275" i="52"/>
  <c r="AH276" i="52"/>
  <c r="AI277" i="52"/>
  <c r="AJ278" i="52"/>
  <c r="AK279" i="52"/>
  <c r="AL280" i="52"/>
  <c r="AM281" i="52"/>
  <c r="AN282" i="52"/>
  <c r="AO283" i="52"/>
  <c r="AP284" i="52"/>
  <c r="AQ285" i="52"/>
  <c r="AR286" i="52"/>
  <c r="AR287" i="52"/>
  <c r="AR288" i="52"/>
  <c r="AR289" i="52"/>
  <c r="AR290" i="52"/>
  <c r="AR291" i="52"/>
  <c r="AR292" i="52"/>
  <c r="AR293" i="52"/>
  <c r="AR294" i="52"/>
  <c r="AR295" i="52"/>
  <c r="AR296" i="52"/>
  <c r="T261" i="52"/>
  <c r="U262" i="52"/>
  <c r="V263" i="52"/>
  <c r="W264" i="52"/>
  <c r="X265" i="52"/>
  <c r="Y266" i="52"/>
  <c r="Z267" i="52"/>
  <c r="AA268" i="52"/>
  <c r="AB269" i="52"/>
  <c r="AC270" i="52"/>
  <c r="AD271" i="52"/>
  <c r="AE272" i="52"/>
  <c r="AF273" i="52"/>
  <c r="AG274" i="52"/>
  <c r="AH275" i="52"/>
  <c r="AI276" i="52"/>
  <c r="AJ277" i="52"/>
  <c r="AK278" i="52"/>
  <c r="AL279" i="52"/>
  <c r="AM280" i="52"/>
  <c r="AN281" i="52"/>
  <c r="AO282" i="52"/>
  <c r="AP283" i="52"/>
  <c r="AQ284" i="52"/>
  <c r="AR285" i="52"/>
  <c r="AS286" i="52"/>
  <c r="AS287" i="52"/>
  <c r="AS288" i="52"/>
  <c r="AS289" i="52"/>
  <c r="AS290" i="52"/>
  <c r="AS291" i="52"/>
  <c r="AS292" i="52"/>
  <c r="AS293" i="52"/>
  <c r="AS294" i="52"/>
  <c r="AS295" i="52"/>
  <c r="AS296" i="52"/>
  <c r="AS297" i="52"/>
  <c r="U261" i="52"/>
  <c r="V262" i="52"/>
  <c r="W263" i="52"/>
  <c r="X264" i="52"/>
  <c r="Y265" i="52"/>
  <c r="Z266" i="52"/>
  <c r="AA267" i="52"/>
  <c r="AB268" i="52"/>
  <c r="AC269" i="52"/>
  <c r="AD270" i="52"/>
  <c r="AE271" i="52"/>
  <c r="AF272" i="52"/>
  <c r="AG273" i="52"/>
  <c r="AH274" i="52"/>
  <c r="AI275" i="52"/>
  <c r="AJ276" i="52"/>
  <c r="AK277" i="52"/>
  <c r="AL278" i="52"/>
  <c r="AM279" i="52"/>
  <c r="AN280" i="52"/>
  <c r="AO281" i="52"/>
  <c r="AP282" i="52"/>
  <c r="AQ283" i="52"/>
  <c r="AR284" i="52"/>
  <c r="AS285" i="52"/>
  <c r="AT286" i="52"/>
  <c r="AT287" i="52"/>
  <c r="AT288" i="52"/>
  <c r="AT289" i="52"/>
  <c r="AT290" i="52"/>
  <c r="AT291" i="52"/>
  <c r="AT292" i="52"/>
  <c r="AT293" i="52"/>
  <c r="AT294" i="52"/>
  <c r="AT295" i="52"/>
  <c r="AT296" i="52"/>
  <c r="AT297" i="52"/>
  <c r="AT298" i="52"/>
  <c r="V261" i="52"/>
  <c r="W262" i="52"/>
  <c r="X263" i="52"/>
  <c r="Y264" i="52"/>
  <c r="Z265" i="52"/>
  <c r="AA266" i="52"/>
  <c r="AB267" i="52"/>
  <c r="AC268" i="52"/>
  <c r="AD269" i="52"/>
  <c r="AE270" i="52"/>
  <c r="AF271" i="52"/>
  <c r="AG272" i="52"/>
  <c r="AH273" i="52"/>
  <c r="AI274" i="52"/>
  <c r="AJ275" i="52"/>
  <c r="AK276" i="52"/>
  <c r="AL277" i="52"/>
  <c r="AM278" i="52"/>
  <c r="AN279" i="52"/>
  <c r="AO280" i="52"/>
  <c r="AP281" i="52"/>
  <c r="AQ282" i="52"/>
  <c r="AR283" i="52"/>
  <c r="AS284" i="52"/>
  <c r="AT285" i="52"/>
  <c r="AU286" i="52"/>
  <c r="AU287" i="52"/>
  <c r="AU288" i="52"/>
  <c r="AU289" i="52"/>
  <c r="AU290" i="52"/>
  <c r="AU291" i="52"/>
  <c r="AU292" i="52"/>
  <c r="AU293" i="52"/>
  <c r="AU294" i="52"/>
  <c r="AU295" i="52"/>
  <c r="AU296" i="52"/>
  <c r="AU297" i="52"/>
  <c r="AU298" i="52"/>
  <c r="AU299" i="52"/>
  <c r="W261" i="52"/>
  <c r="X262" i="52"/>
  <c r="Y263" i="52"/>
  <c r="Z264" i="52"/>
  <c r="AA265" i="52"/>
  <c r="AB266" i="52"/>
  <c r="AC267" i="52"/>
  <c r="AD268" i="52"/>
  <c r="AE269" i="52"/>
  <c r="AF270" i="52"/>
  <c r="AG271" i="52"/>
  <c r="AH272" i="52"/>
  <c r="AI273" i="52"/>
  <c r="AJ274" i="52"/>
  <c r="AK275" i="52"/>
  <c r="AL276" i="52"/>
  <c r="AM277" i="52"/>
  <c r="AN278" i="52"/>
  <c r="AO279" i="52"/>
  <c r="AP280" i="52"/>
  <c r="AQ281" i="52"/>
  <c r="AR282" i="52"/>
  <c r="AS283" i="52"/>
  <c r="AT284" i="52"/>
  <c r="AU285" i="52"/>
  <c r="AV286" i="52"/>
  <c r="AV287" i="52"/>
  <c r="AV288" i="52"/>
  <c r="AV289" i="52"/>
  <c r="AV290" i="52"/>
  <c r="AV291" i="52"/>
  <c r="AV292" i="52"/>
  <c r="AV293" i="52"/>
  <c r="AV294" i="52"/>
  <c r="AV295" i="52"/>
  <c r="AV296" i="52"/>
  <c r="AV297" i="52"/>
  <c r="AV298" i="52"/>
  <c r="AV299" i="52"/>
  <c r="AV300" i="52"/>
  <c r="F34" i="46"/>
  <c r="AI375" i="53"/>
  <c r="AJ375" i="53"/>
  <c r="AJ376" i="53"/>
  <c r="AK375" i="53"/>
  <c r="AK376" i="53"/>
  <c r="AK377" i="53"/>
  <c r="AL375" i="53"/>
  <c r="AL376" i="53"/>
  <c r="AL377" i="53"/>
  <c r="AL378" i="53"/>
  <c r="AM375" i="53"/>
  <c r="AM376" i="53"/>
  <c r="AM377" i="53"/>
  <c r="AM378" i="53"/>
  <c r="AM379" i="53"/>
  <c r="AN375" i="53"/>
  <c r="AN376" i="53"/>
  <c r="AN377" i="53"/>
  <c r="AN378" i="53"/>
  <c r="AN379" i="53"/>
  <c r="AN380" i="53"/>
  <c r="AO375" i="53"/>
  <c r="AO376" i="53"/>
  <c r="AO377" i="53"/>
  <c r="AO378" i="53"/>
  <c r="AO379" i="53"/>
  <c r="AO380" i="53"/>
  <c r="AO381" i="53"/>
  <c r="AP375" i="53"/>
  <c r="AP376" i="53"/>
  <c r="AP377" i="53"/>
  <c r="AP378" i="53"/>
  <c r="AP379" i="53"/>
  <c r="AP380" i="53"/>
  <c r="AP381" i="53"/>
  <c r="AP382" i="53"/>
  <c r="AQ375" i="53"/>
  <c r="AQ376" i="53"/>
  <c r="AQ377" i="53"/>
  <c r="AQ378" i="53"/>
  <c r="AQ379" i="53"/>
  <c r="AQ380" i="53"/>
  <c r="AQ381" i="53"/>
  <c r="AQ382" i="53"/>
  <c r="AQ383" i="53"/>
  <c r="AR375" i="53"/>
  <c r="AR376" i="53"/>
  <c r="AR377" i="53"/>
  <c r="AR378" i="53"/>
  <c r="AR379" i="53"/>
  <c r="AR380" i="53"/>
  <c r="AR381" i="53"/>
  <c r="AR382" i="53"/>
  <c r="AR383" i="53"/>
  <c r="AR384" i="53"/>
  <c r="AS375" i="53"/>
  <c r="AS376" i="53"/>
  <c r="AS377" i="53"/>
  <c r="AS378" i="53"/>
  <c r="AS379" i="53"/>
  <c r="AS380" i="53"/>
  <c r="AS381" i="53"/>
  <c r="AS382" i="53"/>
  <c r="AS383" i="53"/>
  <c r="AS384" i="53"/>
  <c r="AS385" i="53"/>
  <c r="AT375" i="53"/>
  <c r="AT376" i="53"/>
  <c r="AT377" i="53"/>
  <c r="AT378" i="53"/>
  <c r="AT379" i="53"/>
  <c r="AT380" i="53"/>
  <c r="AT381" i="53"/>
  <c r="AT382" i="53"/>
  <c r="AT383" i="53"/>
  <c r="AT384" i="53"/>
  <c r="AT385" i="53"/>
  <c r="AT386" i="53"/>
  <c r="AU375" i="53"/>
  <c r="AU376" i="53"/>
  <c r="AU377" i="53"/>
  <c r="AU378" i="53"/>
  <c r="AU379" i="53"/>
  <c r="AU380" i="53"/>
  <c r="AU381" i="53"/>
  <c r="AU382" i="53"/>
  <c r="AU383" i="53"/>
  <c r="AU384" i="53"/>
  <c r="AU385" i="53"/>
  <c r="AU386" i="53"/>
  <c r="AU387" i="53"/>
  <c r="AV375" i="53"/>
  <c r="AV376" i="53"/>
  <c r="AV377" i="53"/>
  <c r="AV378" i="53"/>
  <c r="AV379" i="53"/>
  <c r="AV380" i="53"/>
  <c r="AV381" i="53"/>
  <c r="AV382" i="53"/>
  <c r="AV383" i="53"/>
  <c r="AV384" i="53"/>
  <c r="AV385" i="53"/>
  <c r="AV386" i="53"/>
  <c r="AV387" i="53"/>
  <c r="AV388" i="53"/>
  <c r="F21" i="34"/>
  <c r="F29" i="34"/>
  <c r="H52" i="54"/>
  <c r="I52" i="54"/>
  <c r="I93" i="54"/>
  <c r="I133" i="54"/>
  <c r="F22" i="34"/>
  <c r="F30" i="34"/>
  <c r="I7" i="54"/>
  <c r="I47" i="54"/>
  <c r="D19" i="32"/>
  <c r="D37" i="32"/>
  <c r="J52" i="54"/>
  <c r="J93" i="54"/>
  <c r="J53" i="54"/>
  <c r="J94" i="54"/>
  <c r="J133" i="54"/>
  <c r="J7" i="54"/>
  <c r="J8" i="54"/>
  <c r="J47" i="54"/>
  <c r="E19" i="32"/>
  <c r="E37" i="32"/>
  <c r="K52" i="54"/>
  <c r="K93" i="54"/>
  <c r="K53" i="54"/>
  <c r="K94" i="54"/>
  <c r="K54" i="54"/>
  <c r="K95" i="54"/>
  <c r="K133" i="54"/>
  <c r="K7" i="54"/>
  <c r="K8" i="54"/>
  <c r="K9" i="54"/>
  <c r="K47" i="54"/>
  <c r="F19" i="32"/>
  <c r="F37" i="32"/>
  <c r="L52" i="54"/>
  <c r="L93" i="54"/>
  <c r="L53" i="54"/>
  <c r="L94" i="54"/>
  <c r="L54" i="54"/>
  <c r="L95" i="54"/>
  <c r="L55" i="54"/>
  <c r="L96" i="54"/>
  <c r="L133" i="54"/>
  <c r="L7" i="54"/>
  <c r="L8" i="54"/>
  <c r="L9" i="54"/>
  <c r="L10" i="54"/>
  <c r="L47" i="54"/>
  <c r="G19" i="32"/>
  <c r="G37" i="32"/>
  <c r="M52" i="54"/>
  <c r="M93" i="54"/>
  <c r="M53" i="54"/>
  <c r="M94" i="54"/>
  <c r="M54" i="54"/>
  <c r="M95" i="54"/>
  <c r="M55" i="54"/>
  <c r="M96" i="54"/>
  <c r="M56" i="54"/>
  <c r="M97" i="54"/>
  <c r="M133" i="54"/>
  <c r="M7" i="54"/>
  <c r="M8" i="54"/>
  <c r="M9" i="54"/>
  <c r="M10" i="54"/>
  <c r="M11" i="54"/>
  <c r="M47" i="54"/>
  <c r="H19" i="32"/>
  <c r="H37" i="32"/>
  <c r="N52" i="54"/>
  <c r="N93" i="54"/>
  <c r="N53" i="54"/>
  <c r="N94" i="54"/>
  <c r="N54" i="54"/>
  <c r="N95" i="54"/>
  <c r="N55" i="54"/>
  <c r="N96" i="54"/>
  <c r="N56" i="54"/>
  <c r="N97" i="54"/>
  <c r="N57" i="54"/>
  <c r="N98" i="54"/>
  <c r="N133" i="54"/>
  <c r="N7" i="54"/>
  <c r="N8" i="54"/>
  <c r="N9" i="54"/>
  <c r="N10" i="54"/>
  <c r="N11" i="54"/>
  <c r="N12" i="54"/>
  <c r="N47" i="54"/>
  <c r="I19" i="32"/>
  <c r="I37" i="32"/>
  <c r="O52" i="54"/>
  <c r="O93" i="54"/>
  <c r="O53" i="54"/>
  <c r="O94" i="54"/>
  <c r="O54" i="54"/>
  <c r="O95" i="54"/>
  <c r="O55" i="54"/>
  <c r="O96" i="54"/>
  <c r="O56" i="54"/>
  <c r="O97" i="54"/>
  <c r="O57" i="54"/>
  <c r="O98" i="54"/>
  <c r="O58" i="54"/>
  <c r="O99" i="54"/>
  <c r="O133" i="54"/>
  <c r="O7" i="54"/>
  <c r="O8" i="54"/>
  <c r="O9" i="54"/>
  <c r="O10" i="54"/>
  <c r="O11" i="54"/>
  <c r="O12" i="54"/>
  <c r="O13" i="54"/>
  <c r="O47" i="54"/>
  <c r="J19" i="32"/>
  <c r="J37" i="32"/>
  <c r="P52" i="54"/>
  <c r="P93" i="54"/>
  <c r="P53" i="54"/>
  <c r="P94" i="54"/>
  <c r="P54" i="54"/>
  <c r="P95" i="54"/>
  <c r="P55" i="54"/>
  <c r="P96" i="54"/>
  <c r="P56" i="54"/>
  <c r="P97" i="54"/>
  <c r="P57" i="54"/>
  <c r="P98" i="54"/>
  <c r="P58" i="54"/>
  <c r="P99" i="54"/>
  <c r="P59" i="54"/>
  <c r="P100" i="54"/>
  <c r="P133" i="54"/>
  <c r="P7" i="54"/>
  <c r="P8" i="54"/>
  <c r="P9" i="54"/>
  <c r="P10" i="54"/>
  <c r="P11" i="54"/>
  <c r="P12" i="54"/>
  <c r="P13" i="54"/>
  <c r="P14" i="54"/>
  <c r="P47" i="54"/>
  <c r="K19" i="32"/>
  <c r="K37" i="32"/>
  <c r="Q52" i="54"/>
  <c r="Q93" i="54"/>
  <c r="Q53" i="54"/>
  <c r="Q94" i="54"/>
  <c r="Q54" i="54"/>
  <c r="Q95" i="54"/>
  <c r="Q55" i="54"/>
  <c r="Q96" i="54"/>
  <c r="Q56" i="54"/>
  <c r="Q97" i="54"/>
  <c r="Q57" i="54"/>
  <c r="Q98" i="54"/>
  <c r="Q58" i="54"/>
  <c r="Q99" i="54"/>
  <c r="Q59" i="54"/>
  <c r="Q100" i="54"/>
  <c r="Q60" i="54"/>
  <c r="Q101" i="54"/>
  <c r="Q133" i="54"/>
  <c r="Q7" i="54"/>
  <c r="Q8" i="54"/>
  <c r="Q9" i="54"/>
  <c r="Q10" i="54"/>
  <c r="Q11" i="54"/>
  <c r="Q12" i="54"/>
  <c r="Q13" i="54"/>
  <c r="Q14" i="54"/>
  <c r="Q15" i="54"/>
  <c r="Q47" i="54"/>
  <c r="L19" i="32"/>
  <c r="L37" i="32"/>
  <c r="R52" i="54"/>
  <c r="R93" i="54"/>
  <c r="R53" i="54"/>
  <c r="R94" i="54"/>
  <c r="R54" i="54"/>
  <c r="R95" i="54"/>
  <c r="R55" i="54"/>
  <c r="R96" i="54"/>
  <c r="R56" i="54"/>
  <c r="R97" i="54"/>
  <c r="R57" i="54"/>
  <c r="R98" i="54"/>
  <c r="R58" i="54"/>
  <c r="R99" i="54"/>
  <c r="R59" i="54"/>
  <c r="R100" i="54"/>
  <c r="R60" i="54"/>
  <c r="R101" i="54"/>
  <c r="R61" i="54"/>
  <c r="R102" i="54"/>
  <c r="R133" i="54"/>
  <c r="R7" i="54"/>
  <c r="R8" i="54"/>
  <c r="R9" i="54"/>
  <c r="R10" i="54"/>
  <c r="R11" i="54"/>
  <c r="R12" i="54"/>
  <c r="R13" i="54"/>
  <c r="R14" i="54"/>
  <c r="R15" i="54"/>
  <c r="R16" i="54"/>
  <c r="R47" i="54"/>
  <c r="M19" i="32"/>
  <c r="M37" i="32"/>
  <c r="S52" i="54"/>
  <c r="S93" i="54"/>
  <c r="S53" i="54"/>
  <c r="S94" i="54"/>
  <c r="S54" i="54"/>
  <c r="S95" i="54"/>
  <c r="S55" i="54"/>
  <c r="S96" i="54"/>
  <c r="S56" i="54"/>
  <c r="S97" i="54"/>
  <c r="S57" i="54"/>
  <c r="S98" i="54"/>
  <c r="S58" i="54"/>
  <c r="S99" i="54"/>
  <c r="S59" i="54"/>
  <c r="S100" i="54"/>
  <c r="S60" i="54"/>
  <c r="S101" i="54"/>
  <c r="S61" i="54"/>
  <c r="S102" i="54"/>
  <c r="S62" i="54"/>
  <c r="S103" i="54"/>
  <c r="S133" i="54"/>
  <c r="S7" i="54"/>
  <c r="S8" i="54"/>
  <c r="S9" i="54"/>
  <c r="S10" i="54"/>
  <c r="S11" i="54"/>
  <c r="S12" i="54"/>
  <c r="S13" i="54"/>
  <c r="S14" i="54"/>
  <c r="S15" i="54"/>
  <c r="S16" i="54"/>
  <c r="S17" i="54"/>
  <c r="S47" i="54"/>
  <c r="N19" i="32"/>
  <c r="N37" i="32"/>
  <c r="T52" i="54"/>
  <c r="T93" i="54"/>
  <c r="T53" i="54"/>
  <c r="T94" i="54"/>
  <c r="T54" i="54"/>
  <c r="T95" i="54"/>
  <c r="T55" i="54"/>
  <c r="T96" i="54"/>
  <c r="T56" i="54"/>
  <c r="T97" i="54"/>
  <c r="T57" i="54"/>
  <c r="T98" i="54"/>
  <c r="T58" i="54"/>
  <c r="T99" i="54"/>
  <c r="T59" i="54"/>
  <c r="T100" i="54"/>
  <c r="T60" i="54"/>
  <c r="T101" i="54"/>
  <c r="T61" i="54"/>
  <c r="T102" i="54"/>
  <c r="T62" i="54"/>
  <c r="T103" i="54"/>
  <c r="T63" i="54"/>
  <c r="T104" i="54"/>
  <c r="T133" i="54"/>
  <c r="T7" i="54"/>
  <c r="T8" i="54"/>
  <c r="T9" i="54"/>
  <c r="T10" i="54"/>
  <c r="T11" i="54"/>
  <c r="T12" i="54"/>
  <c r="T13" i="54"/>
  <c r="T14" i="54"/>
  <c r="T15" i="54"/>
  <c r="T16" i="54"/>
  <c r="T17" i="54"/>
  <c r="T18" i="54"/>
  <c r="T47" i="54"/>
  <c r="O19" i="32"/>
  <c r="O37" i="32"/>
  <c r="U52" i="54"/>
  <c r="U93" i="54"/>
  <c r="U53" i="54"/>
  <c r="U94" i="54"/>
  <c r="U54" i="54"/>
  <c r="U95" i="54"/>
  <c r="U55" i="54"/>
  <c r="U96" i="54"/>
  <c r="U56" i="54"/>
  <c r="U97" i="54"/>
  <c r="U57" i="54"/>
  <c r="U98" i="54"/>
  <c r="U58" i="54"/>
  <c r="U99" i="54"/>
  <c r="U59" i="54"/>
  <c r="U100" i="54"/>
  <c r="U60" i="54"/>
  <c r="U101" i="54"/>
  <c r="U61" i="54"/>
  <c r="U102" i="54"/>
  <c r="U62" i="54"/>
  <c r="U103" i="54"/>
  <c r="U63" i="54"/>
  <c r="U104" i="54"/>
  <c r="U64" i="54"/>
  <c r="U105" i="54"/>
  <c r="U133" i="54"/>
  <c r="U7" i="54"/>
  <c r="U8" i="54"/>
  <c r="U9" i="54"/>
  <c r="U10" i="54"/>
  <c r="U11" i="54"/>
  <c r="U12" i="54"/>
  <c r="U13" i="54"/>
  <c r="U14" i="54"/>
  <c r="U15" i="54"/>
  <c r="U16" i="54"/>
  <c r="U17" i="54"/>
  <c r="U18" i="54"/>
  <c r="U19" i="54"/>
  <c r="U47" i="54"/>
  <c r="P19" i="32"/>
  <c r="P37" i="32"/>
  <c r="V52" i="54"/>
  <c r="V93" i="54"/>
  <c r="V53" i="54"/>
  <c r="V94" i="54"/>
  <c r="V54" i="54"/>
  <c r="V95" i="54"/>
  <c r="V55" i="54"/>
  <c r="V96" i="54"/>
  <c r="V56" i="54"/>
  <c r="V97" i="54"/>
  <c r="V57" i="54"/>
  <c r="V98" i="54"/>
  <c r="V58" i="54"/>
  <c r="V99" i="54"/>
  <c r="V59" i="54"/>
  <c r="V100" i="54"/>
  <c r="V60" i="54"/>
  <c r="V101" i="54"/>
  <c r="V61" i="54"/>
  <c r="V102" i="54"/>
  <c r="V62" i="54"/>
  <c r="V103" i="54"/>
  <c r="V63" i="54"/>
  <c r="V104" i="54"/>
  <c r="V64" i="54"/>
  <c r="V105" i="54"/>
  <c r="V65" i="54"/>
  <c r="V106" i="54"/>
  <c r="V133" i="54"/>
  <c r="V7" i="54"/>
  <c r="V8" i="54"/>
  <c r="V9" i="54"/>
  <c r="V10" i="54"/>
  <c r="V11" i="54"/>
  <c r="V12" i="54"/>
  <c r="V13" i="54"/>
  <c r="V14" i="54"/>
  <c r="V15" i="54"/>
  <c r="V16" i="54"/>
  <c r="V17" i="54"/>
  <c r="V18" i="54"/>
  <c r="V19" i="54"/>
  <c r="V20" i="54"/>
  <c r="V47" i="54"/>
  <c r="Q19" i="32"/>
  <c r="Q37" i="32"/>
  <c r="W52" i="54"/>
  <c r="W93" i="54"/>
  <c r="W53" i="54"/>
  <c r="W94" i="54"/>
  <c r="W54" i="54"/>
  <c r="W95" i="54"/>
  <c r="W55" i="54"/>
  <c r="W96" i="54"/>
  <c r="W56" i="54"/>
  <c r="W97" i="54"/>
  <c r="W57" i="54"/>
  <c r="W98" i="54"/>
  <c r="W58" i="54"/>
  <c r="W99" i="54"/>
  <c r="W59" i="54"/>
  <c r="W100" i="54"/>
  <c r="W60" i="54"/>
  <c r="W101" i="54"/>
  <c r="W61" i="54"/>
  <c r="W102" i="54"/>
  <c r="W62" i="54"/>
  <c r="W103" i="54"/>
  <c r="W63" i="54"/>
  <c r="W104" i="54"/>
  <c r="W64" i="54"/>
  <c r="W105" i="54"/>
  <c r="W65" i="54"/>
  <c r="W106" i="54"/>
  <c r="W66" i="54"/>
  <c r="W107" i="54"/>
  <c r="W133" i="54"/>
  <c r="W7" i="54"/>
  <c r="W8" i="54"/>
  <c r="W9" i="54"/>
  <c r="W10" i="54"/>
  <c r="W11" i="54"/>
  <c r="W12" i="54"/>
  <c r="W13" i="54"/>
  <c r="W14" i="54"/>
  <c r="W15" i="54"/>
  <c r="W16" i="54"/>
  <c r="W17" i="54"/>
  <c r="W18" i="54"/>
  <c r="W19" i="54"/>
  <c r="W20" i="54"/>
  <c r="W21" i="54"/>
  <c r="W47" i="54"/>
  <c r="R19" i="32"/>
  <c r="R37" i="32"/>
  <c r="X52" i="54"/>
  <c r="X93" i="54"/>
  <c r="X53" i="54"/>
  <c r="X94" i="54"/>
  <c r="X54" i="54"/>
  <c r="X95" i="54"/>
  <c r="X55" i="54"/>
  <c r="X96" i="54"/>
  <c r="X56" i="54"/>
  <c r="X97" i="54"/>
  <c r="X57" i="54"/>
  <c r="X98" i="54"/>
  <c r="X58" i="54"/>
  <c r="X99" i="54"/>
  <c r="X59" i="54"/>
  <c r="X100" i="54"/>
  <c r="X60" i="54"/>
  <c r="X101" i="54"/>
  <c r="X61" i="54"/>
  <c r="X102" i="54"/>
  <c r="X62" i="54"/>
  <c r="X103" i="54"/>
  <c r="X63" i="54"/>
  <c r="X104" i="54"/>
  <c r="X64" i="54"/>
  <c r="X105" i="54"/>
  <c r="X65" i="54"/>
  <c r="X106" i="54"/>
  <c r="X66" i="54"/>
  <c r="X107" i="54"/>
  <c r="X67" i="54"/>
  <c r="X108" i="54"/>
  <c r="X133" i="54"/>
  <c r="X7" i="54"/>
  <c r="X8" i="54"/>
  <c r="X9" i="54"/>
  <c r="X10" i="54"/>
  <c r="X11" i="54"/>
  <c r="X12" i="54"/>
  <c r="X13" i="54"/>
  <c r="X14" i="54"/>
  <c r="X15" i="54"/>
  <c r="X16" i="54"/>
  <c r="X17" i="54"/>
  <c r="X18" i="54"/>
  <c r="X19" i="54"/>
  <c r="X20" i="54"/>
  <c r="X21" i="54"/>
  <c r="X22" i="54"/>
  <c r="X47" i="54"/>
  <c r="S19" i="32"/>
  <c r="S37" i="32"/>
  <c r="Y52" i="54"/>
  <c r="Y93" i="54"/>
  <c r="Y53" i="54"/>
  <c r="Y94" i="54"/>
  <c r="Y54" i="54"/>
  <c r="Y95" i="54"/>
  <c r="Y55" i="54"/>
  <c r="Y96" i="54"/>
  <c r="Y56" i="54"/>
  <c r="Y97" i="54"/>
  <c r="Y57" i="54"/>
  <c r="Y98" i="54"/>
  <c r="Y58" i="54"/>
  <c r="Y99" i="54"/>
  <c r="Y59" i="54"/>
  <c r="Y100" i="54"/>
  <c r="Y60" i="54"/>
  <c r="Y101" i="54"/>
  <c r="Y61" i="54"/>
  <c r="Y102" i="54"/>
  <c r="Y62" i="54"/>
  <c r="Y103" i="54"/>
  <c r="Y63" i="54"/>
  <c r="Y104" i="54"/>
  <c r="Y64" i="54"/>
  <c r="Y105" i="54"/>
  <c r="Y65" i="54"/>
  <c r="Y106" i="54"/>
  <c r="Y66" i="54"/>
  <c r="Y107" i="54"/>
  <c r="Y67" i="54"/>
  <c r="Y108" i="54"/>
  <c r="Y68" i="54"/>
  <c r="Y109" i="54"/>
  <c r="Y133" i="54"/>
  <c r="Y7" i="54"/>
  <c r="Y8" i="54"/>
  <c r="Y9" i="54"/>
  <c r="Y10" i="54"/>
  <c r="Y11" i="54"/>
  <c r="Y12" i="54"/>
  <c r="Y13" i="54"/>
  <c r="Y14" i="54"/>
  <c r="Y15" i="54"/>
  <c r="Y16" i="54"/>
  <c r="Y17" i="54"/>
  <c r="Y18" i="54"/>
  <c r="Y19" i="54"/>
  <c r="Y20" i="54"/>
  <c r="Y21" i="54"/>
  <c r="Y22" i="54"/>
  <c r="Y23" i="54"/>
  <c r="Y47" i="54"/>
  <c r="T19" i="32"/>
  <c r="T37" i="32"/>
  <c r="Z52" i="54"/>
  <c r="Z93" i="54"/>
  <c r="Z53" i="54"/>
  <c r="Z94" i="54"/>
  <c r="Z54" i="54"/>
  <c r="Z95" i="54"/>
  <c r="Z55" i="54"/>
  <c r="Z96" i="54"/>
  <c r="Z56" i="54"/>
  <c r="Z97" i="54"/>
  <c r="Z57" i="54"/>
  <c r="Z98" i="54"/>
  <c r="Z58" i="54"/>
  <c r="Z99" i="54"/>
  <c r="Z59" i="54"/>
  <c r="Z100" i="54"/>
  <c r="Z60" i="54"/>
  <c r="Z101" i="54"/>
  <c r="Z61" i="54"/>
  <c r="Z102" i="54"/>
  <c r="Z62" i="54"/>
  <c r="Z103" i="54"/>
  <c r="Z63" i="54"/>
  <c r="Z104" i="54"/>
  <c r="Z64" i="54"/>
  <c r="Z105" i="54"/>
  <c r="Z65" i="54"/>
  <c r="Z106" i="54"/>
  <c r="Z66" i="54"/>
  <c r="Z107" i="54"/>
  <c r="Z67" i="54"/>
  <c r="Z108" i="54"/>
  <c r="Z68" i="54"/>
  <c r="Z109" i="54"/>
  <c r="Z69" i="54"/>
  <c r="Z110" i="54"/>
  <c r="Z133" i="54"/>
  <c r="Z7" i="54"/>
  <c r="Z8" i="54"/>
  <c r="Z9" i="54"/>
  <c r="Z10" i="54"/>
  <c r="Z11" i="54"/>
  <c r="Z12" i="54"/>
  <c r="Z13" i="54"/>
  <c r="Z14" i="54"/>
  <c r="Z15" i="54"/>
  <c r="Z16" i="54"/>
  <c r="Z17" i="54"/>
  <c r="Z18" i="54"/>
  <c r="Z19" i="54"/>
  <c r="Z20" i="54"/>
  <c r="Z21" i="54"/>
  <c r="Z22" i="54"/>
  <c r="Z23" i="54"/>
  <c r="Z24" i="54"/>
  <c r="Z47" i="54"/>
  <c r="U19" i="32"/>
  <c r="U37" i="32"/>
  <c r="AA52" i="54"/>
  <c r="AA93" i="54"/>
  <c r="AA53" i="54"/>
  <c r="AA94" i="54"/>
  <c r="AA54" i="54"/>
  <c r="AA95" i="54"/>
  <c r="AA55" i="54"/>
  <c r="AA96" i="54"/>
  <c r="AA56" i="54"/>
  <c r="AA97" i="54"/>
  <c r="AA57" i="54"/>
  <c r="AA98" i="54"/>
  <c r="AA58" i="54"/>
  <c r="AA99" i="54"/>
  <c r="AA59" i="54"/>
  <c r="AA100" i="54"/>
  <c r="AA60" i="54"/>
  <c r="AA101" i="54"/>
  <c r="AA61" i="54"/>
  <c r="AA102" i="54"/>
  <c r="AA62" i="54"/>
  <c r="AA103" i="54"/>
  <c r="AA63" i="54"/>
  <c r="AA104" i="54"/>
  <c r="AA64" i="54"/>
  <c r="AA105" i="54"/>
  <c r="AA65" i="54"/>
  <c r="AA106" i="54"/>
  <c r="AA66" i="54"/>
  <c r="AA107" i="54"/>
  <c r="AA67" i="54"/>
  <c r="AA108" i="54"/>
  <c r="AA68" i="54"/>
  <c r="AA109" i="54"/>
  <c r="AA69" i="54"/>
  <c r="AA110" i="54"/>
  <c r="AA70" i="54"/>
  <c r="AA111" i="54"/>
  <c r="AA133" i="54"/>
  <c r="AA7" i="54"/>
  <c r="AA8" i="54"/>
  <c r="AA9" i="54"/>
  <c r="AA10" i="54"/>
  <c r="AA11" i="54"/>
  <c r="AA12" i="54"/>
  <c r="AA13" i="54"/>
  <c r="AA14" i="54"/>
  <c r="AA15" i="54"/>
  <c r="AA16" i="54"/>
  <c r="AA17" i="54"/>
  <c r="AA18" i="54"/>
  <c r="AA19" i="54"/>
  <c r="AA20" i="54"/>
  <c r="AA21" i="54"/>
  <c r="AA22" i="54"/>
  <c r="AA23" i="54"/>
  <c r="AA24" i="54"/>
  <c r="AA25" i="54"/>
  <c r="AA47" i="54"/>
  <c r="V19" i="32"/>
  <c r="V37" i="32"/>
  <c r="AB52" i="54"/>
  <c r="AB93" i="54"/>
  <c r="AB53" i="54"/>
  <c r="AB94" i="54"/>
  <c r="AB54" i="54"/>
  <c r="AB95" i="54"/>
  <c r="AB55" i="54"/>
  <c r="AB96" i="54"/>
  <c r="AB56" i="54"/>
  <c r="AB97" i="54"/>
  <c r="AB57" i="54"/>
  <c r="AB98" i="54"/>
  <c r="AB58" i="54"/>
  <c r="AB99" i="54"/>
  <c r="AB59" i="54"/>
  <c r="AB100" i="54"/>
  <c r="AB60" i="54"/>
  <c r="AB101" i="54"/>
  <c r="AB61" i="54"/>
  <c r="AB102" i="54"/>
  <c r="AB62" i="54"/>
  <c r="AB103" i="54"/>
  <c r="AB63" i="54"/>
  <c r="AB104" i="54"/>
  <c r="AB64" i="54"/>
  <c r="AB105" i="54"/>
  <c r="AB65" i="54"/>
  <c r="AB106" i="54"/>
  <c r="AB66" i="54"/>
  <c r="AB107" i="54"/>
  <c r="AB67" i="54"/>
  <c r="AB108" i="54"/>
  <c r="AB68" i="54"/>
  <c r="AB109" i="54"/>
  <c r="AB69" i="54"/>
  <c r="AB110" i="54"/>
  <c r="AB70" i="54"/>
  <c r="AB111" i="54"/>
  <c r="AB71" i="54"/>
  <c r="AB112" i="54"/>
  <c r="AB133" i="54"/>
  <c r="AB7" i="54"/>
  <c r="AB8" i="54"/>
  <c r="AB9" i="54"/>
  <c r="AB10" i="54"/>
  <c r="AB11" i="54"/>
  <c r="AB12" i="54"/>
  <c r="AB13" i="54"/>
  <c r="AB14" i="54"/>
  <c r="AB15" i="54"/>
  <c r="AB16" i="54"/>
  <c r="AB17" i="54"/>
  <c r="AB18" i="54"/>
  <c r="AB19" i="54"/>
  <c r="AB20" i="54"/>
  <c r="AB21" i="54"/>
  <c r="AB22" i="54"/>
  <c r="AB23" i="54"/>
  <c r="AB24" i="54"/>
  <c r="AB25" i="54"/>
  <c r="AB26" i="54"/>
  <c r="AB47" i="54"/>
  <c r="W19" i="32"/>
  <c r="W37" i="32"/>
  <c r="AC52" i="54"/>
  <c r="AC93" i="54"/>
  <c r="AC53" i="54"/>
  <c r="AC94" i="54"/>
  <c r="AC54" i="54"/>
  <c r="AC95" i="54"/>
  <c r="AC55" i="54"/>
  <c r="AC96" i="54"/>
  <c r="AC56" i="54"/>
  <c r="AC97" i="54"/>
  <c r="AC57" i="54"/>
  <c r="AC98" i="54"/>
  <c r="AC58" i="54"/>
  <c r="AC99" i="54"/>
  <c r="AC59" i="54"/>
  <c r="AC100" i="54"/>
  <c r="AC60" i="54"/>
  <c r="AC101" i="54"/>
  <c r="AC61" i="54"/>
  <c r="AC102" i="54"/>
  <c r="AC62" i="54"/>
  <c r="AC103" i="54"/>
  <c r="AC63" i="54"/>
  <c r="AC104" i="54"/>
  <c r="AC64" i="54"/>
  <c r="AC105" i="54"/>
  <c r="AC65" i="54"/>
  <c r="AC106" i="54"/>
  <c r="AC66" i="54"/>
  <c r="AC107" i="54"/>
  <c r="AC67" i="54"/>
  <c r="AC108" i="54"/>
  <c r="AC68" i="54"/>
  <c r="AC109" i="54"/>
  <c r="AC69" i="54"/>
  <c r="AC110" i="54"/>
  <c r="AC70" i="54"/>
  <c r="AC111" i="54"/>
  <c r="AC71" i="54"/>
  <c r="AC112" i="54"/>
  <c r="AC72" i="54"/>
  <c r="AC113" i="54"/>
  <c r="AC133" i="54"/>
  <c r="AC7" i="54"/>
  <c r="AC8" i="54"/>
  <c r="AC9" i="54"/>
  <c r="AC10" i="54"/>
  <c r="AC11" i="54"/>
  <c r="AC12" i="54"/>
  <c r="AC13" i="54"/>
  <c r="AC14" i="54"/>
  <c r="AC15" i="54"/>
  <c r="AC16" i="54"/>
  <c r="AC17" i="54"/>
  <c r="AC18" i="54"/>
  <c r="AC19" i="54"/>
  <c r="AC20" i="54"/>
  <c r="AC21" i="54"/>
  <c r="AC22" i="54"/>
  <c r="AC23" i="54"/>
  <c r="AC24" i="54"/>
  <c r="AC25" i="54"/>
  <c r="AC26" i="54"/>
  <c r="AC27" i="54"/>
  <c r="AC47" i="54"/>
  <c r="X19" i="32"/>
  <c r="X37" i="32"/>
  <c r="AD52" i="54"/>
  <c r="AD93" i="54"/>
  <c r="AD53" i="54"/>
  <c r="AD94" i="54"/>
  <c r="AD54" i="54"/>
  <c r="AD95" i="54"/>
  <c r="AD55" i="54"/>
  <c r="AD96" i="54"/>
  <c r="AD56" i="54"/>
  <c r="AD97" i="54"/>
  <c r="AD57" i="54"/>
  <c r="AD98" i="54"/>
  <c r="AD58" i="54"/>
  <c r="AD99" i="54"/>
  <c r="AD59" i="54"/>
  <c r="AD100" i="54"/>
  <c r="AD60" i="54"/>
  <c r="AD101" i="54"/>
  <c r="AD61" i="54"/>
  <c r="AD102" i="54"/>
  <c r="AD62" i="54"/>
  <c r="AD103" i="54"/>
  <c r="AD63" i="54"/>
  <c r="AD104" i="54"/>
  <c r="AD64" i="54"/>
  <c r="AD105" i="54"/>
  <c r="AD65" i="54"/>
  <c r="AD106" i="54"/>
  <c r="AD66" i="54"/>
  <c r="AD107" i="54"/>
  <c r="AD67" i="54"/>
  <c r="AD108" i="54"/>
  <c r="AD68" i="54"/>
  <c r="AD109" i="54"/>
  <c r="AD69" i="54"/>
  <c r="AD110" i="54"/>
  <c r="AD70" i="54"/>
  <c r="AD111" i="54"/>
  <c r="AD71" i="54"/>
  <c r="AD112" i="54"/>
  <c r="AD72" i="54"/>
  <c r="AD113" i="54"/>
  <c r="AD73" i="54"/>
  <c r="AD114" i="54"/>
  <c r="AD133" i="54"/>
  <c r="AD7" i="54"/>
  <c r="AD8" i="54"/>
  <c r="AD9" i="54"/>
  <c r="AD10" i="54"/>
  <c r="AD11" i="54"/>
  <c r="AD12" i="54"/>
  <c r="AD13" i="54"/>
  <c r="AD14" i="54"/>
  <c r="AD15" i="54"/>
  <c r="AD16" i="54"/>
  <c r="AD17" i="54"/>
  <c r="AD18" i="54"/>
  <c r="AD19" i="54"/>
  <c r="AD20" i="54"/>
  <c r="AD21" i="54"/>
  <c r="AD22" i="54"/>
  <c r="AD23" i="54"/>
  <c r="AD24" i="54"/>
  <c r="AD25" i="54"/>
  <c r="AD26" i="54"/>
  <c r="AD27" i="54"/>
  <c r="AD28" i="54"/>
  <c r="AD47" i="54"/>
  <c r="Y19" i="32"/>
  <c r="Y37" i="32"/>
  <c r="AE52" i="54"/>
  <c r="AE93" i="54"/>
  <c r="AE53" i="54"/>
  <c r="AE94" i="54"/>
  <c r="AE54" i="54"/>
  <c r="AE95" i="54"/>
  <c r="AE55" i="54"/>
  <c r="AE96" i="54"/>
  <c r="AE56" i="54"/>
  <c r="AE97" i="54"/>
  <c r="AE57" i="54"/>
  <c r="AE98" i="54"/>
  <c r="AE58" i="54"/>
  <c r="AE99" i="54"/>
  <c r="AE59" i="54"/>
  <c r="AE100" i="54"/>
  <c r="AE60" i="54"/>
  <c r="AE101" i="54"/>
  <c r="AE61" i="54"/>
  <c r="AE102" i="54"/>
  <c r="AE62" i="54"/>
  <c r="AE103" i="54"/>
  <c r="AE63" i="54"/>
  <c r="AE104" i="54"/>
  <c r="AE64" i="54"/>
  <c r="AE105" i="54"/>
  <c r="AE65" i="54"/>
  <c r="AE106" i="54"/>
  <c r="AE66" i="54"/>
  <c r="AE107" i="54"/>
  <c r="AE67" i="54"/>
  <c r="AE108" i="54"/>
  <c r="AE68" i="54"/>
  <c r="AE109" i="54"/>
  <c r="AE69" i="54"/>
  <c r="AE110" i="54"/>
  <c r="AE70" i="54"/>
  <c r="AE111" i="54"/>
  <c r="AE71" i="54"/>
  <c r="AE112" i="54"/>
  <c r="AE72" i="54"/>
  <c r="AE113" i="54"/>
  <c r="AE73" i="54"/>
  <c r="AE114" i="54"/>
  <c r="AE74" i="54"/>
  <c r="AE115" i="54"/>
  <c r="AE133" i="54"/>
  <c r="AE7" i="54"/>
  <c r="AE8" i="54"/>
  <c r="AE9" i="54"/>
  <c r="AE10" i="54"/>
  <c r="AE11" i="54"/>
  <c r="AE12" i="54"/>
  <c r="AE13" i="54"/>
  <c r="AE14" i="54"/>
  <c r="AE15" i="54"/>
  <c r="AE16" i="54"/>
  <c r="AE17" i="54"/>
  <c r="AE18" i="54"/>
  <c r="AE19" i="54"/>
  <c r="AE20" i="54"/>
  <c r="AE21" i="54"/>
  <c r="AE22" i="54"/>
  <c r="AE23" i="54"/>
  <c r="AE24" i="54"/>
  <c r="AE25" i="54"/>
  <c r="AE26" i="54"/>
  <c r="AE27" i="54"/>
  <c r="AE28" i="54"/>
  <c r="AE29" i="54"/>
  <c r="AE47" i="54"/>
  <c r="Z19" i="32"/>
  <c r="Z37" i="32"/>
  <c r="AF52" i="54"/>
  <c r="AF93" i="54"/>
  <c r="AF53" i="54"/>
  <c r="AF94" i="54"/>
  <c r="AF54" i="54"/>
  <c r="AF95" i="54"/>
  <c r="AF55" i="54"/>
  <c r="AF96" i="54"/>
  <c r="AF56" i="54"/>
  <c r="AF97" i="54"/>
  <c r="AF57" i="54"/>
  <c r="AF98" i="54"/>
  <c r="AF58" i="54"/>
  <c r="AF99" i="54"/>
  <c r="AF59" i="54"/>
  <c r="AF100" i="54"/>
  <c r="AF60" i="54"/>
  <c r="AF101" i="54"/>
  <c r="AF61" i="54"/>
  <c r="AF102" i="54"/>
  <c r="AF62" i="54"/>
  <c r="AF103" i="54"/>
  <c r="AF63" i="54"/>
  <c r="AF104" i="54"/>
  <c r="AF64" i="54"/>
  <c r="AF105" i="54"/>
  <c r="AF65" i="54"/>
  <c r="AF106" i="54"/>
  <c r="AF66" i="54"/>
  <c r="AF107" i="54"/>
  <c r="AF67" i="54"/>
  <c r="AF108" i="54"/>
  <c r="AF68" i="54"/>
  <c r="AF109" i="54"/>
  <c r="AF69" i="54"/>
  <c r="AF110" i="54"/>
  <c r="AF70" i="54"/>
  <c r="AF111" i="54"/>
  <c r="AF71" i="54"/>
  <c r="AF112" i="54"/>
  <c r="AF72" i="54"/>
  <c r="AF113" i="54"/>
  <c r="AF73" i="54"/>
  <c r="AF114" i="54"/>
  <c r="AF74" i="54"/>
  <c r="AF115" i="54"/>
  <c r="AF75" i="54"/>
  <c r="AF116" i="54"/>
  <c r="AF133" i="54"/>
  <c r="AF7" i="54"/>
  <c r="AF8" i="54"/>
  <c r="AF9" i="54"/>
  <c r="AF10" i="54"/>
  <c r="AF11" i="54"/>
  <c r="AF12" i="54"/>
  <c r="AF13" i="54"/>
  <c r="AF14" i="54"/>
  <c r="AF15" i="54"/>
  <c r="AF16" i="54"/>
  <c r="AF17" i="54"/>
  <c r="AF18" i="54"/>
  <c r="AF19" i="54"/>
  <c r="AF20" i="54"/>
  <c r="AF21" i="54"/>
  <c r="AF22" i="54"/>
  <c r="AF23" i="54"/>
  <c r="AF24" i="54"/>
  <c r="AF25" i="54"/>
  <c r="AF26" i="54"/>
  <c r="AF27" i="54"/>
  <c r="AF28" i="54"/>
  <c r="AF29" i="54"/>
  <c r="AF30" i="54"/>
  <c r="AF47" i="54"/>
  <c r="AA19" i="32"/>
  <c r="AA37" i="32"/>
  <c r="AG52" i="54"/>
  <c r="AG93" i="54"/>
  <c r="AG53" i="54"/>
  <c r="AG94" i="54"/>
  <c r="AG54" i="54"/>
  <c r="AG95" i="54"/>
  <c r="AG55" i="54"/>
  <c r="AG96" i="54"/>
  <c r="AG56" i="54"/>
  <c r="AG97" i="54"/>
  <c r="AG57" i="54"/>
  <c r="AG98" i="54"/>
  <c r="AG58" i="54"/>
  <c r="AG99" i="54"/>
  <c r="AG59" i="54"/>
  <c r="AG100" i="54"/>
  <c r="AG60" i="54"/>
  <c r="AG101" i="54"/>
  <c r="AG61" i="54"/>
  <c r="AG102" i="54"/>
  <c r="AG62" i="54"/>
  <c r="AG103" i="54"/>
  <c r="AG63" i="54"/>
  <c r="AG104" i="54"/>
  <c r="AG64" i="54"/>
  <c r="AG105" i="54"/>
  <c r="AG65" i="54"/>
  <c r="AG106" i="54"/>
  <c r="AG66" i="54"/>
  <c r="AG107" i="54"/>
  <c r="AG67" i="54"/>
  <c r="AG108" i="54"/>
  <c r="AG68" i="54"/>
  <c r="AG109" i="54"/>
  <c r="AG69" i="54"/>
  <c r="AG110" i="54"/>
  <c r="AG70" i="54"/>
  <c r="AG111" i="54"/>
  <c r="AG71" i="54"/>
  <c r="AG112" i="54"/>
  <c r="AG72" i="54"/>
  <c r="AG113" i="54"/>
  <c r="AG73" i="54"/>
  <c r="AG114" i="54"/>
  <c r="AG74" i="54"/>
  <c r="AG115" i="54"/>
  <c r="AG75" i="54"/>
  <c r="AG116" i="54"/>
  <c r="AG76" i="54"/>
  <c r="AG117" i="54"/>
  <c r="AG133" i="54"/>
  <c r="AG7" i="54"/>
  <c r="AG8" i="54"/>
  <c r="AG9" i="54"/>
  <c r="AG10" i="54"/>
  <c r="AG11" i="54"/>
  <c r="AG12" i="54"/>
  <c r="AG13" i="54"/>
  <c r="AG14" i="54"/>
  <c r="AG15" i="54"/>
  <c r="AG16" i="54"/>
  <c r="AG17" i="54"/>
  <c r="AG18" i="54"/>
  <c r="AG19" i="54"/>
  <c r="AG20" i="54"/>
  <c r="AG21" i="54"/>
  <c r="AG22" i="54"/>
  <c r="AG23" i="54"/>
  <c r="AG24" i="54"/>
  <c r="AG25" i="54"/>
  <c r="AG26" i="54"/>
  <c r="AG27" i="54"/>
  <c r="AG28" i="54"/>
  <c r="AG29" i="54"/>
  <c r="AG30" i="54"/>
  <c r="AG31" i="54"/>
  <c r="AG47" i="54"/>
  <c r="AB19" i="32"/>
  <c r="AB37" i="32"/>
  <c r="AH52" i="54"/>
  <c r="AH93" i="54"/>
  <c r="AH53" i="54"/>
  <c r="AH94" i="54"/>
  <c r="AH54" i="54"/>
  <c r="AH95" i="54"/>
  <c r="AH55" i="54"/>
  <c r="AH96" i="54"/>
  <c r="AH56" i="54"/>
  <c r="AH97" i="54"/>
  <c r="AH57" i="54"/>
  <c r="AH98" i="54"/>
  <c r="AH58" i="54"/>
  <c r="AH99" i="54"/>
  <c r="AH59" i="54"/>
  <c r="AH100" i="54"/>
  <c r="AH60" i="54"/>
  <c r="AH101" i="54"/>
  <c r="AH61" i="54"/>
  <c r="AH102" i="54"/>
  <c r="AH62" i="54"/>
  <c r="AH103" i="54"/>
  <c r="AH63" i="54"/>
  <c r="AH104" i="54"/>
  <c r="AH64" i="54"/>
  <c r="AH105" i="54"/>
  <c r="AH65" i="54"/>
  <c r="AH106" i="54"/>
  <c r="AH66" i="54"/>
  <c r="AH107" i="54"/>
  <c r="AH67" i="54"/>
  <c r="AH108" i="54"/>
  <c r="AH68" i="54"/>
  <c r="AH109" i="54"/>
  <c r="AH69" i="54"/>
  <c r="AH110" i="54"/>
  <c r="AH70" i="54"/>
  <c r="AH111" i="54"/>
  <c r="AH71" i="54"/>
  <c r="AH112" i="54"/>
  <c r="AH72" i="54"/>
  <c r="AH113" i="54"/>
  <c r="AH73" i="54"/>
  <c r="AH114" i="54"/>
  <c r="AH74" i="54"/>
  <c r="AH115" i="54"/>
  <c r="AH75" i="54"/>
  <c r="AH116" i="54"/>
  <c r="AH76" i="54"/>
  <c r="AH117" i="54"/>
  <c r="AH77" i="54"/>
  <c r="AH118" i="54"/>
  <c r="AH133" i="54"/>
  <c r="AH7" i="54"/>
  <c r="AH8" i="54"/>
  <c r="AH9" i="54"/>
  <c r="AH10" i="54"/>
  <c r="AH11" i="54"/>
  <c r="AH12" i="54"/>
  <c r="AH13" i="54"/>
  <c r="AH14" i="54"/>
  <c r="AH15" i="54"/>
  <c r="AH16" i="54"/>
  <c r="AH17" i="54"/>
  <c r="AH18" i="54"/>
  <c r="AH19" i="54"/>
  <c r="AH20" i="54"/>
  <c r="AH21" i="54"/>
  <c r="AH22" i="54"/>
  <c r="AH23" i="54"/>
  <c r="AH24" i="54"/>
  <c r="AH25" i="54"/>
  <c r="AH26" i="54"/>
  <c r="AH27" i="54"/>
  <c r="AH28" i="54"/>
  <c r="AH29" i="54"/>
  <c r="AH30" i="54"/>
  <c r="AH31" i="54"/>
  <c r="AH32" i="54"/>
  <c r="AH47" i="54"/>
  <c r="AC19" i="32"/>
  <c r="AC37" i="32"/>
  <c r="AI52" i="54"/>
  <c r="AI93" i="54"/>
  <c r="AI53" i="54"/>
  <c r="AI94" i="54"/>
  <c r="AI54" i="54"/>
  <c r="AI95" i="54"/>
  <c r="AI55" i="54"/>
  <c r="AI96" i="54"/>
  <c r="AI56" i="54"/>
  <c r="AI97" i="54"/>
  <c r="AI57" i="54"/>
  <c r="AI98" i="54"/>
  <c r="AI58" i="54"/>
  <c r="AI99" i="54"/>
  <c r="AI59" i="54"/>
  <c r="AI100" i="54"/>
  <c r="AI60" i="54"/>
  <c r="AI101" i="54"/>
  <c r="AI61" i="54"/>
  <c r="AI102" i="54"/>
  <c r="AI62" i="54"/>
  <c r="AI103" i="54"/>
  <c r="AI63" i="54"/>
  <c r="AI104" i="54"/>
  <c r="AI64" i="54"/>
  <c r="AI105" i="54"/>
  <c r="AI65" i="54"/>
  <c r="AI106" i="54"/>
  <c r="AI66" i="54"/>
  <c r="AI107" i="54"/>
  <c r="AI67" i="54"/>
  <c r="AI108" i="54"/>
  <c r="AI68" i="54"/>
  <c r="AI109" i="54"/>
  <c r="AI69" i="54"/>
  <c r="AI110" i="54"/>
  <c r="AI70" i="54"/>
  <c r="AI111" i="54"/>
  <c r="AI71" i="54"/>
  <c r="AI112" i="54"/>
  <c r="AI72" i="54"/>
  <c r="AI113" i="54"/>
  <c r="AI73" i="54"/>
  <c r="AI114" i="54"/>
  <c r="AI74" i="54"/>
  <c r="AI115" i="54"/>
  <c r="AI75" i="54"/>
  <c r="AI116" i="54"/>
  <c r="AI76" i="54"/>
  <c r="AI117" i="54"/>
  <c r="AI77" i="54"/>
  <c r="AI118" i="54"/>
  <c r="AI78" i="54"/>
  <c r="AI119" i="54"/>
  <c r="AI133" i="54"/>
  <c r="AI7" i="54"/>
  <c r="AI8" i="54"/>
  <c r="AI9" i="54"/>
  <c r="AI10" i="54"/>
  <c r="AI11" i="54"/>
  <c r="AI12" i="54"/>
  <c r="AI13" i="54"/>
  <c r="AI14" i="54"/>
  <c r="AI15" i="54"/>
  <c r="AI16" i="54"/>
  <c r="AI17" i="54"/>
  <c r="AI18" i="54"/>
  <c r="AI19" i="54"/>
  <c r="AI20" i="54"/>
  <c r="AI21" i="54"/>
  <c r="AI22" i="54"/>
  <c r="AI23" i="54"/>
  <c r="AI24" i="54"/>
  <c r="AI25" i="54"/>
  <c r="AI26" i="54"/>
  <c r="AI27" i="54"/>
  <c r="AI28" i="54"/>
  <c r="AI29" i="54"/>
  <c r="AI30" i="54"/>
  <c r="AI31" i="54"/>
  <c r="AI32" i="54"/>
  <c r="AI33" i="54"/>
  <c r="AI47" i="54"/>
  <c r="AD19" i="32"/>
  <c r="AD37" i="32"/>
  <c r="AJ52" i="54"/>
  <c r="AJ93" i="54"/>
  <c r="AJ53" i="54"/>
  <c r="AJ94" i="54"/>
  <c r="AJ54" i="54"/>
  <c r="AJ95" i="54"/>
  <c r="AJ55" i="54"/>
  <c r="AJ96" i="54"/>
  <c r="AJ56" i="54"/>
  <c r="AJ97" i="54"/>
  <c r="AJ57" i="54"/>
  <c r="AJ98" i="54"/>
  <c r="AJ58" i="54"/>
  <c r="AJ99" i="54"/>
  <c r="AJ59" i="54"/>
  <c r="AJ100" i="54"/>
  <c r="AJ60" i="54"/>
  <c r="AJ101" i="54"/>
  <c r="AJ61" i="54"/>
  <c r="AJ102" i="54"/>
  <c r="AJ62" i="54"/>
  <c r="AJ103" i="54"/>
  <c r="AJ63" i="54"/>
  <c r="AJ104" i="54"/>
  <c r="AJ64" i="54"/>
  <c r="AJ105" i="54"/>
  <c r="AJ65" i="54"/>
  <c r="AJ106" i="54"/>
  <c r="AJ66" i="54"/>
  <c r="AJ107" i="54"/>
  <c r="AJ67" i="54"/>
  <c r="AJ108" i="54"/>
  <c r="AJ68" i="54"/>
  <c r="AJ109" i="54"/>
  <c r="AJ69" i="54"/>
  <c r="AJ110" i="54"/>
  <c r="AJ70" i="54"/>
  <c r="AJ111" i="54"/>
  <c r="AJ71" i="54"/>
  <c r="AJ112" i="54"/>
  <c r="AJ72" i="54"/>
  <c r="AJ113" i="54"/>
  <c r="AJ73" i="54"/>
  <c r="AJ114" i="54"/>
  <c r="AJ74" i="54"/>
  <c r="AJ115" i="54"/>
  <c r="AJ75" i="54"/>
  <c r="AJ116" i="54"/>
  <c r="AJ76" i="54"/>
  <c r="AJ117" i="54"/>
  <c r="AJ77" i="54"/>
  <c r="AJ118" i="54"/>
  <c r="AJ78" i="54"/>
  <c r="AJ119" i="54"/>
  <c r="AJ79" i="54"/>
  <c r="AJ120" i="54"/>
  <c r="AJ133" i="54"/>
  <c r="AJ7" i="54"/>
  <c r="AJ8" i="54"/>
  <c r="AJ9" i="54"/>
  <c r="AJ10" i="54"/>
  <c r="AJ11" i="54"/>
  <c r="AJ12" i="54"/>
  <c r="AJ13" i="54"/>
  <c r="AJ14" i="54"/>
  <c r="AJ15" i="54"/>
  <c r="AJ16" i="54"/>
  <c r="AJ17" i="54"/>
  <c r="AJ18" i="54"/>
  <c r="AJ19" i="54"/>
  <c r="AJ20" i="54"/>
  <c r="AJ21" i="54"/>
  <c r="AJ22" i="54"/>
  <c r="AJ23" i="54"/>
  <c r="AJ24" i="54"/>
  <c r="AJ25" i="54"/>
  <c r="AJ26" i="54"/>
  <c r="AJ27" i="54"/>
  <c r="AJ28" i="54"/>
  <c r="AJ29" i="54"/>
  <c r="AJ30" i="54"/>
  <c r="AJ31" i="54"/>
  <c r="AJ32" i="54"/>
  <c r="AJ33" i="54"/>
  <c r="AJ34" i="54"/>
  <c r="AJ47" i="54"/>
  <c r="AE19" i="32"/>
  <c r="AE37" i="32"/>
  <c r="AK52" i="54"/>
  <c r="AK93" i="54"/>
  <c r="AK53" i="54"/>
  <c r="AK94" i="54"/>
  <c r="AK54" i="54"/>
  <c r="AK95" i="54"/>
  <c r="AK55" i="54"/>
  <c r="AK96" i="54"/>
  <c r="AK56" i="54"/>
  <c r="AK97" i="54"/>
  <c r="AK57" i="54"/>
  <c r="AK98" i="54"/>
  <c r="AK58" i="54"/>
  <c r="AK99" i="54"/>
  <c r="AK59" i="54"/>
  <c r="AK100" i="54"/>
  <c r="AK60" i="54"/>
  <c r="AK101" i="54"/>
  <c r="AK61" i="54"/>
  <c r="AK102" i="54"/>
  <c r="AK62" i="54"/>
  <c r="AK103" i="54"/>
  <c r="AK63" i="54"/>
  <c r="AK104" i="54"/>
  <c r="AK64" i="54"/>
  <c r="AK105" i="54"/>
  <c r="AK65" i="54"/>
  <c r="AK106" i="54"/>
  <c r="AK66" i="54"/>
  <c r="AK107" i="54"/>
  <c r="AK67" i="54"/>
  <c r="AK108" i="54"/>
  <c r="AK68" i="54"/>
  <c r="AK109" i="54"/>
  <c r="AK69" i="54"/>
  <c r="AK110" i="54"/>
  <c r="AK70" i="54"/>
  <c r="AK111" i="54"/>
  <c r="AK71" i="54"/>
  <c r="AK112" i="54"/>
  <c r="AK72" i="54"/>
  <c r="AK113" i="54"/>
  <c r="AK73" i="54"/>
  <c r="AK114" i="54"/>
  <c r="AK74" i="54"/>
  <c r="AK115" i="54"/>
  <c r="AK75" i="54"/>
  <c r="AK116" i="54"/>
  <c r="AK76" i="54"/>
  <c r="AK117" i="54"/>
  <c r="AK77" i="54"/>
  <c r="AK118" i="54"/>
  <c r="AK78" i="54"/>
  <c r="AK119" i="54"/>
  <c r="AK79" i="54"/>
  <c r="AK120" i="54"/>
  <c r="AK80" i="54"/>
  <c r="AK121" i="54"/>
  <c r="AK133" i="54"/>
  <c r="AK7" i="54"/>
  <c r="AK8" i="54"/>
  <c r="AK9" i="54"/>
  <c r="AK10" i="54"/>
  <c r="AK11" i="54"/>
  <c r="AK12" i="54"/>
  <c r="AK13" i="54"/>
  <c r="AK14" i="54"/>
  <c r="AK15" i="54"/>
  <c r="AK16" i="54"/>
  <c r="AK17" i="54"/>
  <c r="AK18" i="54"/>
  <c r="AK19" i="54"/>
  <c r="AK20" i="54"/>
  <c r="AK21" i="54"/>
  <c r="AK22" i="54"/>
  <c r="AK23" i="54"/>
  <c r="AK24" i="54"/>
  <c r="AK25" i="54"/>
  <c r="AK26" i="54"/>
  <c r="AK27" i="54"/>
  <c r="AK28" i="54"/>
  <c r="AK29" i="54"/>
  <c r="AK30" i="54"/>
  <c r="AK31" i="54"/>
  <c r="AK32" i="54"/>
  <c r="AK33" i="54"/>
  <c r="AK34" i="54"/>
  <c r="AK35" i="54"/>
  <c r="AK47" i="54"/>
  <c r="AF19" i="32"/>
  <c r="AF37" i="32"/>
  <c r="AL52" i="54"/>
  <c r="AL93" i="54"/>
  <c r="AL53" i="54"/>
  <c r="AL94" i="54"/>
  <c r="AL54" i="54"/>
  <c r="AL95" i="54"/>
  <c r="AL55" i="54"/>
  <c r="AL96" i="54"/>
  <c r="AL56" i="54"/>
  <c r="AL97" i="54"/>
  <c r="AL57" i="54"/>
  <c r="AL98" i="54"/>
  <c r="AL58" i="54"/>
  <c r="AL99" i="54"/>
  <c r="AL59" i="54"/>
  <c r="AL100" i="54"/>
  <c r="AL60" i="54"/>
  <c r="AL101" i="54"/>
  <c r="AL61" i="54"/>
  <c r="AL102" i="54"/>
  <c r="AL62" i="54"/>
  <c r="AL103" i="54"/>
  <c r="AL63" i="54"/>
  <c r="AL104" i="54"/>
  <c r="AL64" i="54"/>
  <c r="AL105" i="54"/>
  <c r="AL65" i="54"/>
  <c r="AL106" i="54"/>
  <c r="AL66" i="54"/>
  <c r="AL107" i="54"/>
  <c r="AL67" i="54"/>
  <c r="AL108" i="54"/>
  <c r="AL68" i="54"/>
  <c r="AL109" i="54"/>
  <c r="AL69" i="54"/>
  <c r="AL110" i="54"/>
  <c r="AL70" i="54"/>
  <c r="AL111" i="54"/>
  <c r="AL71" i="54"/>
  <c r="AL112" i="54"/>
  <c r="AL72" i="54"/>
  <c r="AL113" i="54"/>
  <c r="AL73" i="54"/>
  <c r="AL114" i="54"/>
  <c r="AL74" i="54"/>
  <c r="AL115" i="54"/>
  <c r="AL75" i="54"/>
  <c r="AL116" i="54"/>
  <c r="AL76" i="54"/>
  <c r="AL117" i="54"/>
  <c r="AL77" i="54"/>
  <c r="AL118" i="54"/>
  <c r="AL78" i="54"/>
  <c r="AL119" i="54"/>
  <c r="AL79" i="54"/>
  <c r="AL120" i="54"/>
  <c r="AL80" i="54"/>
  <c r="AL121" i="54"/>
  <c r="AL81" i="54"/>
  <c r="AL122" i="54"/>
  <c r="AL133" i="54"/>
  <c r="AL7" i="54"/>
  <c r="AL8" i="54"/>
  <c r="AL9" i="54"/>
  <c r="AL10" i="54"/>
  <c r="AL11" i="54"/>
  <c r="AL12" i="54"/>
  <c r="AL13" i="54"/>
  <c r="AL14" i="54"/>
  <c r="AL15" i="54"/>
  <c r="AL16" i="54"/>
  <c r="AL17" i="54"/>
  <c r="AL18" i="54"/>
  <c r="AL19" i="54"/>
  <c r="AL20" i="54"/>
  <c r="AL21" i="54"/>
  <c r="AL22" i="54"/>
  <c r="AL23" i="54"/>
  <c r="AL24" i="54"/>
  <c r="AL25" i="54"/>
  <c r="AL26" i="54"/>
  <c r="AL27" i="54"/>
  <c r="AL28" i="54"/>
  <c r="AL29" i="54"/>
  <c r="AL30" i="54"/>
  <c r="AL31" i="54"/>
  <c r="AL32" i="54"/>
  <c r="AL33" i="54"/>
  <c r="AL34" i="54"/>
  <c r="AL35" i="54"/>
  <c r="AL36" i="54"/>
  <c r="AL47" i="54"/>
  <c r="AG19" i="32"/>
  <c r="AG37" i="32"/>
  <c r="AM52" i="54"/>
  <c r="AM93" i="54"/>
  <c r="AM53" i="54"/>
  <c r="AM94" i="54"/>
  <c r="AM54" i="54"/>
  <c r="AM95" i="54"/>
  <c r="AM55" i="54"/>
  <c r="AM96" i="54"/>
  <c r="AM56" i="54"/>
  <c r="AM97" i="54"/>
  <c r="AM57" i="54"/>
  <c r="AM98" i="54"/>
  <c r="AM58" i="54"/>
  <c r="AM99" i="54"/>
  <c r="AM59" i="54"/>
  <c r="AM100" i="54"/>
  <c r="AM60" i="54"/>
  <c r="AM101" i="54"/>
  <c r="AM61" i="54"/>
  <c r="AM102" i="54"/>
  <c r="AM62" i="54"/>
  <c r="AM103" i="54"/>
  <c r="AM63" i="54"/>
  <c r="AM104" i="54"/>
  <c r="AM64" i="54"/>
  <c r="AM105" i="54"/>
  <c r="AM65" i="54"/>
  <c r="AM106" i="54"/>
  <c r="AM66" i="54"/>
  <c r="AM107" i="54"/>
  <c r="AM67" i="54"/>
  <c r="AM108" i="54"/>
  <c r="AM68" i="54"/>
  <c r="AM109" i="54"/>
  <c r="AM69" i="54"/>
  <c r="AM110" i="54"/>
  <c r="AM70" i="54"/>
  <c r="AM111" i="54"/>
  <c r="AM71" i="54"/>
  <c r="AM112" i="54"/>
  <c r="AM72" i="54"/>
  <c r="AM113" i="54"/>
  <c r="AM73" i="54"/>
  <c r="AM114" i="54"/>
  <c r="AM74" i="54"/>
  <c r="AM115" i="54"/>
  <c r="AM75" i="54"/>
  <c r="AM116" i="54"/>
  <c r="AM76" i="54"/>
  <c r="AM117" i="54"/>
  <c r="AM77" i="54"/>
  <c r="AM118" i="54"/>
  <c r="AM78" i="54"/>
  <c r="AM119" i="54"/>
  <c r="AM79" i="54"/>
  <c r="AM120" i="54"/>
  <c r="AM80" i="54"/>
  <c r="AM121" i="54"/>
  <c r="AM81" i="54"/>
  <c r="AM122" i="54"/>
  <c r="AM82" i="54"/>
  <c r="AM123" i="54"/>
  <c r="AM133" i="54"/>
  <c r="AM7" i="54"/>
  <c r="AM8" i="54"/>
  <c r="AM9" i="54"/>
  <c r="AM10" i="54"/>
  <c r="AM11" i="54"/>
  <c r="AM12" i="54"/>
  <c r="AM13" i="54"/>
  <c r="AM14" i="54"/>
  <c r="AM15" i="54"/>
  <c r="AM16" i="54"/>
  <c r="AM17" i="54"/>
  <c r="AM18" i="54"/>
  <c r="AM19" i="54"/>
  <c r="AM20" i="54"/>
  <c r="AM21" i="54"/>
  <c r="AM22" i="54"/>
  <c r="AM23" i="54"/>
  <c r="AM24" i="54"/>
  <c r="AM25" i="54"/>
  <c r="AM26" i="54"/>
  <c r="AM27" i="54"/>
  <c r="AM28" i="54"/>
  <c r="AM29" i="54"/>
  <c r="AM30" i="54"/>
  <c r="AM31" i="54"/>
  <c r="AM32" i="54"/>
  <c r="AM33" i="54"/>
  <c r="AM34" i="54"/>
  <c r="AM35" i="54"/>
  <c r="AM36" i="54"/>
  <c r="AM37" i="54"/>
  <c r="AM47" i="54"/>
  <c r="AH19" i="32"/>
  <c r="AH37" i="32"/>
  <c r="AN52" i="54"/>
  <c r="AN93" i="54"/>
  <c r="AN53" i="54"/>
  <c r="AN94" i="54"/>
  <c r="AN54" i="54"/>
  <c r="AN95" i="54"/>
  <c r="AN55" i="54"/>
  <c r="AN96" i="54"/>
  <c r="AN56" i="54"/>
  <c r="AN97" i="54"/>
  <c r="AN57" i="54"/>
  <c r="AN98" i="54"/>
  <c r="AN58" i="54"/>
  <c r="AN99" i="54"/>
  <c r="AN59" i="54"/>
  <c r="AN100" i="54"/>
  <c r="AN60" i="54"/>
  <c r="AN101" i="54"/>
  <c r="AN61" i="54"/>
  <c r="AN102" i="54"/>
  <c r="AN62" i="54"/>
  <c r="AN103" i="54"/>
  <c r="AN63" i="54"/>
  <c r="AN104" i="54"/>
  <c r="AN64" i="54"/>
  <c r="AN105" i="54"/>
  <c r="AN65" i="54"/>
  <c r="AN106" i="54"/>
  <c r="AN66" i="54"/>
  <c r="AN107" i="54"/>
  <c r="AN67" i="54"/>
  <c r="AN108" i="54"/>
  <c r="AN68" i="54"/>
  <c r="AN109" i="54"/>
  <c r="AN69" i="54"/>
  <c r="AN110" i="54"/>
  <c r="AN70" i="54"/>
  <c r="AN111" i="54"/>
  <c r="AN71" i="54"/>
  <c r="AN112" i="54"/>
  <c r="AN72" i="54"/>
  <c r="AN113" i="54"/>
  <c r="AN73" i="54"/>
  <c r="AN114" i="54"/>
  <c r="AN74" i="54"/>
  <c r="AN115" i="54"/>
  <c r="AN75" i="54"/>
  <c r="AN116" i="54"/>
  <c r="AN76" i="54"/>
  <c r="AN117" i="54"/>
  <c r="AN77" i="54"/>
  <c r="AN118" i="54"/>
  <c r="AN78" i="54"/>
  <c r="AN119" i="54"/>
  <c r="AN79" i="54"/>
  <c r="AN120" i="54"/>
  <c r="AN80" i="54"/>
  <c r="AN121" i="54"/>
  <c r="AN81" i="54"/>
  <c r="AN122" i="54"/>
  <c r="AN82" i="54"/>
  <c r="AN123" i="54"/>
  <c r="AN83" i="54"/>
  <c r="AN124" i="54"/>
  <c r="AN133" i="54"/>
  <c r="AN7" i="54"/>
  <c r="AN8" i="54"/>
  <c r="AN9" i="54"/>
  <c r="AN10" i="54"/>
  <c r="AN11" i="54"/>
  <c r="AN12" i="54"/>
  <c r="AN13" i="54"/>
  <c r="AN14" i="54"/>
  <c r="AN15" i="54"/>
  <c r="AN16" i="54"/>
  <c r="AN17" i="54"/>
  <c r="AN18" i="54"/>
  <c r="AN19" i="54"/>
  <c r="AN20" i="54"/>
  <c r="AN21" i="54"/>
  <c r="AN22" i="54"/>
  <c r="AN23" i="54"/>
  <c r="AN24" i="54"/>
  <c r="AN25" i="54"/>
  <c r="AN26" i="54"/>
  <c r="AN27" i="54"/>
  <c r="AN28" i="54"/>
  <c r="AN29" i="54"/>
  <c r="AN30" i="54"/>
  <c r="AN31" i="54"/>
  <c r="AN32" i="54"/>
  <c r="AN33" i="54"/>
  <c r="AN34" i="54"/>
  <c r="AN35" i="54"/>
  <c r="AN36" i="54"/>
  <c r="AN37" i="54"/>
  <c r="AN38" i="54"/>
  <c r="AN47" i="54"/>
  <c r="AI19" i="32"/>
  <c r="AI37" i="32"/>
  <c r="AO52" i="54"/>
  <c r="AO93" i="54"/>
  <c r="AO53" i="54"/>
  <c r="AO94" i="54"/>
  <c r="AO54" i="54"/>
  <c r="AO95" i="54"/>
  <c r="AO55" i="54"/>
  <c r="AO96" i="54"/>
  <c r="AO56" i="54"/>
  <c r="AO97" i="54"/>
  <c r="AO57" i="54"/>
  <c r="AO98" i="54"/>
  <c r="AO58" i="54"/>
  <c r="AO99" i="54"/>
  <c r="AO59" i="54"/>
  <c r="AO100" i="54"/>
  <c r="AO60" i="54"/>
  <c r="AO101" i="54"/>
  <c r="AO61" i="54"/>
  <c r="AO102" i="54"/>
  <c r="AO62" i="54"/>
  <c r="AO103" i="54"/>
  <c r="AO63" i="54"/>
  <c r="AO104" i="54"/>
  <c r="AO64" i="54"/>
  <c r="AO105" i="54"/>
  <c r="AO65" i="54"/>
  <c r="AO106" i="54"/>
  <c r="AO66" i="54"/>
  <c r="AO107" i="54"/>
  <c r="AO67" i="54"/>
  <c r="AO108" i="54"/>
  <c r="AO68" i="54"/>
  <c r="AO109" i="54"/>
  <c r="AO69" i="54"/>
  <c r="AO110" i="54"/>
  <c r="AO70" i="54"/>
  <c r="AO111" i="54"/>
  <c r="AO71" i="54"/>
  <c r="AO112" i="54"/>
  <c r="AO72" i="54"/>
  <c r="AO113" i="54"/>
  <c r="AO73" i="54"/>
  <c r="AO114" i="54"/>
  <c r="AO74" i="54"/>
  <c r="AO115" i="54"/>
  <c r="AO75" i="54"/>
  <c r="AO116" i="54"/>
  <c r="AO76" i="54"/>
  <c r="AO117" i="54"/>
  <c r="AO77" i="54"/>
  <c r="AO118" i="54"/>
  <c r="AO78" i="54"/>
  <c r="AO119" i="54"/>
  <c r="AO79" i="54"/>
  <c r="AO120" i="54"/>
  <c r="AO80" i="54"/>
  <c r="AO121" i="54"/>
  <c r="AO81" i="54"/>
  <c r="AO122" i="54"/>
  <c r="AO82" i="54"/>
  <c r="AO123" i="54"/>
  <c r="AO83" i="54"/>
  <c r="AO124" i="54"/>
  <c r="AO84" i="54"/>
  <c r="AO125" i="54"/>
  <c r="AO133" i="54"/>
  <c r="AO7" i="54"/>
  <c r="AO8" i="54"/>
  <c r="AO9" i="54"/>
  <c r="AO10" i="54"/>
  <c r="AO11" i="54"/>
  <c r="AO12" i="54"/>
  <c r="AO13" i="54"/>
  <c r="AO14" i="54"/>
  <c r="AO15" i="54"/>
  <c r="AO16" i="54"/>
  <c r="AO17" i="54"/>
  <c r="AO18" i="54"/>
  <c r="AO19" i="54"/>
  <c r="AO20" i="54"/>
  <c r="AO21" i="54"/>
  <c r="AO22" i="54"/>
  <c r="AO23" i="54"/>
  <c r="AO24" i="54"/>
  <c r="AO25" i="54"/>
  <c r="AO26" i="54"/>
  <c r="AO27" i="54"/>
  <c r="AO28" i="54"/>
  <c r="AO29" i="54"/>
  <c r="AO30" i="54"/>
  <c r="AO31" i="54"/>
  <c r="AO32" i="54"/>
  <c r="AO33" i="54"/>
  <c r="AO34" i="54"/>
  <c r="AO35" i="54"/>
  <c r="AO36" i="54"/>
  <c r="AO37" i="54"/>
  <c r="AO38" i="54"/>
  <c r="AO39" i="54"/>
  <c r="AO47" i="54"/>
  <c r="AJ19" i="32"/>
  <c r="AJ37" i="32"/>
  <c r="AP52" i="54"/>
  <c r="AP93" i="54"/>
  <c r="AP53" i="54"/>
  <c r="AP94" i="54"/>
  <c r="AP54" i="54"/>
  <c r="AP95" i="54"/>
  <c r="AP55" i="54"/>
  <c r="AP96" i="54"/>
  <c r="AP56" i="54"/>
  <c r="AP97" i="54"/>
  <c r="AP57" i="54"/>
  <c r="AP98" i="54"/>
  <c r="AP58" i="54"/>
  <c r="AP99" i="54"/>
  <c r="AP59" i="54"/>
  <c r="AP100" i="54"/>
  <c r="AP60" i="54"/>
  <c r="AP101" i="54"/>
  <c r="AP61" i="54"/>
  <c r="AP102" i="54"/>
  <c r="AP62" i="54"/>
  <c r="AP103" i="54"/>
  <c r="AP63" i="54"/>
  <c r="AP104" i="54"/>
  <c r="AP64" i="54"/>
  <c r="AP105" i="54"/>
  <c r="AP65" i="54"/>
  <c r="AP106" i="54"/>
  <c r="AP66" i="54"/>
  <c r="AP107" i="54"/>
  <c r="AP67" i="54"/>
  <c r="AP108" i="54"/>
  <c r="AP68" i="54"/>
  <c r="AP109" i="54"/>
  <c r="AP69" i="54"/>
  <c r="AP110" i="54"/>
  <c r="AP70" i="54"/>
  <c r="AP111" i="54"/>
  <c r="AP71" i="54"/>
  <c r="AP112" i="54"/>
  <c r="AP72" i="54"/>
  <c r="AP113" i="54"/>
  <c r="AP73" i="54"/>
  <c r="AP114" i="54"/>
  <c r="AP74" i="54"/>
  <c r="AP115" i="54"/>
  <c r="AP75" i="54"/>
  <c r="AP116" i="54"/>
  <c r="AP76" i="54"/>
  <c r="AP117" i="54"/>
  <c r="AP77" i="54"/>
  <c r="AP118" i="54"/>
  <c r="AP78" i="54"/>
  <c r="AP119" i="54"/>
  <c r="AP79" i="54"/>
  <c r="AP120" i="54"/>
  <c r="AP80" i="54"/>
  <c r="AP121" i="54"/>
  <c r="AP81" i="54"/>
  <c r="AP122" i="54"/>
  <c r="AP82" i="54"/>
  <c r="AP123" i="54"/>
  <c r="AP83" i="54"/>
  <c r="AP124" i="54"/>
  <c r="AP84" i="54"/>
  <c r="AP125" i="54"/>
  <c r="AP85" i="54"/>
  <c r="AP126" i="54"/>
  <c r="AP133" i="54"/>
  <c r="AP7" i="54"/>
  <c r="AP8" i="54"/>
  <c r="AP9" i="54"/>
  <c r="AP10" i="54"/>
  <c r="AP11" i="54"/>
  <c r="AP12" i="54"/>
  <c r="AP13" i="54"/>
  <c r="AP14" i="54"/>
  <c r="AP15" i="54"/>
  <c r="AP16" i="54"/>
  <c r="AP17" i="54"/>
  <c r="AP18" i="54"/>
  <c r="AP19" i="54"/>
  <c r="AP20" i="54"/>
  <c r="AP21" i="54"/>
  <c r="AP22" i="54"/>
  <c r="AP23" i="54"/>
  <c r="AP24" i="54"/>
  <c r="AP25" i="54"/>
  <c r="AP26" i="54"/>
  <c r="AP27" i="54"/>
  <c r="AP28" i="54"/>
  <c r="AP29" i="54"/>
  <c r="AP30" i="54"/>
  <c r="AP31" i="54"/>
  <c r="AP32" i="54"/>
  <c r="AP33" i="54"/>
  <c r="AP34" i="54"/>
  <c r="AP35" i="54"/>
  <c r="AP36" i="54"/>
  <c r="AP37" i="54"/>
  <c r="AP38" i="54"/>
  <c r="AP39" i="54"/>
  <c r="AP40" i="54"/>
  <c r="AP47" i="54"/>
  <c r="AK19" i="32"/>
  <c r="AK37" i="32"/>
  <c r="AQ52" i="54"/>
  <c r="AQ93" i="54"/>
  <c r="AQ53" i="54"/>
  <c r="AQ94" i="54"/>
  <c r="AQ54" i="54"/>
  <c r="AQ95" i="54"/>
  <c r="AQ55" i="54"/>
  <c r="AQ96" i="54"/>
  <c r="AQ56" i="54"/>
  <c r="AQ97" i="54"/>
  <c r="AQ57" i="54"/>
  <c r="AQ98" i="54"/>
  <c r="AQ58" i="54"/>
  <c r="AQ99" i="54"/>
  <c r="AQ59" i="54"/>
  <c r="AQ100" i="54"/>
  <c r="AQ60" i="54"/>
  <c r="AQ101" i="54"/>
  <c r="AQ61" i="54"/>
  <c r="AQ102" i="54"/>
  <c r="AQ62" i="54"/>
  <c r="AQ103" i="54"/>
  <c r="AQ63" i="54"/>
  <c r="AQ104" i="54"/>
  <c r="AQ64" i="54"/>
  <c r="AQ105" i="54"/>
  <c r="AQ65" i="54"/>
  <c r="AQ106" i="54"/>
  <c r="AQ66" i="54"/>
  <c r="AQ107" i="54"/>
  <c r="AQ67" i="54"/>
  <c r="AQ108" i="54"/>
  <c r="AQ68" i="54"/>
  <c r="AQ109" i="54"/>
  <c r="AQ69" i="54"/>
  <c r="AQ110" i="54"/>
  <c r="AQ70" i="54"/>
  <c r="AQ111" i="54"/>
  <c r="AQ71" i="54"/>
  <c r="AQ112" i="54"/>
  <c r="AQ72" i="54"/>
  <c r="AQ113" i="54"/>
  <c r="AQ73" i="54"/>
  <c r="AQ114" i="54"/>
  <c r="AQ74" i="54"/>
  <c r="AQ115" i="54"/>
  <c r="AQ75" i="54"/>
  <c r="AQ116" i="54"/>
  <c r="AQ76" i="54"/>
  <c r="AQ117" i="54"/>
  <c r="AQ77" i="54"/>
  <c r="AQ118" i="54"/>
  <c r="AQ78" i="54"/>
  <c r="AQ119" i="54"/>
  <c r="AQ79" i="54"/>
  <c r="AQ120" i="54"/>
  <c r="AQ80" i="54"/>
  <c r="AQ121" i="54"/>
  <c r="AQ81" i="54"/>
  <c r="AQ122" i="54"/>
  <c r="AQ82" i="54"/>
  <c r="AQ123" i="54"/>
  <c r="AQ83" i="54"/>
  <c r="AQ124" i="54"/>
  <c r="AQ84" i="54"/>
  <c r="AQ125" i="54"/>
  <c r="AQ85" i="54"/>
  <c r="AQ126" i="54"/>
  <c r="AQ86" i="54"/>
  <c r="AQ127" i="54"/>
  <c r="AQ133" i="54"/>
  <c r="AQ7" i="54"/>
  <c r="AQ8" i="54"/>
  <c r="AQ9" i="54"/>
  <c r="AQ10" i="54"/>
  <c r="AQ11" i="54"/>
  <c r="AQ12" i="54"/>
  <c r="AQ13" i="54"/>
  <c r="AQ14" i="54"/>
  <c r="AQ15" i="54"/>
  <c r="AQ16" i="54"/>
  <c r="AQ17" i="54"/>
  <c r="AQ18" i="54"/>
  <c r="AQ19" i="54"/>
  <c r="AQ20" i="54"/>
  <c r="AQ21" i="54"/>
  <c r="AQ22" i="54"/>
  <c r="AQ23" i="54"/>
  <c r="AQ24" i="54"/>
  <c r="AQ25" i="54"/>
  <c r="AQ26" i="54"/>
  <c r="AQ27" i="54"/>
  <c r="AQ28" i="54"/>
  <c r="AQ29" i="54"/>
  <c r="AQ30" i="54"/>
  <c r="AQ31" i="54"/>
  <c r="AQ32" i="54"/>
  <c r="AQ33" i="54"/>
  <c r="AQ34" i="54"/>
  <c r="AQ35" i="54"/>
  <c r="AQ36" i="54"/>
  <c r="AQ37" i="54"/>
  <c r="AQ38" i="54"/>
  <c r="AQ39" i="54"/>
  <c r="AQ40" i="54"/>
  <c r="AQ41" i="54"/>
  <c r="AQ47" i="54"/>
  <c r="AL19" i="32"/>
  <c r="AL37" i="32"/>
  <c r="AR52" i="54"/>
  <c r="AR93" i="54"/>
  <c r="AR53" i="54"/>
  <c r="AR94" i="54"/>
  <c r="AR54" i="54"/>
  <c r="AR95" i="54"/>
  <c r="AR55" i="54"/>
  <c r="AR96" i="54"/>
  <c r="AR56" i="54"/>
  <c r="AR97" i="54"/>
  <c r="AR57" i="54"/>
  <c r="AR98" i="54"/>
  <c r="AR58" i="54"/>
  <c r="AR99" i="54"/>
  <c r="AR59" i="54"/>
  <c r="AR100" i="54"/>
  <c r="AR60" i="54"/>
  <c r="AR101" i="54"/>
  <c r="AR61" i="54"/>
  <c r="AR102" i="54"/>
  <c r="AR62" i="54"/>
  <c r="AR103" i="54"/>
  <c r="AR63" i="54"/>
  <c r="AR104" i="54"/>
  <c r="AR64" i="54"/>
  <c r="AR105" i="54"/>
  <c r="AR65" i="54"/>
  <c r="AR106" i="54"/>
  <c r="AR66" i="54"/>
  <c r="AR107" i="54"/>
  <c r="AR67" i="54"/>
  <c r="AR108" i="54"/>
  <c r="AR68" i="54"/>
  <c r="AR109" i="54"/>
  <c r="AR69" i="54"/>
  <c r="AR110" i="54"/>
  <c r="AR70" i="54"/>
  <c r="AR111" i="54"/>
  <c r="AR71" i="54"/>
  <c r="AR112" i="54"/>
  <c r="AR72" i="54"/>
  <c r="AR113" i="54"/>
  <c r="AR73" i="54"/>
  <c r="AR114" i="54"/>
  <c r="AR74" i="54"/>
  <c r="AR115" i="54"/>
  <c r="AR75" i="54"/>
  <c r="AR116" i="54"/>
  <c r="AR76" i="54"/>
  <c r="AR117" i="54"/>
  <c r="AR77" i="54"/>
  <c r="AR118" i="54"/>
  <c r="AR78" i="54"/>
  <c r="AR119" i="54"/>
  <c r="AR79" i="54"/>
  <c r="AR120" i="54"/>
  <c r="AR80" i="54"/>
  <c r="AR121" i="54"/>
  <c r="AR81" i="54"/>
  <c r="AR122" i="54"/>
  <c r="AR82" i="54"/>
  <c r="AR123" i="54"/>
  <c r="AR83" i="54"/>
  <c r="AR124" i="54"/>
  <c r="AR84" i="54"/>
  <c r="AR125" i="54"/>
  <c r="AR85" i="54"/>
  <c r="AR126" i="54"/>
  <c r="AR86" i="54"/>
  <c r="AR127" i="54"/>
  <c r="AR87" i="54"/>
  <c r="AR128" i="54"/>
  <c r="AR133" i="54"/>
  <c r="AR7" i="54"/>
  <c r="AR8" i="54"/>
  <c r="AR9" i="54"/>
  <c r="AR10" i="54"/>
  <c r="AR11" i="54"/>
  <c r="AR12" i="54"/>
  <c r="AR13" i="54"/>
  <c r="AR14" i="54"/>
  <c r="AR15" i="54"/>
  <c r="AR16" i="54"/>
  <c r="AR17" i="54"/>
  <c r="AR18" i="54"/>
  <c r="AR19" i="54"/>
  <c r="AR20" i="54"/>
  <c r="AR21" i="54"/>
  <c r="AR22" i="54"/>
  <c r="AR23" i="54"/>
  <c r="AR24" i="54"/>
  <c r="AR25" i="54"/>
  <c r="AR26" i="54"/>
  <c r="AR27" i="54"/>
  <c r="AR28" i="54"/>
  <c r="AR29" i="54"/>
  <c r="AR30" i="54"/>
  <c r="AR31" i="54"/>
  <c r="AR32" i="54"/>
  <c r="AR33" i="54"/>
  <c r="AR34" i="54"/>
  <c r="AR35" i="54"/>
  <c r="AR36" i="54"/>
  <c r="AR37" i="54"/>
  <c r="AR38" i="54"/>
  <c r="AR39" i="54"/>
  <c r="AR40" i="54"/>
  <c r="AR41" i="54"/>
  <c r="AR42" i="54"/>
  <c r="AR47" i="54"/>
  <c r="AM19" i="32"/>
  <c r="AM37" i="32"/>
  <c r="AS52" i="54"/>
  <c r="AS93" i="54"/>
  <c r="AS53" i="54"/>
  <c r="AS94" i="54"/>
  <c r="AS54" i="54"/>
  <c r="AS95" i="54"/>
  <c r="AS55" i="54"/>
  <c r="AS96" i="54"/>
  <c r="AS56" i="54"/>
  <c r="AS97" i="54"/>
  <c r="AS57" i="54"/>
  <c r="AS98" i="54"/>
  <c r="AS58" i="54"/>
  <c r="AS99" i="54"/>
  <c r="AS59" i="54"/>
  <c r="AS100" i="54"/>
  <c r="AS60" i="54"/>
  <c r="AS101" i="54"/>
  <c r="AS61" i="54"/>
  <c r="AS102" i="54"/>
  <c r="AS62" i="54"/>
  <c r="AS103" i="54"/>
  <c r="AS63" i="54"/>
  <c r="AS104" i="54"/>
  <c r="AS64" i="54"/>
  <c r="AS105" i="54"/>
  <c r="AS65" i="54"/>
  <c r="AS106" i="54"/>
  <c r="AS66" i="54"/>
  <c r="AS107" i="54"/>
  <c r="AS67" i="54"/>
  <c r="AS108" i="54"/>
  <c r="AS68" i="54"/>
  <c r="AS109" i="54"/>
  <c r="AS69" i="54"/>
  <c r="AS110" i="54"/>
  <c r="AS70" i="54"/>
  <c r="AS111" i="54"/>
  <c r="AS71" i="54"/>
  <c r="AS112" i="54"/>
  <c r="AS72" i="54"/>
  <c r="AS113" i="54"/>
  <c r="AS73" i="54"/>
  <c r="AS114" i="54"/>
  <c r="AS74" i="54"/>
  <c r="AS115" i="54"/>
  <c r="AS75" i="54"/>
  <c r="AS116" i="54"/>
  <c r="AS76" i="54"/>
  <c r="AS117" i="54"/>
  <c r="AS77" i="54"/>
  <c r="AS118" i="54"/>
  <c r="AS78" i="54"/>
  <c r="AS119" i="54"/>
  <c r="AS79" i="54"/>
  <c r="AS120" i="54"/>
  <c r="AS80" i="54"/>
  <c r="AS121" i="54"/>
  <c r="AS81" i="54"/>
  <c r="AS122" i="54"/>
  <c r="AS82" i="54"/>
  <c r="AS123" i="54"/>
  <c r="AS83" i="54"/>
  <c r="AS124" i="54"/>
  <c r="AS84" i="54"/>
  <c r="AS125" i="54"/>
  <c r="AS85" i="54"/>
  <c r="AS126" i="54"/>
  <c r="AS86" i="54"/>
  <c r="AS127" i="54"/>
  <c r="AS87" i="54"/>
  <c r="AS128" i="54"/>
  <c r="AS88" i="54"/>
  <c r="AS129" i="54"/>
  <c r="AS133" i="54"/>
  <c r="AS7" i="54"/>
  <c r="AS8" i="54"/>
  <c r="AS9" i="54"/>
  <c r="AS10" i="54"/>
  <c r="AS11" i="54"/>
  <c r="AS12" i="54"/>
  <c r="AS13" i="54"/>
  <c r="AS14" i="54"/>
  <c r="AS15" i="54"/>
  <c r="AS16" i="54"/>
  <c r="AS17" i="54"/>
  <c r="AS18" i="54"/>
  <c r="AS19" i="54"/>
  <c r="AS20" i="54"/>
  <c r="AS21" i="54"/>
  <c r="AS22" i="54"/>
  <c r="AS23" i="54"/>
  <c r="AS24" i="54"/>
  <c r="AS25" i="54"/>
  <c r="AS26" i="54"/>
  <c r="AS27" i="54"/>
  <c r="AS28" i="54"/>
  <c r="AS29" i="54"/>
  <c r="AS30" i="54"/>
  <c r="AS31" i="54"/>
  <c r="AS32" i="54"/>
  <c r="AS33" i="54"/>
  <c r="AS34" i="54"/>
  <c r="AS35" i="54"/>
  <c r="AS36" i="54"/>
  <c r="AS37" i="54"/>
  <c r="AS38" i="54"/>
  <c r="AS39" i="54"/>
  <c r="AS40" i="54"/>
  <c r="AS41" i="54"/>
  <c r="AS42" i="54"/>
  <c r="AS43" i="54"/>
  <c r="AS47" i="54"/>
  <c r="AN19" i="32"/>
  <c r="AN37" i="32"/>
  <c r="AT52" i="54"/>
  <c r="AT93" i="54"/>
  <c r="AT53" i="54"/>
  <c r="AT94" i="54"/>
  <c r="AT54" i="54"/>
  <c r="AT95" i="54"/>
  <c r="AT55" i="54"/>
  <c r="AT96" i="54"/>
  <c r="AT56" i="54"/>
  <c r="AT97" i="54"/>
  <c r="AT57" i="54"/>
  <c r="AT98" i="54"/>
  <c r="AT58" i="54"/>
  <c r="AT99" i="54"/>
  <c r="AT59" i="54"/>
  <c r="AT100" i="54"/>
  <c r="AT60" i="54"/>
  <c r="AT101" i="54"/>
  <c r="AT61" i="54"/>
  <c r="AT102" i="54"/>
  <c r="AT62" i="54"/>
  <c r="AT103" i="54"/>
  <c r="AT63" i="54"/>
  <c r="AT104" i="54"/>
  <c r="AT64" i="54"/>
  <c r="AT105" i="54"/>
  <c r="AT65" i="54"/>
  <c r="AT106" i="54"/>
  <c r="AT66" i="54"/>
  <c r="AT107" i="54"/>
  <c r="AT67" i="54"/>
  <c r="AT108" i="54"/>
  <c r="AT68" i="54"/>
  <c r="AT109" i="54"/>
  <c r="AT69" i="54"/>
  <c r="AT110" i="54"/>
  <c r="AT70" i="54"/>
  <c r="AT111" i="54"/>
  <c r="AT71" i="54"/>
  <c r="AT112" i="54"/>
  <c r="AT72" i="54"/>
  <c r="AT113" i="54"/>
  <c r="AT73" i="54"/>
  <c r="AT114" i="54"/>
  <c r="AT74" i="54"/>
  <c r="AT115" i="54"/>
  <c r="AT75" i="54"/>
  <c r="AT116" i="54"/>
  <c r="AT76" i="54"/>
  <c r="AT117" i="54"/>
  <c r="AT77" i="54"/>
  <c r="AT118" i="54"/>
  <c r="AT78" i="54"/>
  <c r="AT119" i="54"/>
  <c r="AT79" i="54"/>
  <c r="AT120" i="54"/>
  <c r="AT80" i="54"/>
  <c r="AT121" i="54"/>
  <c r="AT81" i="54"/>
  <c r="AT122" i="54"/>
  <c r="AT82" i="54"/>
  <c r="AT123" i="54"/>
  <c r="AT83" i="54"/>
  <c r="AT124" i="54"/>
  <c r="AT84" i="54"/>
  <c r="AT125" i="54"/>
  <c r="AT85" i="54"/>
  <c r="AT126" i="54"/>
  <c r="AT86" i="54"/>
  <c r="AT127" i="54"/>
  <c r="AT87" i="54"/>
  <c r="AT128" i="54"/>
  <c r="AT88" i="54"/>
  <c r="AT129" i="54"/>
  <c r="AT89" i="54"/>
  <c r="AT130" i="54"/>
  <c r="AT133" i="54"/>
  <c r="AT7" i="54"/>
  <c r="AT8" i="54"/>
  <c r="AT9" i="54"/>
  <c r="AT10" i="54"/>
  <c r="AT11" i="54"/>
  <c r="AT12" i="54"/>
  <c r="AT13" i="54"/>
  <c r="AT14" i="54"/>
  <c r="AT15" i="54"/>
  <c r="AT16" i="54"/>
  <c r="AT17" i="54"/>
  <c r="AT18" i="54"/>
  <c r="AT19" i="54"/>
  <c r="AT20" i="54"/>
  <c r="AT21" i="54"/>
  <c r="AT22" i="54"/>
  <c r="AT23" i="54"/>
  <c r="AT24" i="54"/>
  <c r="AT25" i="54"/>
  <c r="AT26" i="54"/>
  <c r="AT27" i="54"/>
  <c r="AT28" i="54"/>
  <c r="AT29" i="54"/>
  <c r="AT30" i="54"/>
  <c r="AT31" i="54"/>
  <c r="AT32" i="54"/>
  <c r="AT33" i="54"/>
  <c r="AT34" i="54"/>
  <c r="AT35" i="54"/>
  <c r="AT36" i="54"/>
  <c r="AT37" i="54"/>
  <c r="AT38" i="54"/>
  <c r="AT39" i="54"/>
  <c r="AT40" i="54"/>
  <c r="AT41" i="54"/>
  <c r="AT42" i="54"/>
  <c r="AT43" i="54"/>
  <c r="AT44" i="54"/>
  <c r="AT47" i="54"/>
  <c r="AO19" i="32"/>
  <c r="AO37" i="32"/>
  <c r="AU52" i="54"/>
  <c r="AU93" i="54"/>
  <c r="AU53" i="54"/>
  <c r="AU94" i="54"/>
  <c r="AU54" i="54"/>
  <c r="AU95" i="54"/>
  <c r="AU55" i="54"/>
  <c r="AU96" i="54"/>
  <c r="AU56" i="54"/>
  <c r="AU97" i="54"/>
  <c r="AU57" i="54"/>
  <c r="AU98" i="54"/>
  <c r="AU58" i="54"/>
  <c r="AU99" i="54"/>
  <c r="AU59" i="54"/>
  <c r="AU100" i="54"/>
  <c r="AU60" i="54"/>
  <c r="AU101" i="54"/>
  <c r="AU61" i="54"/>
  <c r="AU102" i="54"/>
  <c r="AU62" i="54"/>
  <c r="AU103" i="54"/>
  <c r="AU63" i="54"/>
  <c r="AU104" i="54"/>
  <c r="AU64" i="54"/>
  <c r="AU105" i="54"/>
  <c r="AU65" i="54"/>
  <c r="AU106" i="54"/>
  <c r="AU66" i="54"/>
  <c r="AU107" i="54"/>
  <c r="AU67" i="54"/>
  <c r="AU108" i="54"/>
  <c r="AU68" i="54"/>
  <c r="AU109" i="54"/>
  <c r="AU69" i="54"/>
  <c r="AU110" i="54"/>
  <c r="AU70" i="54"/>
  <c r="AU111" i="54"/>
  <c r="AU71" i="54"/>
  <c r="AU112" i="54"/>
  <c r="AU72" i="54"/>
  <c r="AU113" i="54"/>
  <c r="AU73" i="54"/>
  <c r="AU114" i="54"/>
  <c r="AU74" i="54"/>
  <c r="AU115" i="54"/>
  <c r="AU75" i="54"/>
  <c r="AU116" i="54"/>
  <c r="AU76" i="54"/>
  <c r="AU117" i="54"/>
  <c r="AU77" i="54"/>
  <c r="AU118" i="54"/>
  <c r="AU78" i="54"/>
  <c r="AU119" i="54"/>
  <c r="AU79" i="54"/>
  <c r="AU120" i="54"/>
  <c r="AU80" i="54"/>
  <c r="AU121" i="54"/>
  <c r="AU81" i="54"/>
  <c r="AU122" i="54"/>
  <c r="AU82" i="54"/>
  <c r="AU123" i="54"/>
  <c r="AU83" i="54"/>
  <c r="AU124" i="54"/>
  <c r="AU84" i="54"/>
  <c r="AU125" i="54"/>
  <c r="AU85" i="54"/>
  <c r="AU126" i="54"/>
  <c r="AU86" i="54"/>
  <c r="AU127" i="54"/>
  <c r="AU87" i="54"/>
  <c r="AU128" i="54"/>
  <c r="AU88" i="54"/>
  <c r="AU129" i="54"/>
  <c r="AU89" i="54"/>
  <c r="AU130" i="54"/>
  <c r="AU90" i="54"/>
  <c r="AU131" i="54"/>
  <c r="AU133" i="54"/>
  <c r="AU7" i="54"/>
  <c r="AU8" i="54"/>
  <c r="AU9" i="54"/>
  <c r="AU10" i="54"/>
  <c r="AU11" i="54"/>
  <c r="AU12" i="54"/>
  <c r="AU13" i="54"/>
  <c r="AU14" i="54"/>
  <c r="AU15" i="54"/>
  <c r="AU16" i="54"/>
  <c r="AU17" i="54"/>
  <c r="AU18" i="54"/>
  <c r="AU19" i="54"/>
  <c r="AU20" i="54"/>
  <c r="AU21" i="54"/>
  <c r="AU22" i="54"/>
  <c r="AU23" i="54"/>
  <c r="AU24" i="54"/>
  <c r="AU25" i="54"/>
  <c r="AU26" i="54"/>
  <c r="AU27" i="54"/>
  <c r="AU28" i="54"/>
  <c r="AU29" i="54"/>
  <c r="AU30" i="54"/>
  <c r="AU31" i="54"/>
  <c r="AU32" i="54"/>
  <c r="AU33" i="54"/>
  <c r="AU34" i="54"/>
  <c r="AU35" i="54"/>
  <c r="AU36" i="54"/>
  <c r="AU37" i="54"/>
  <c r="AU38" i="54"/>
  <c r="AU39" i="54"/>
  <c r="AU40" i="54"/>
  <c r="AU41" i="54"/>
  <c r="AU42" i="54"/>
  <c r="AU43" i="54"/>
  <c r="AU44" i="54"/>
  <c r="AU45" i="54"/>
  <c r="AU47" i="54"/>
  <c r="AP19" i="32"/>
  <c r="AP37" i="32"/>
  <c r="AV52" i="54"/>
  <c r="AV93" i="54"/>
  <c r="AV53" i="54"/>
  <c r="AV94" i="54"/>
  <c r="AV54" i="54"/>
  <c r="AV95" i="54"/>
  <c r="AV55" i="54"/>
  <c r="AV96" i="54"/>
  <c r="AV56" i="54"/>
  <c r="AV97" i="54"/>
  <c r="AV57" i="54"/>
  <c r="AV98" i="54"/>
  <c r="AV58" i="54"/>
  <c r="AV99" i="54"/>
  <c r="AV59" i="54"/>
  <c r="AV100" i="54"/>
  <c r="AV60" i="54"/>
  <c r="AV101" i="54"/>
  <c r="AV61" i="54"/>
  <c r="AV102" i="54"/>
  <c r="AV62" i="54"/>
  <c r="AV103" i="54"/>
  <c r="AV63" i="54"/>
  <c r="AV104" i="54"/>
  <c r="AV64" i="54"/>
  <c r="AV105" i="54"/>
  <c r="AV65" i="54"/>
  <c r="AV106" i="54"/>
  <c r="AV66" i="54"/>
  <c r="AV107" i="54"/>
  <c r="AV67" i="54"/>
  <c r="AV108" i="54"/>
  <c r="AV68" i="54"/>
  <c r="AV109" i="54"/>
  <c r="AV69" i="54"/>
  <c r="AV110" i="54"/>
  <c r="AV70" i="54"/>
  <c r="AV111" i="54"/>
  <c r="AV71" i="54"/>
  <c r="AV112" i="54"/>
  <c r="AV72" i="54"/>
  <c r="AV113" i="54"/>
  <c r="AV73" i="54"/>
  <c r="AV114" i="54"/>
  <c r="AV74" i="54"/>
  <c r="AV115" i="54"/>
  <c r="AV75" i="54"/>
  <c r="AV116" i="54"/>
  <c r="AV76" i="54"/>
  <c r="AV117" i="54"/>
  <c r="AV77" i="54"/>
  <c r="AV118" i="54"/>
  <c r="AV78" i="54"/>
  <c r="AV119" i="54"/>
  <c r="AV79" i="54"/>
  <c r="AV120" i="54"/>
  <c r="AV80" i="54"/>
  <c r="AV121" i="54"/>
  <c r="AV81" i="54"/>
  <c r="AV122" i="54"/>
  <c r="AV82" i="54"/>
  <c r="AV123" i="54"/>
  <c r="AV83" i="54"/>
  <c r="AV124" i="54"/>
  <c r="AV84" i="54"/>
  <c r="AV125" i="54"/>
  <c r="AV85" i="54"/>
  <c r="AV126" i="54"/>
  <c r="AV86" i="54"/>
  <c r="AV127" i="54"/>
  <c r="AV87" i="54"/>
  <c r="AV128" i="54"/>
  <c r="AV88" i="54"/>
  <c r="AV129" i="54"/>
  <c r="AV89" i="54"/>
  <c r="AV130" i="54"/>
  <c r="AV90" i="54"/>
  <c r="AV131" i="54"/>
  <c r="AV91" i="54"/>
  <c r="AV132" i="54"/>
  <c r="AV133" i="54"/>
  <c r="AV7" i="54"/>
  <c r="AV8" i="54"/>
  <c r="AV9" i="54"/>
  <c r="AV10" i="54"/>
  <c r="AV11" i="54"/>
  <c r="AV12" i="54"/>
  <c r="AV13" i="54"/>
  <c r="AV14" i="54"/>
  <c r="AV15" i="54"/>
  <c r="AV16" i="54"/>
  <c r="AV17" i="54"/>
  <c r="AV18" i="54"/>
  <c r="AV19" i="54"/>
  <c r="AV20" i="54"/>
  <c r="AV21" i="54"/>
  <c r="AV22" i="54"/>
  <c r="AV23" i="54"/>
  <c r="AV24" i="54"/>
  <c r="AV25" i="54"/>
  <c r="AV26" i="54"/>
  <c r="AV27" i="54"/>
  <c r="AV28" i="54"/>
  <c r="AV29" i="54"/>
  <c r="AV30" i="54"/>
  <c r="AV31" i="54"/>
  <c r="AV32" i="54"/>
  <c r="AV33" i="54"/>
  <c r="AV34" i="54"/>
  <c r="AV35" i="54"/>
  <c r="AV36" i="54"/>
  <c r="AV37" i="54"/>
  <c r="AV38" i="54"/>
  <c r="AV39" i="54"/>
  <c r="AV40" i="54"/>
  <c r="AV41" i="54"/>
  <c r="AV42" i="54"/>
  <c r="AV43" i="54"/>
  <c r="AV44" i="54"/>
  <c r="AV45" i="54"/>
  <c r="AV46" i="54"/>
  <c r="AV47" i="54"/>
  <c r="AQ19" i="32"/>
  <c r="AQ37" i="32"/>
  <c r="F28" i="30"/>
  <c r="F29" i="30"/>
  <c r="D20" i="32"/>
  <c r="D38" i="32"/>
  <c r="E20" i="32"/>
  <c r="E38" i="32"/>
  <c r="F20" i="32"/>
  <c r="F38" i="32"/>
  <c r="G20" i="32"/>
  <c r="G38" i="32"/>
  <c r="H20" i="32"/>
  <c r="H38" i="32"/>
  <c r="I20" i="32"/>
  <c r="I38" i="32"/>
  <c r="J20" i="32"/>
  <c r="J38" i="32"/>
  <c r="K20" i="32"/>
  <c r="K38" i="32"/>
  <c r="L20" i="32"/>
  <c r="L38" i="32"/>
  <c r="M20" i="32"/>
  <c r="M38" i="32"/>
  <c r="N20" i="32"/>
  <c r="N38" i="32"/>
  <c r="O20" i="32"/>
  <c r="O38" i="32"/>
  <c r="P20" i="32"/>
  <c r="P38" i="32"/>
  <c r="Q20" i="32"/>
  <c r="Q38" i="32"/>
  <c r="R20" i="32"/>
  <c r="R38" i="32"/>
  <c r="S20" i="32"/>
  <c r="S38" i="32"/>
  <c r="T20" i="32"/>
  <c r="T38" i="32"/>
  <c r="U20" i="32"/>
  <c r="U38" i="32"/>
  <c r="V20" i="32"/>
  <c r="V38" i="32"/>
  <c r="W20" i="32"/>
  <c r="W38" i="32"/>
  <c r="X20" i="32"/>
  <c r="X38" i="32"/>
  <c r="Y20" i="32"/>
  <c r="Y38" i="32"/>
  <c r="Z20" i="32"/>
  <c r="Z38" i="32"/>
  <c r="AA20" i="32"/>
  <c r="AA38" i="32"/>
  <c r="AB20" i="32"/>
  <c r="AB38" i="32"/>
  <c r="AC20" i="32"/>
  <c r="AC38" i="32"/>
  <c r="AD20" i="32"/>
  <c r="AD38" i="32"/>
  <c r="AE20" i="32"/>
  <c r="AE38" i="32"/>
  <c r="AF20" i="32"/>
  <c r="AF38" i="32"/>
  <c r="AG20" i="32"/>
  <c r="AG38" i="32"/>
  <c r="AH20" i="32"/>
  <c r="AH38" i="32"/>
  <c r="AI20" i="32"/>
  <c r="AI38" i="32"/>
  <c r="AJ20" i="32"/>
  <c r="AJ38" i="32"/>
  <c r="AK20" i="32"/>
  <c r="AK38" i="32"/>
  <c r="AL20" i="32"/>
  <c r="AL38" i="32"/>
  <c r="AM20" i="32"/>
  <c r="AM38" i="32"/>
  <c r="AN20" i="32"/>
  <c r="AN38" i="32"/>
  <c r="AO20" i="32"/>
  <c r="AO38" i="32"/>
  <c r="AP20" i="32"/>
  <c r="AP38" i="32"/>
  <c r="AQ20" i="32"/>
  <c r="AQ38" i="32"/>
  <c r="F237" i="20"/>
  <c r="F238" i="20"/>
  <c r="F239" i="20"/>
  <c r="F32" i="33"/>
  <c r="D42" i="32"/>
  <c r="E42" i="32"/>
  <c r="F42" i="32"/>
  <c r="G42" i="32"/>
  <c r="H42" i="32"/>
  <c r="F35" i="34"/>
  <c r="F36" i="34"/>
  <c r="D46" i="32"/>
  <c r="E46" i="32"/>
  <c r="F46" i="32"/>
  <c r="G46" i="32"/>
  <c r="H46" i="32"/>
  <c r="F34" i="30"/>
  <c r="F35" i="30"/>
  <c r="D47" i="32"/>
  <c r="E47" i="32"/>
  <c r="F47" i="32"/>
  <c r="G47" i="32"/>
  <c r="H47" i="32"/>
  <c r="F20" i="35"/>
  <c r="F25" i="35"/>
  <c r="F26" i="35"/>
  <c r="D48" i="32"/>
  <c r="E48" i="32"/>
  <c r="F48" i="32"/>
  <c r="G48" i="32"/>
  <c r="H48" i="32"/>
  <c r="D52" i="32"/>
  <c r="E52" i="32"/>
  <c r="F52" i="32"/>
  <c r="G52" i="32"/>
  <c r="H52" i="32"/>
  <c r="D56" i="32"/>
  <c r="E56" i="32"/>
  <c r="F56" i="32"/>
  <c r="G56" i="32"/>
  <c r="H56" i="32"/>
  <c r="D57" i="32"/>
  <c r="E57" i="32"/>
  <c r="F57" i="32"/>
  <c r="G57" i="32"/>
  <c r="H57" i="32"/>
  <c r="D58" i="32"/>
  <c r="E58" i="32"/>
  <c r="F58" i="32"/>
  <c r="G58" i="32"/>
  <c r="H58" i="32"/>
  <c r="F84" i="20"/>
  <c r="F242" i="20"/>
  <c r="F85" i="20"/>
  <c r="D70" i="32"/>
  <c r="E70" i="32"/>
  <c r="F70" i="32"/>
  <c r="G70" i="32"/>
  <c r="H70" i="32"/>
  <c r="F51" i="46"/>
  <c r="F90" i="20"/>
  <c r="F34" i="35"/>
  <c r="F35" i="35"/>
  <c r="F93" i="20"/>
  <c r="F43" i="30"/>
  <c r="F44" i="30"/>
  <c r="F92" i="20"/>
  <c r="F40" i="33"/>
  <c r="F41" i="33"/>
  <c r="F87" i="20"/>
  <c r="F42" i="22"/>
  <c r="F43" i="22"/>
  <c r="F88" i="20"/>
  <c r="F44" i="29"/>
  <c r="F89" i="20"/>
  <c r="F44" i="34"/>
  <c r="F45" i="34"/>
  <c r="F91" i="20"/>
  <c r="F94" i="20"/>
  <c r="F95" i="20"/>
  <c r="F96" i="20"/>
  <c r="D71" i="32"/>
  <c r="E71" i="32"/>
  <c r="F71" i="32"/>
  <c r="G71" i="32"/>
  <c r="H71" i="32"/>
  <c r="I42" i="32"/>
  <c r="I46" i="32"/>
  <c r="I47" i="32"/>
  <c r="I48" i="32"/>
  <c r="I52" i="32"/>
  <c r="I56" i="32"/>
  <c r="I57" i="32"/>
  <c r="I58" i="32"/>
  <c r="I70" i="32"/>
  <c r="I71" i="32"/>
  <c r="J42" i="32"/>
  <c r="J46" i="32"/>
  <c r="J47" i="32"/>
  <c r="J48" i="32"/>
  <c r="J52" i="32"/>
  <c r="J56" i="32"/>
  <c r="J57" i="32"/>
  <c r="J58" i="32"/>
  <c r="J70" i="32"/>
  <c r="J71" i="32"/>
  <c r="K42" i="32"/>
  <c r="K46" i="32"/>
  <c r="K47" i="32"/>
  <c r="K48" i="32"/>
  <c r="K52" i="32"/>
  <c r="K56" i="32"/>
  <c r="K57" i="32"/>
  <c r="K58" i="32"/>
  <c r="K70" i="32"/>
  <c r="K71" i="32"/>
  <c r="L42" i="32"/>
  <c r="L46" i="32"/>
  <c r="L47" i="32"/>
  <c r="L48" i="32"/>
  <c r="L52" i="32"/>
  <c r="L56" i="32"/>
  <c r="L57" i="32"/>
  <c r="L58" i="32"/>
  <c r="L70" i="32"/>
  <c r="L71" i="32"/>
  <c r="M42" i="32"/>
  <c r="M46" i="32"/>
  <c r="M47" i="32"/>
  <c r="M48" i="32"/>
  <c r="M52" i="32"/>
  <c r="M56" i="32"/>
  <c r="M57" i="32"/>
  <c r="M58" i="32"/>
  <c r="M70" i="32"/>
  <c r="M71" i="32"/>
  <c r="N42" i="32"/>
  <c r="N46" i="32"/>
  <c r="N47" i="32"/>
  <c r="N48" i="32"/>
  <c r="N52" i="32"/>
  <c r="N56" i="32"/>
  <c r="N57" i="32"/>
  <c r="N58" i="32"/>
  <c r="N70" i="32"/>
  <c r="N71" i="32"/>
  <c r="O42" i="32"/>
  <c r="O46" i="32"/>
  <c r="O47" i="32"/>
  <c r="O48" i="32"/>
  <c r="O52" i="32"/>
  <c r="O56" i="32"/>
  <c r="O57" i="32"/>
  <c r="O58" i="32"/>
  <c r="O70" i="32"/>
  <c r="O71" i="32"/>
  <c r="P42" i="32"/>
  <c r="P46" i="32"/>
  <c r="P47" i="32"/>
  <c r="P48" i="32"/>
  <c r="P52" i="32"/>
  <c r="P56" i="32"/>
  <c r="P57" i="32"/>
  <c r="P58" i="32"/>
  <c r="P70" i="32"/>
  <c r="P71" i="32"/>
  <c r="Q42" i="32"/>
  <c r="Q46" i="32"/>
  <c r="Q47" i="32"/>
  <c r="Q48" i="32"/>
  <c r="Q52" i="32"/>
  <c r="Q56" i="32"/>
  <c r="Q57" i="32"/>
  <c r="Q58" i="32"/>
  <c r="Q70" i="32"/>
  <c r="Q71" i="32"/>
  <c r="R42" i="32"/>
  <c r="R46" i="32"/>
  <c r="R47" i="32"/>
  <c r="R48" i="32"/>
  <c r="R52" i="32"/>
  <c r="R56" i="32"/>
  <c r="R57" i="32"/>
  <c r="R58" i="32"/>
  <c r="R70" i="32"/>
  <c r="R71" i="32"/>
  <c r="S42" i="32"/>
  <c r="S46" i="32"/>
  <c r="S47" i="32"/>
  <c r="S48" i="32"/>
  <c r="S52" i="32"/>
  <c r="S56" i="32"/>
  <c r="S57" i="32"/>
  <c r="S58" i="32"/>
  <c r="S70" i="32"/>
  <c r="S71" i="32"/>
  <c r="T42" i="32"/>
  <c r="T46" i="32"/>
  <c r="T47" i="32"/>
  <c r="T48" i="32"/>
  <c r="T52" i="32"/>
  <c r="T56" i="32"/>
  <c r="T57" i="32"/>
  <c r="T58" i="32"/>
  <c r="T70" i="32"/>
  <c r="T71" i="32"/>
  <c r="U42" i="32"/>
  <c r="U46" i="32"/>
  <c r="U47" i="32"/>
  <c r="U48" i="32"/>
  <c r="U52" i="32"/>
  <c r="U56" i="32"/>
  <c r="U57" i="32"/>
  <c r="U58" i="32"/>
  <c r="U70" i="32"/>
  <c r="U71" i="32"/>
  <c r="V42" i="32"/>
  <c r="V46" i="32"/>
  <c r="V47" i="32"/>
  <c r="V48" i="32"/>
  <c r="V52" i="32"/>
  <c r="V56" i="32"/>
  <c r="V57" i="32"/>
  <c r="V58" i="32"/>
  <c r="V70" i="32"/>
  <c r="V71" i="32"/>
  <c r="W42" i="32"/>
  <c r="W46" i="32"/>
  <c r="W47" i="32"/>
  <c r="W48" i="32"/>
  <c r="W52" i="32"/>
  <c r="W56" i="32"/>
  <c r="W57" i="32"/>
  <c r="W58" i="32"/>
  <c r="W70" i="32"/>
  <c r="W71" i="32"/>
  <c r="X42" i="32"/>
  <c r="X46" i="32"/>
  <c r="X47" i="32"/>
  <c r="X48" i="32"/>
  <c r="X52" i="32"/>
  <c r="X56" i="32"/>
  <c r="X57" i="32"/>
  <c r="X58" i="32"/>
  <c r="X70" i="32"/>
  <c r="X71" i="32"/>
  <c r="Y42" i="32"/>
  <c r="Y46" i="32"/>
  <c r="Y47" i="32"/>
  <c r="Y48" i="32"/>
  <c r="Y52" i="32"/>
  <c r="Y56" i="32"/>
  <c r="Y57" i="32"/>
  <c r="Y58" i="32"/>
  <c r="Y70" i="32"/>
  <c r="Y71" i="32"/>
  <c r="Z42" i="32"/>
  <c r="Z46" i="32"/>
  <c r="Z47" i="32"/>
  <c r="Z48" i="32"/>
  <c r="Z52" i="32"/>
  <c r="Z56" i="32"/>
  <c r="Z57" i="32"/>
  <c r="Z58" i="32"/>
  <c r="Z70" i="32"/>
  <c r="Z71" i="32"/>
  <c r="AA42" i="32"/>
  <c r="AA46" i="32"/>
  <c r="AA47" i="32"/>
  <c r="AA48" i="32"/>
  <c r="AA52" i="32"/>
  <c r="AA56" i="32"/>
  <c r="AA57" i="32"/>
  <c r="AA58" i="32"/>
  <c r="AA70" i="32"/>
  <c r="AA71" i="32"/>
  <c r="AB42" i="32"/>
  <c r="AB46" i="32"/>
  <c r="AB47" i="32"/>
  <c r="AB48" i="32"/>
  <c r="AB52" i="32"/>
  <c r="AB56" i="32"/>
  <c r="AB57" i="32"/>
  <c r="AB58" i="32"/>
  <c r="AB70" i="32"/>
  <c r="AB71" i="32"/>
  <c r="AC42" i="32"/>
  <c r="AC46" i="32"/>
  <c r="AC47" i="32"/>
  <c r="AC48" i="32"/>
  <c r="AC52" i="32"/>
  <c r="AC56" i="32"/>
  <c r="AC57" i="32"/>
  <c r="AC58" i="32"/>
  <c r="AC70" i="32"/>
  <c r="AC71" i="32"/>
  <c r="AD42" i="32"/>
  <c r="AD46" i="32"/>
  <c r="AD47" i="32"/>
  <c r="AD48" i="32"/>
  <c r="AD52" i="32"/>
  <c r="AD56" i="32"/>
  <c r="AD57" i="32"/>
  <c r="AD58" i="32"/>
  <c r="AD70" i="32"/>
  <c r="AD71" i="32"/>
  <c r="AE42" i="32"/>
  <c r="AE46" i="32"/>
  <c r="AE47" i="32"/>
  <c r="AE48" i="32"/>
  <c r="AE52" i="32"/>
  <c r="AE56" i="32"/>
  <c r="AE57" i="32"/>
  <c r="AE58" i="32"/>
  <c r="AE70" i="32"/>
  <c r="AE71" i="32"/>
  <c r="AF42" i="32"/>
  <c r="AF46" i="32"/>
  <c r="AF47" i="32"/>
  <c r="AF48" i="32"/>
  <c r="AF52" i="32"/>
  <c r="AF56" i="32"/>
  <c r="AF57" i="32"/>
  <c r="AF58" i="32"/>
  <c r="AF70" i="32"/>
  <c r="AF71" i="32"/>
  <c r="AG42" i="32"/>
  <c r="AG46" i="32"/>
  <c r="AG47" i="32"/>
  <c r="AG48" i="32"/>
  <c r="AG52" i="32"/>
  <c r="AG56" i="32"/>
  <c r="AG57" i="32"/>
  <c r="AG58" i="32"/>
  <c r="AG70" i="32"/>
  <c r="AG71" i="32"/>
  <c r="AH42" i="32"/>
  <c r="AH46" i="32"/>
  <c r="AH47" i="32"/>
  <c r="AH48" i="32"/>
  <c r="AH52" i="32"/>
  <c r="AH56" i="32"/>
  <c r="AH57" i="32"/>
  <c r="AH58" i="32"/>
  <c r="AH70" i="32"/>
  <c r="AH71" i="32"/>
  <c r="AI42" i="32"/>
  <c r="AI46" i="32"/>
  <c r="AI47" i="32"/>
  <c r="AI48" i="32"/>
  <c r="AI52" i="32"/>
  <c r="AI56" i="32"/>
  <c r="AI57" i="32"/>
  <c r="AI58" i="32"/>
  <c r="AI70" i="32"/>
  <c r="AI71" i="32"/>
  <c r="AJ42" i="32"/>
  <c r="AJ46" i="32"/>
  <c r="AJ47" i="32"/>
  <c r="AJ48" i="32"/>
  <c r="AJ52" i="32"/>
  <c r="AJ56" i="32"/>
  <c r="AJ57" i="32"/>
  <c r="AJ58" i="32"/>
  <c r="AJ70" i="32"/>
  <c r="AJ71" i="32"/>
  <c r="AK42" i="32"/>
  <c r="AK46" i="32"/>
  <c r="AK47" i="32"/>
  <c r="AK48" i="32"/>
  <c r="AK52" i="32"/>
  <c r="AK56" i="32"/>
  <c r="AK57" i="32"/>
  <c r="AK58" i="32"/>
  <c r="AK70" i="32"/>
  <c r="AK71" i="32"/>
  <c r="AL42" i="32"/>
  <c r="AL46" i="32"/>
  <c r="AL47" i="32"/>
  <c r="AL48" i="32"/>
  <c r="AL52" i="32"/>
  <c r="AL56" i="32"/>
  <c r="AL57" i="32"/>
  <c r="AL58" i="32"/>
  <c r="AL70" i="32"/>
  <c r="AL71" i="32"/>
  <c r="AM42" i="32"/>
  <c r="AM46" i="32"/>
  <c r="AM47" i="32"/>
  <c r="AM48" i="32"/>
  <c r="AM52" i="32"/>
  <c r="AM56" i="32"/>
  <c r="AM57" i="32"/>
  <c r="AM58" i="32"/>
  <c r="AM70" i="32"/>
  <c r="AM71" i="32"/>
  <c r="AN42" i="32"/>
  <c r="AN46" i="32"/>
  <c r="AN47" i="32"/>
  <c r="AN48" i="32"/>
  <c r="AN52" i="32"/>
  <c r="AN56" i="32"/>
  <c r="AN57" i="32"/>
  <c r="AN58" i="32"/>
  <c r="AN70" i="32"/>
  <c r="AN71" i="32"/>
  <c r="AO42" i="32"/>
  <c r="AO46" i="32"/>
  <c r="AO47" i="32"/>
  <c r="AO48" i="32"/>
  <c r="AO52" i="32"/>
  <c r="AO56" i="32"/>
  <c r="AO57" i="32"/>
  <c r="AO58" i="32"/>
  <c r="AO70" i="32"/>
  <c r="AO71" i="32"/>
  <c r="AP42" i="32"/>
  <c r="AP46" i="32"/>
  <c r="AP47" i="32"/>
  <c r="AP48" i="32"/>
  <c r="AP52" i="32"/>
  <c r="AP56" i="32"/>
  <c r="AP57" i="32"/>
  <c r="AP58" i="32"/>
  <c r="AP70" i="32"/>
  <c r="AP71" i="32"/>
  <c r="AQ42" i="32"/>
  <c r="AQ46" i="32"/>
  <c r="AQ47" i="32"/>
  <c r="AQ48" i="32"/>
  <c r="AQ52" i="32"/>
  <c r="AQ56" i="32"/>
  <c r="AQ57" i="32"/>
  <c r="AQ58" i="32"/>
  <c r="AQ70" i="32"/>
  <c r="AQ71" i="32"/>
  <c r="C11" i="50"/>
  <c r="H64" i="32"/>
  <c r="F63" i="20"/>
  <c r="F59" i="20"/>
  <c r="F64" i="20"/>
  <c r="D9" i="50"/>
  <c r="E9" i="50"/>
  <c r="F9" i="50"/>
  <c r="G9" i="50"/>
  <c r="H9" i="50"/>
  <c r="I9" i="50"/>
  <c r="J9" i="50"/>
  <c r="K9" i="50"/>
  <c r="L9" i="50"/>
  <c r="M9" i="50"/>
  <c r="N9" i="50"/>
  <c r="O9" i="50"/>
  <c r="P9" i="50"/>
  <c r="Q9" i="50"/>
  <c r="R9" i="50"/>
  <c r="S9" i="50"/>
  <c r="T9" i="50"/>
  <c r="U9" i="50"/>
  <c r="V9" i="50"/>
  <c r="W9" i="50"/>
  <c r="X9" i="50"/>
  <c r="Y9" i="50"/>
  <c r="Z9" i="50"/>
  <c r="AA9" i="50"/>
  <c r="AB9" i="50"/>
  <c r="AC9" i="50"/>
  <c r="AD9" i="50"/>
  <c r="AE9" i="50"/>
  <c r="AF9" i="50"/>
  <c r="AG9" i="50"/>
  <c r="AH9" i="50"/>
  <c r="AI9" i="50"/>
  <c r="AJ9" i="50"/>
  <c r="AK9" i="50"/>
  <c r="AL9" i="50"/>
  <c r="AM9" i="50"/>
  <c r="AN9" i="50"/>
  <c r="AO9" i="50"/>
  <c r="AP9" i="50"/>
  <c r="AQ9" i="50"/>
  <c r="F230" i="20"/>
  <c r="F65" i="20"/>
  <c r="F66" i="20"/>
  <c r="F67" i="20"/>
  <c r="D10" i="50"/>
  <c r="E10" i="50"/>
  <c r="F10" i="50"/>
  <c r="G10" i="50"/>
  <c r="H10" i="50"/>
  <c r="I10" i="50"/>
  <c r="J10" i="50"/>
  <c r="K10" i="50"/>
  <c r="L10" i="50"/>
  <c r="M10" i="50"/>
  <c r="N10" i="50"/>
  <c r="O10" i="50"/>
  <c r="P10" i="50"/>
  <c r="Q10" i="50"/>
  <c r="R10" i="50"/>
  <c r="S10" i="50"/>
  <c r="T10" i="50"/>
  <c r="U10" i="50"/>
  <c r="V10" i="50"/>
  <c r="W10" i="50"/>
  <c r="X10" i="50"/>
  <c r="Y10" i="50"/>
  <c r="Z10" i="50"/>
  <c r="AA10" i="50"/>
  <c r="AB10" i="50"/>
  <c r="AC10" i="50"/>
  <c r="AD10" i="50"/>
  <c r="AE10" i="50"/>
  <c r="AF10" i="50"/>
  <c r="AG10" i="50"/>
  <c r="AH10" i="50"/>
  <c r="AI10" i="50"/>
  <c r="AJ10" i="50"/>
  <c r="AK10" i="50"/>
  <c r="AL10" i="50"/>
  <c r="AM10" i="50"/>
  <c r="AN10" i="50"/>
  <c r="AO10" i="50"/>
  <c r="AP10" i="50"/>
  <c r="AQ10" i="50"/>
  <c r="AQ11" i="50"/>
  <c r="AP11" i="50"/>
  <c r="AO11" i="50"/>
  <c r="AN11" i="50"/>
  <c r="AM11" i="50"/>
  <c r="AL11" i="50"/>
  <c r="AK11" i="50"/>
  <c r="AJ11" i="50"/>
  <c r="AI11" i="50"/>
  <c r="AH11" i="50"/>
  <c r="AG11" i="50"/>
  <c r="AF11" i="50"/>
  <c r="AE11" i="50"/>
  <c r="AD11" i="50"/>
  <c r="AC11" i="50"/>
  <c r="AB11" i="50"/>
  <c r="AA11" i="50"/>
  <c r="Z11" i="50"/>
  <c r="Y11" i="50"/>
  <c r="X11" i="50"/>
  <c r="W11" i="50"/>
  <c r="V11" i="50"/>
  <c r="U11" i="50"/>
  <c r="T11" i="50"/>
  <c r="S11" i="50"/>
  <c r="R11" i="50"/>
  <c r="Q11" i="50"/>
  <c r="P11" i="50"/>
  <c r="O11" i="50"/>
  <c r="N11" i="50"/>
  <c r="M11" i="50"/>
  <c r="L11" i="50"/>
  <c r="K11" i="50"/>
  <c r="J11" i="50"/>
  <c r="I11" i="50"/>
  <c r="H11" i="50"/>
  <c r="G11" i="50"/>
  <c r="F11" i="50"/>
  <c r="E11" i="50"/>
  <c r="F60" i="30"/>
  <c r="F65" i="33"/>
  <c r="F63" i="33"/>
  <c r="F61" i="33"/>
  <c r="F59" i="33"/>
  <c r="F55" i="33"/>
  <c r="AU91" i="54"/>
  <c r="AT90" i="54"/>
  <c r="AS89" i="54"/>
  <c r="AR88" i="54"/>
  <c r="AQ87" i="54"/>
  <c r="AP86" i="54"/>
  <c r="AO85" i="54"/>
  <c r="AN84" i="54"/>
  <c r="AM83" i="54"/>
  <c r="AL82" i="54"/>
  <c r="AK81" i="54"/>
  <c r="AJ80" i="54"/>
  <c r="AI79" i="54"/>
  <c r="AH78" i="54"/>
  <c r="AG77" i="54"/>
  <c r="I53" i="54"/>
  <c r="J54" i="54"/>
  <c r="K55" i="54"/>
  <c r="L56" i="54"/>
  <c r="M57" i="54"/>
  <c r="N58" i="54"/>
  <c r="O59" i="54"/>
  <c r="P60" i="54"/>
  <c r="Q61" i="54"/>
  <c r="R62" i="54"/>
  <c r="S63" i="54"/>
  <c r="T64" i="54"/>
  <c r="U65" i="54"/>
  <c r="V66" i="54"/>
  <c r="W67" i="54"/>
  <c r="X68" i="54"/>
  <c r="Y69" i="54"/>
  <c r="Z70" i="54"/>
  <c r="AA71" i="54"/>
  <c r="AB72" i="54"/>
  <c r="AC73" i="54"/>
  <c r="AD74" i="54"/>
  <c r="AE75" i="54"/>
  <c r="AF76" i="54"/>
  <c r="H342" i="53"/>
  <c r="H175" i="53"/>
  <c r="H258" i="53"/>
  <c r="I299" i="53"/>
  <c r="AF199" i="52"/>
  <c r="AE198" i="52"/>
  <c r="AD197" i="52"/>
  <c r="AC196" i="52"/>
  <c r="AB195" i="52"/>
  <c r="AA194" i="52"/>
  <c r="Z193" i="52"/>
  <c r="Y192" i="52"/>
  <c r="X191" i="52"/>
  <c r="W190" i="52"/>
  <c r="V189" i="52"/>
  <c r="U188" i="52"/>
  <c r="T187" i="52"/>
  <c r="S186" i="52"/>
  <c r="R185" i="52"/>
  <c r="Q184" i="52"/>
  <c r="P183" i="52"/>
  <c r="O182" i="52"/>
  <c r="N181" i="52"/>
  <c r="M180" i="52"/>
  <c r="L179" i="52"/>
  <c r="K178" i="52"/>
  <c r="J177" i="52"/>
  <c r="I176" i="52"/>
  <c r="H175" i="52"/>
  <c r="D11" i="50"/>
  <c r="AU12" i="49"/>
  <c r="AT12" i="49"/>
  <c r="AS12" i="49"/>
  <c r="AR12" i="49"/>
  <c r="AQ12" i="49"/>
  <c r="AP12" i="49"/>
  <c r="AO12" i="49"/>
  <c r="AN12" i="49"/>
  <c r="AM12" i="49"/>
  <c r="AL12" i="49"/>
  <c r="AK12" i="49"/>
  <c r="AJ12" i="49"/>
  <c r="AI12" i="49"/>
  <c r="AH12" i="49"/>
  <c r="AH13" i="49"/>
  <c r="AI13" i="49"/>
  <c r="AJ13" i="49"/>
  <c r="AK13" i="49"/>
  <c r="AL13" i="49"/>
  <c r="AM13" i="49"/>
  <c r="AN13" i="49"/>
  <c r="AO13" i="49"/>
  <c r="AP13" i="49"/>
  <c r="AQ13" i="49"/>
  <c r="AR13" i="49"/>
  <c r="AS13" i="49"/>
  <c r="AT13" i="49"/>
  <c r="AU13" i="49"/>
  <c r="AV12" i="49"/>
  <c r="AV13" i="49"/>
  <c r="AV14" i="49"/>
  <c r="AU14" i="49"/>
  <c r="AT14" i="49"/>
  <c r="AS14" i="49"/>
  <c r="AR14" i="49"/>
  <c r="AQ14" i="49"/>
  <c r="AP14" i="49"/>
  <c r="AO14" i="49"/>
  <c r="AN14" i="49"/>
  <c r="AM14" i="49"/>
  <c r="AL14" i="49"/>
  <c r="AK14" i="49"/>
  <c r="AJ14" i="49"/>
  <c r="AI14" i="49"/>
  <c r="AH14" i="49"/>
  <c r="BG9" i="25"/>
  <c r="BU13" i="37"/>
  <c r="BU19" i="37"/>
  <c r="BU20" i="37"/>
  <c r="BU21" i="37"/>
  <c r="BU51" i="37"/>
  <c r="BU14" i="37"/>
  <c r="AG13" i="37"/>
  <c r="AG14" i="37"/>
  <c r="BU15" i="37"/>
  <c r="BU50" i="37"/>
  <c r="BU52" i="37"/>
  <c r="AV74" i="37"/>
  <c r="BT13" i="37"/>
  <c r="BT19" i="37"/>
  <c r="BT20" i="37"/>
  <c r="BT21" i="37"/>
  <c r="BT51" i="37"/>
  <c r="BT14" i="37"/>
  <c r="BT15" i="37"/>
  <c r="BT50" i="37"/>
  <c r="BT52" i="37"/>
  <c r="AU74" i="37"/>
  <c r="BS13" i="37"/>
  <c r="BS19" i="37"/>
  <c r="BS20" i="37"/>
  <c r="BS21" i="37"/>
  <c r="BS51" i="37"/>
  <c r="BS14" i="37"/>
  <c r="BS15" i="37"/>
  <c r="BS50" i="37"/>
  <c r="BS52" i="37"/>
  <c r="AT74" i="37"/>
  <c r="BR13" i="37"/>
  <c r="BR19" i="37"/>
  <c r="BR20" i="37"/>
  <c r="BR21" i="37"/>
  <c r="BR51" i="37"/>
  <c r="BR14" i="37"/>
  <c r="BR15" i="37"/>
  <c r="BR50" i="37"/>
  <c r="BR52" i="37"/>
  <c r="AS74" i="37"/>
  <c r="BQ13" i="37"/>
  <c r="BQ19" i="37"/>
  <c r="BQ20" i="37"/>
  <c r="BQ21" i="37"/>
  <c r="BQ51" i="37"/>
  <c r="BQ14" i="37"/>
  <c r="BQ15" i="37"/>
  <c r="BQ50" i="37"/>
  <c r="BQ52" i="37"/>
  <c r="AR74" i="37"/>
  <c r="BP13" i="37"/>
  <c r="BP19" i="37"/>
  <c r="BP20" i="37"/>
  <c r="BP21" i="37"/>
  <c r="BP51" i="37"/>
  <c r="BP14" i="37"/>
  <c r="BP15" i="37"/>
  <c r="BP50" i="37"/>
  <c r="BP52" i="37"/>
  <c r="AQ74" i="37"/>
  <c r="BO13" i="37"/>
  <c r="BO19" i="37"/>
  <c r="BO20" i="37"/>
  <c r="BO21" i="37"/>
  <c r="BO51" i="37"/>
  <c r="BO14" i="37"/>
  <c r="BO15" i="37"/>
  <c r="BO50" i="37"/>
  <c r="BO52" i="37"/>
  <c r="AP74" i="37"/>
  <c r="BN13" i="37"/>
  <c r="BN19" i="37"/>
  <c r="BN20" i="37"/>
  <c r="BN21" i="37"/>
  <c r="BN51" i="37"/>
  <c r="BN14" i="37"/>
  <c r="BN15" i="37"/>
  <c r="BN50" i="37"/>
  <c r="BN52" i="37"/>
  <c r="AO74" i="37"/>
  <c r="BM13" i="37"/>
  <c r="BM19" i="37"/>
  <c r="BM20" i="37"/>
  <c r="BM21" i="37"/>
  <c r="BM51" i="37"/>
  <c r="BM14" i="37"/>
  <c r="BM15" i="37"/>
  <c r="BM50" i="37"/>
  <c r="BM52" i="37"/>
  <c r="AN74" i="37"/>
  <c r="BL13" i="37"/>
  <c r="BL19" i="37"/>
  <c r="BL20" i="37"/>
  <c r="BL21" i="37"/>
  <c r="BL51" i="37"/>
  <c r="BL14" i="37"/>
  <c r="BL15" i="37"/>
  <c r="BL50" i="37"/>
  <c r="BL52" i="37"/>
  <c r="AM74" i="37"/>
  <c r="BK13" i="37"/>
  <c r="BK19" i="37"/>
  <c r="BK20" i="37"/>
  <c r="BK21" i="37"/>
  <c r="BK51" i="37"/>
  <c r="BK14" i="37"/>
  <c r="BK15" i="37"/>
  <c r="BK50" i="37"/>
  <c r="BK52" i="37"/>
  <c r="AL74" i="37"/>
  <c r="BJ13" i="37"/>
  <c r="BJ19" i="37"/>
  <c r="BJ20" i="37"/>
  <c r="BJ21" i="37"/>
  <c r="BJ51" i="37"/>
  <c r="BJ14" i="37"/>
  <c r="BJ15" i="37"/>
  <c r="BJ50" i="37"/>
  <c r="BJ52" i="37"/>
  <c r="AK74" i="37"/>
  <c r="BI13" i="37"/>
  <c r="BI19" i="37"/>
  <c r="BI20" i="37"/>
  <c r="BI21" i="37"/>
  <c r="BI51" i="37"/>
  <c r="BI14" i="37"/>
  <c r="BI15" i="37"/>
  <c r="BI50" i="37"/>
  <c r="BI52" i="37"/>
  <c r="AJ74" i="37"/>
  <c r="BH13" i="37"/>
  <c r="BH19" i="37"/>
  <c r="BH20" i="37"/>
  <c r="BH21" i="37"/>
  <c r="BH51" i="37"/>
  <c r="BH14" i="37"/>
  <c r="BH15" i="37"/>
  <c r="BH50" i="37"/>
  <c r="BH52" i="37"/>
  <c r="AI74" i="37"/>
  <c r="BG13" i="37"/>
  <c r="BG19" i="37"/>
  <c r="BG20" i="37"/>
  <c r="BG21" i="37"/>
  <c r="BG51" i="37"/>
  <c r="BG14" i="37"/>
  <c r="BG15" i="37"/>
  <c r="BG50" i="37"/>
  <c r="BG52" i="37"/>
  <c r="AH74" i="37"/>
  <c r="BF13" i="37"/>
  <c r="BF19" i="37"/>
  <c r="BF20" i="37"/>
  <c r="BF21" i="37"/>
  <c r="BF51" i="37"/>
  <c r="BF14" i="37"/>
  <c r="BF15" i="37"/>
  <c r="BF50" i="37"/>
  <c r="BF52" i="37"/>
  <c r="AG74" i="37"/>
  <c r="BE13" i="37"/>
  <c r="BE19" i="37"/>
  <c r="BE20" i="37"/>
  <c r="BE21" i="37"/>
  <c r="BE51" i="37"/>
  <c r="BE14" i="37"/>
  <c r="BE15" i="37"/>
  <c r="BE50" i="37"/>
  <c r="BE52" i="37"/>
  <c r="AF74" i="37"/>
  <c r="BD13" i="37"/>
  <c r="BD19" i="37"/>
  <c r="BD20" i="37"/>
  <c r="BD21" i="37"/>
  <c r="BD51" i="37"/>
  <c r="BD14" i="37"/>
  <c r="BD15" i="37"/>
  <c r="BD50" i="37"/>
  <c r="BD52" i="37"/>
  <c r="AE74" i="37"/>
  <c r="BC13" i="37"/>
  <c r="BC19" i="37"/>
  <c r="BC20" i="37"/>
  <c r="BC21" i="37"/>
  <c r="BC51" i="37"/>
  <c r="BC14" i="37"/>
  <c r="BC15" i="37"/>
  <c r="BC50" i="37"/>
  <c r="BC52" i="37"/>
  <c r="AD74" i="37"/>
  <c r="BB13" i="37"/>
  <c r="BB19" i="37"/>
  <c r="BB20" i="37"/>
  <c r="BB21" i="37"/>
  <c r="BB51" i="37"/>
  <c r="BB14" i="37"/>
  <c r="BB15" i="37"/>
  <c r="BB50" i="37"/>
  <c r="BB52" i="37"/>
  <c r="AC74" i="37"/>
  <c r="BA13" i="37"/>
  <c r="BA19" i="37"/>
  <c r="BA20" i="37"/>
  <c r="BA21" i="37"/>
  <c r="BA51" i="37"/>
  <c r="BA14" i="37"/>
  <c r="BA15" i="37"/>
  <c r="BA50" i="37"/>
  <c r="BA52" i="37"/>
  <c r="AB74" i="37"/>
  <c r="AZ13" i="37"/>
  <c r="AZ19" i="37"/>
  <c r="AZ20" i="37"/>
  <c r="AZ21" i="37"/>
  <c r="AZ51" i="37"/>
  <c r="AZ14" i="37"/>
  <c r="AZ15" i="37"/>
  <c r="AZ50" i="37"/>
  <c r="AZ52" i="37"/>
  <c r="AA74" i="37"/>
  <c r="AY13" i="37"/>
  <c r="AY19" i="37"/>
  <c r="AY20" i="37"/>
  <c r="AY21" i="37"/>
  <c r="AY51" i="37"/>
  <c r="AY14" i="37"/>
  <c r="AY15" i="37"/>
  <c r="AY50" i="37"/>
  <c r="AY52" i="37"/>
  <c r="Z74" i="37"/>
  <c r="AX13" i="37"/>
  <c r="AX19" i="37"/>
  <c r="AX20" i="37"/>
  <c r="AX21" i="37"/>
  <c r="AX51" i="37"/>
  <c r="AX14" i="37"/>
  <c r="AX15" i="37"/>
  <c r="AX50" i="37"/>
  <c r="AX52" i="37"/>
  <c r="Y74" i="37"/>
  <c r="AW13" i="37"/>
  <c r="AW19" i="37"/>
  <c r="AW20" i="37"/>
  <c r="AW21" i="37"/>
  <c r="AW51" i="37"/>
  <c r="AW14" i="37"/>
  <c r="AW15" i="37"/>
  <c r="AW50" i="37"/>
  <c r="AW52" i="37"/>
  <c r="X74" i="37"/>
  <c r="AV13" i="37"/>
  <c r="AV19" i="37"/>
  <c r="AV20" i="37"/>
  <c r="AV21" i="37"/>
  <c r="AV51" i="37"/>
  <c r="AV14" i="37"/>
  <c r="AV15" i="37"/>
  <c r="AV50" i="37"/>
  <c r="AV52" i="37"/>
  <c r="W74" i="37"/>
  <c r="AU13" i="37"/>
  <c r="AU19" i="37"/>
  <c r="AU20" i="37"/>
  <c r="AU21" i="37"/>
  <c r="AU51" i="37"/>
  <c r="AU14" i="37"/>
  <c r="AU15" i="37"/>
  <c r="AU50" i="37"/>
  <c r="AU52" i="37"/>
  <c r="V74" i="37"/>
  <c r="AT13" i="37"/>
  <c r="AT19" i="37"/>
  <c r="AT20" i="37"/>
  <c r="AT21" i="37"/>
  <c r="AT51" i="37"/>
  <c r="AT14" i="37"/>
  <c r="AT15" i="37"/>
  <c r="AT50" i="37"/>
  <c r="AT52" i="37"/>
  <c r="U74" i="37"/>
  <c r="AS13" i="37"/>
  <c r="AS19" i="37"/>
  <c r="AS20" i="37"/>
  <c r="AS21" i="37"/>
  <c r="AS51" i="37"/>
  <c r="AS14" i="37"/>
  <c r="AS15" i="37"/>
  <c r="AS50" i="37"/>
  <c r="AS52" i="37"/>
  <c r="T74" i="37"/>
  <c r="AR13" i="37"/>
  <c r="AR19" i="37"/>
  <c r="AR20" i="37"/>
  <c r="AR21" i="37"/>
  <c r="AR51" i="37"/>
  <c r="AR14" i="37"/>
  <c r="AR15" i="37"/>
  <c r="AR50" i="37"/>
  <c r="AR52" i="37"/>
  <c r="S74" i="37"/>
  <c r="AQ13" i="37"/>
  <c r="AQ19" i="37"/>
  <c r="AQ20" i="37"/>
  <c r="AQ21" i="37"/>
  <c r="AQ51" i="37"/>
  <c r="AQ14" i="37"/>
  <c r="AQ15" i="37"/>
  <c r="AQ50" i="37"/>
  <c r="AQ52" i="37"/>
  <c r="R74" i="37"/>
  <c r="AP13" i="37"/>
  <c r="AP19" i="37"/>
  <c r="AP20" i="37"/>
  <c r="AP21" i="37"/>
  <c r="AP51" i="37"/>
  <c r="AP14" i="37"/>
  <c r="AP15" i="37"/>
  <c r="AP50" i="37"/>
  <c r="AP52" i="37"/>
  <c r="Q74" i="37"/>
  <c r="AO13" i="37"/>
  <c r="AO19" i="37"/>
  <c r="AO20" i="37"/>
  <c r="AO21" i="37"/>
  <c r="AO51" i="37"/>
  <c r="AO14" i="37"/>
  <c r="AO15" i="37"/>
  <c r="AO50" i="37"/>
  <c r="AO52" i="37"/>
  <c r="P74" i="37"/>
  <c r="AN13" i="37"/>
  <c r="AN19" i="37"/>
  <c r="AN20" i="37"/>
  <c r="AN21" i="37"/>
  <c r="AN51" i="37"/>
  <c r="AN14" i="37"/>
  <c r="AN15" i="37"/>
  <c r="AN50" i="37"/>
  <c r="AN52" i="37"/>
  <c r="O74" i="37"/>
  <c r="AM13" i="37"/>
  <c r="AM19" i="37"/>
  <c r="AM20" i="37"/>
  <c r="AM21" i="37"/>
  <c r="AM51" i="37"/>
  <c r="AM14" i="37"/>
  <c r="AM15" i="37"/>
  <c r="AM50" i="37"/>
  <c r="AM52" i="37"/>
  <c r="N74" i="37"/>
  <c r="AL13" i="37"/>
  <c r="AL19" i="37"/>
  <c r="AL20" i="37"/>
  <c r="AL21" i="37"/>
  <c r="AL51" i="37"/>
  <c r="AL14" i="37"/>
  <c r="AL15" i="37"/>
  <c r="AL50" i="37"/>
  <c r="AL52" i="37"/>
  <c r="M74" i="37"/>
  <c r="AK13" i="37"/>
  <c r="AK19" i="37"/>
  <c r="AK20" i="37"/>
  <c r="AK21" i="37"/>
  <c r="AK51" i="37"/>
  <c r="AK14" i="37"/>
  <c r="AK15" i="37"/>
  <c r="AK50" i="37"/>
  <c r="AK52" i="37"/>
  <c r="L74" i="37"/>
  <c r="AJ13" i="37"/>
  <c r="AJ19" i="37"/>
  <c r="AJ20" i="37"/>
  <c r="AJ21" i="37"/>
  <c r="AJ51" i="37"/>
  <c r="AJ14" i="37"/>
  <c r="AJ15" i="37"/>
  <c r="AJ50" i="37"/>
  <c r="AJ52" i="37"/>
  <c r="K74" i="37"/>
  <c r="AI13" i="37"/>
  <c r="AI19" i="37"/>
  <c r="AI20" i="37"/>
  <c r="AI21" i="37"/>
  <c r="AI51" i="37"/>
  <c r="AI14" i="37"/>
  <c r="AI15" i="37"/>
  <c r="AI50" i="37"/>
  <c r="AI52" i="37"/>
  <c r="J74" i="37"/>
  <c r="AH13" i="37"/>
  <c r="AH19" i="37"/>
  <c r="AH20" i="37"/>
  <c r="AH21" i="37"/>
  <c r="AH51" i="37"/>
  <c r="AH14" i="37"/>
  <c r="AH15" i="37"/>
  <c r="AH50" i="37"/>
  <c r="AH52" i="37"/>
  <c r="I74" i="37"/>
  <c r="AV73" i="37"/>
  <c r="AU73" i="37"/>
  <c r="AT73" i="37"/>
  <c r="AS73" i="37"/>
  <c r="AR73" i="37"/>
  <c r="AQ73" i="37"/>
  <c r="AP73" i="37"/>
  <c r="AO73" i="37"/>
  <c r="AN73" i="37"/>
  <c r="AM73" i="37"/>
  <c r="AL73" i="37"/>
  <c r="AK73" i="37"/>
  <c r="AJ73" i="37"/>
  <c r="AI73" i="37"/>
  <c r="AH73" i="37"/>
  <c r="AG73" i="37"/>
  <c r="AF73" i="37"/>
  <c r="AE73" i="37"/>
  <c r="AD73" i="37"/>
  <c r="AC73" i="37"/>
  <c r="AB73" i="37"/>
  <c r="AA73" i="37"/>
  <c r="Z73" i="37"/>
  <c r="Y73" i="37"/>
  <c r="X73" i="37"/>
  <c r="W73" i="37"/>
  <c r="V73" i="37"/>
  <c r="U73" i="37"/>
  <c r="T73" i="37"/>
  <c r="S73" i="37"/>
  <c r="R73" i="37"/>
  <c r="Q73" i="37"/>
  <c r="P73" i="37"/>
  <c r="O73" i="37"/>
  <c r="N73" i="37"/>
  <c r="M73" i="37"/>
  <c r="L73" i="37"/>
  <c r="K73" i="37"/>
  <c r="J73" i="37"/>
  <c r="I73" i="37"/>
  <c r="AV72" i="37"/>
  <c r="AU72" i="37"/>
  <c r="AT72" i="37"/>
  <c r="AS72" i="37"/>
  <c r="AR72" i="37"/>
  <c r="AQ72" i="37"/>
  <c r="AP72" i="37"/>
  <c r="AO72" i="37"/>
  <c r="AN72" i="37"/>
  <c r="AM72" i="37"/>
  <c r="AL72" i="37"/>
  <c r="AK72" i="37"/>
  <c r="AJ72" i="37"/>
  <c r="AI72" i="37"/>
  <c r="AH72" i="37"/>
  <c r="AG72" i="37"/>
  <c r="AF72" i="37"/>
  <c r="AE72" i="37"/>
  <c r="AD72" i="37"/>
  <c r="AC72" i="37"/>
  <c r="AB72" i="37"/>
  <c r="AA72" i="37"/>
  <c r="Z72" i="37"/>
  <c r="Y72" i="37"/>
  <c r="X72" i="37"/>
  <c r="W72" i="37"/>
  <c r="V72" i="37"/>
  <c r="U72" i="37"/>
  <c r="T72" i="37"/>
  <c r="S72" i="37"/>
  <c r="R72" i="37"/>
  <c r="Q72" i="37"/>
  <c r="P72" i="37"/>
  <c r="O72" i="37"/>
  <c r="N72" i="37"/>
  <c r="M72" i="37"/>
  <c r="L72" i="37"/>
  <c r="K72" i="37"/>
  <c r="J72" i="37"/>
  <c r="I72" i="37"/>
  <c r="H71" i="37"/>
  <c r="DI13" i="37"/>
  <c r="DI19" i="37"/>
  <c r="CJ30" i="25"/>
  <c r="CJ7" i="25"/>
  <c r="DI20" i="37"/>
  <c r="DI27" i="37"/>
  <c r="DI30" i="25"/>
  <c r="DI7" i="25"/>
  <c r="DI14" i="37"/>
  <c r="DI26" i="37"/>
  <c r="DI10" i="37"/>
  <c r="DI25" i="37"/>
  <c r="DI21" i="37"/>
  <c r="DI51" i="37"/>
  <c r="DI15" i="37"/>
  <c r="DI50" i="37"/>
  <c r="DI49" i="37"/>
  <c r="DH13" i="37"/>
  <c r="DH19" i="37"/>
  <c r="CI30" i="25"/>
  <c r="CI7" i="25"/>
  <c r="DH20" i="37"/>
  <c r="DH27" i="37"/>
  <c r="DH30" i="25"/>
  <c r="DH7" i="25"/>
  <c r="DH14" i="37"/>
  <c r="DH26" i="37"/>
  <c r="DH10" i="37"/>
  <c r="DH25" i="37"/>
  <c r="DH21" i="37"/>
  <c r="DH51" i="37"/>
  <c r="DH15" i="37"/>
  <c r="DH50" i="37"/>
  <c r="DH49" i="37"/>
  <c r="DG13" i="37"/>
  <c r="DG19" i="37"/>
  <c r="CH30" i="25"/>
  <c r="CH7" i="25"/>
  <c r="DG20" i="37"/>
  <c r="DG27" i="37"/>
  <c r="DG30" i="25"/>
  <c r="DG7" i="25"/>
  <c r="DG14" i="37"/>
  <c r="DG26" i="37"/>
  <c r="DG10" i="37"/>
  <c r="DG25" i="37"/>
  <c r="DG21" i="37"/>
  <c r="DG51" i="37"/>
  <c r="DG15" i="37"/>
  <c r="DG50" i="37"/>
  <c r="DG49" i="37"/>
  <c r="DF13" i="37"/>
  <c r="DF19" i="37"/>
  <c r="CG30" i="25"/>
  <c r="CG7" i="25"/>
  <c r="DF20" i="37"/>
  <c r="DF27" i="37"/>
  <c r="DF30" i="25"/>
  <c r="DF7" i="25"/>
  <c r="DF14" i="37"/>
  <c r="DF26" i="37"/>
  <c r="DF10" i="37"/>
  <c r="DF25" i="37"/>
  <c r="DF21" i="37"/>
  <c r="DF51" i="37"/>
  <c r="DF15" i="37"/>
  <c r="DF50" i="37"/>
  <c r="DF49" i="37"/>
  <c r="DE13" i="37"/>
  <c r="DE19" i="37"/>
  <c r="CF30" i="25"/>
  <c r="CF7" i="25"/>
  <c r="DE20" i="37"/>
  <c r="DE27" i="37"/>
  <c r="DE30" i="25"/>
  <c r="DE7" i="25"/>
  <c r="DE14" i="37"/>
  <c r="DE26" i="37"/>
  <c r="DE10" i="37"/>
  <c r="DE25" i="37"/>
  <c r="DE21" i="37"/>
  <c r="DE51" i="37"/>
  <c r="DE15" i="37"/>
  <c r="DE50" i="37"/>
  <c r="DE49" i="37"/>
  <c r="DD13" i="37"/>
  <c r="DD19" i="37"/>
  <c r="CE30" i="25"/>
  <c r="CE7" i="25"/>
  <c r="DD20" i="37"/>
  <c r="DD27" i="37"/>
  <c r="DD30" i="25"/>
  <c r="DD7" i="25"/>
  <c r="DD14" i="37"/>
  <c r="DD26" i="37"/>
  <c r="DD10" i="37"/>
  <c r="DD25" i="37"/>
  <c r="DD21" i="37"/>
  <c r="DD51" i="37"/>
  <c r="DD15" i="37"/>
  <c r="DD50" i="37"/>
  <c r="DD49" i="37"/>
  <c r="DC13" i="37"/>
  <c r="DC19" i="37"/>
  <c r="CD30" i="25"/>
  <c r="CD7" i="25"/>
  <c r="DC20" i="37"/>
  <c r="DC27" i="37"/>
  <c r="DC30" i="25"/>
  <c r="DC7" i="25"/>
  <c r="DC14" i="37"/>
  <c r="DC26" i="37"/>
  <c r="DC10" i="37"/>
  <c r="DC25" i="37"/>
  <c r="DC21" i="37"/>
  <c r="DC51" i="37"/>
  <c r="DC15" i="37"/>
  <c r="DC50" i="37"/>
  <c r="DC49" i="37"/>
  <c r="DB13" i="37"/>
  <c r="DB19" i="37"/>
  <c r="CC30" i="25"/>
  <c r="CC7" i="25"/>
  <c r="DB20" i="37"/>
  <c r="DB27" i="37"/>
  <c r="DB30" i="25"/>
  <c r="DB7" i="25"/>
  <c r="DB14" i="37"/>
  <c r="DB26" i="37"/>
  <c r="DB10" i="37"/>
  <c r="DB25" i="37"/>
  <c r="DB21" i="37"/>
  <c r="DB51" i="37"/>
  <c r="DB15" i="37"/>
  <c r="DB50" i="37"/>
  <c r="DB49" i="37"/>
  <c r="DA13" i="37"/>
  <c r="DA19" i="37"/>
  <c r="CB30" i="25"/>
  <c r="CB7" i="25"/>
  <c r="DA20" i="37"/>
  <c r="DA27" i="37"/>
  <c r="DA30" i="25"/>
  <c r="DA7" i="25"/>
  <c r="DA14" i="37"/>
  <c r="DA26" i="37"/>
  <c r="DA10" i="37"/>
  <c r="DA25" i="37"/>
  <c r="DA21" i="37"/>
  <c r="DA51" i="37"/>
  <c r="DA15" i="37"/>
  <c r="DA50" i="37"/>
  <c r="DA49" i="37"/>
  <c r="CZ13" i="37"/>
  <c r="CZ19" i="37"/>
  <c r="CA30" i="25"/>
  <c r="CA7" i="25"/>
  <c r="CZ20" i="37"/>
  <c r="CZ27" i="37"/>
  <c r="CZ30" i="25"/>
  <c r="CZ7" i="25"/>
  <c r="CZ14" i="37"/>
  <c r="CZ26" i="37"/>
  <c r="CZ10" i="37"/>
  <c r="CZ25" i="37"/>
  <c r="CZ21" i="37"/>
  <c r="CZ51" i="37"/>
  <c r="CZ15" i="37"/>
  <c r="CZ50" i="37"/>
  <c r="CZ49" i="37"/>
  <c r="CY13" i="37"/>
  <c r="CY19" i="37"/>
  <c r="BZ30" i="25"/>
  <c r="BZ7" i="25"/>
  <c r="CY20" i="37"/>
  <c r="CY27" i="37"/>
  <c r="CY30" i="25"/>
  <c r="CY7" i="25"/>
  <c r="CY14" i="37"/>
  <c r="CY26" i="37"/>
  <c r="CY10" i="37"/>
  <c r="CY25" i="37"/>
  <c r="CY21" i="37"/>
  <c r="CY51" i="37"/>
  <c r="CY15" i="37"/>
  <c r="CY50" i="37"/>
  <c r="CY49" i="37"/>
  <c r="CX13" i="37"/>
  <c r="CX19" i="37"/>
  <c r="BY30" i="25"/>
  <c r="BY7" i="25"/>
  <c r="CX20" i="37"/>
  <c r="CX27" i="37"/>
  <c r="CX30" i="25"/>
  <c r="CX7" i="25"/>
  <c r="CX14" i="37"/>
  <c r="CX26" i="37"/>
  <c r="CX10" i="37"/>
  <c r="CX25" i="37"/>
  <c r="CX21" i="37"/>
  <c r="CX51" i="37"/>
  <c r="CX15" i="37"/>
  <c r="CX50" i="37"/>
  <c r="CX49" i="37"/>
  <c r="CW13" i="37"/>
  <c r="CW19" i="37"/>
  <c r="BX30" i="25"/>
  <c r="BX7" i="25"/>
  <c r="CW20" i="37"/>
  <c r="CW27" i="37"/>
  <c r="CW30" i="25"/>
  <c r="CW7" i="25"/>
  <c r="CW14" i="37"/>
  <c r="CW26" i="37"/>
  <c r="CW10" i="37"/>
  <c r="CW25" i="37"/>
  <c r="CW21" i="37"/>
  <c r="CW51" i="37"/>
  <c r="CW15" i="37"/>
  <c r="CW50" i="37"/>
  <c r="CW49" i="37"/>
  <c r="CV13" i="37"/>
  <c r="CV19" i="37"/>
  <c r="BW30" i="25"/>
  <c r="BW7" i="25"/>
  <c r="CV20" i="37"/>
  <c r="CV27" i="37"/>
  <c r="CV30" i="25"/>
  <c r="CV7" i="25"/>
  <c r="CV14" i="37"/>
  <c r="CV26" i="37"/>
  <c r="CV10" i="37"/>
  <c r="CV25" i="37"/>
  <c r="CV21" i="37"/>
  <c r="CV51" i="37"/>
  <c r="CV15" i="37"/>
  <c r="CV50" i="37"/>
  <c r="CV49" i="37"/>
  <c r="CU13" i="37"/>
  <c r="CU19" i="37"/>
  <c r="BV30" i="25"/>
  <c r="BV7" i="25"/>
  <c r="CU20" i="37"/>
  <c r="CU27" i="37"/>
  <c r="CU30" i="25"/>
  <c r="CU7" i="25"/>
  <c r="CU14" i="37"/>
  <c r="CU26" i="37"/>
  <c r="CU10" i="37"/>
  <c r="CU25" i="37"/>
  <c r="CU21" i="37"/>
  <c r="CU51" i="37"/>
  <c r="CU15" i="37"/>
  <c r="CU50" i="37"/>
  <c r="CU49" i="37"/>
  <c r="CT13" i="37"/>
  <c r="CT19" i="37"/>
  <c r="CT20" i="37"/>
  <c r="CT27" i="37"/>
  <c r="CT30" i="25"/>
  <c r="CT7" i="25"/>
  <c r="CT14" i="37"/>
  <c r="CT26" i="37"/>
  <c r="CT10" i="37"/>
  <c r="CT25" i="37"/>
  <c r="CT21" i="37"/>
  <c r="CT51" i="37"/>
  <c r="CT15" i="37"/>
  <c r="CT50" i="37"/>
  <c r="CT49" i="37"/>
  <c r="CS13" i="37"/>
  <c r="CS19" i="37"/>
  <c r="CS20" i="37"/>
  <c r="CS27" i="37"/>
  <c r="CS30" i="25"/>
  <c r="CS7" i="25"/>
  <c r="CS14" i="37"/>
  <c r="CS26" i="37"/>
  <c r="CS10" i="37"/>
  <c r="CS25" i="37"/>
  <c r="CS21" i="37"/>
  <c r="CS51" i="37"/>
  <c r="CS15" i="37"/>
  <c r="CS50" i="37"/>
  <c r="CS49" i="37"/>
  <c r="CR13" i="37"/>
  <c r="CR19" i="37"/>
  <c r="CR20" i="37"/>
  <c r="CR27" i="37"/>
  <c r="CR30" i="25"/>
  <c r="CR7" i="25"/>
  <c r="CR14" i="37"/>
  <c r="CR26" i="37"/>
  <c r="CR10" i="37"/>
  <c r="CR25" i="37"/>
  <c r="CR21" i="37"/>
  <c r="CR51" i="37"/>
  <c r="CR15" i="37"/>
  <c r="CR50" i="37"/>
  <c r="CR49" i="37"/>
  <c r="CQ13" i="37"/>
  <c r="CQ19" i="37"/>
  <c r="CQ20" i="37"/>
  <c r="CQ27" i="37"/>
  <c r="CQ30" i="25"/>
  <c r="CQ7" i="25"/>
  <c r="CQ14" i="37"/>
  <c r="CQ26" i="37"/>
  <c r="CQ10" i="37"/>
  <c r="CQ25" i="37"/>
  <c r="CQ21" i="37"/>
  <c r="CQ51" i="37"/>
  <c r="CQ15" i="37"/>
  <c r="CQ50" i="37"/>
  <c r="CQ49" i="37"/>
  <c r="CP13" i="37"/>
  <c r="CP19" i="37"/>
  <c r="CP20" i="37"/>
  <c r="CP27" i="37"/>
  <c r="CP30" i="25"/>
  <c r="CP7" i="25"/>
  <c r="CP14" i="37"/>
  <c r="CP26" i="37"/>
  <c r="CP10" i="37"/>
  <c r="CP25" i="37"/>
  <c r="CP21" i="37"/>
  <c r="CP51" i="37"/>
  <c r="CP15" i="37"/>
  <c r="CP50" i="37"/>
  <c r="CP49" i="37"/>
  <c r="CO13" i="37"/>
  <c r="CO19" i="37"/>
  <c r="CO20" i="37"/>
  <c r="CO27" i="37"/>
  <c r="CO30" i="25"/>
  <c r="CO7" i="25"/>
  <c r="CO14" i="37"/>
  <c r="CO26" i="37"/>
  <c r="CO10" i="37"/>
  <c r="CO25" i="37"/>
  <c r="CO21" i="37"/>
  <c r="CO51" i="37"/>
  <c r="CO15" i="37"/>
  <c r="CO50" i="37"/>
  <c r="CO49" i="37"/>
  <c r="CN13" i="37"/>
  <c r="CN19" i="37"/>
  <c r="CN20" i="37"/>
  <c r="CN27" i="37"/>
  <c r="CN30" i="25"/>
  <c r="CN7" i="25"/>
  <c r="CN14" i="37"/>
  <c r="CN26" i="37"/>
  <c r="CN10" i="37"/>
  <c r="CN25" i="37"/>
  <c r="CN21" i="37"/>
  <c r="CN51" i="37"/>
  <c r="CN15" i="37"/>
  <c r="CN50" i="37"/>
  <c r="CN49" i="37"/>
  <c r="CM13" i="37"/>
  <c r="CM19" i="37"/>
  <c r="CM20" i="37"/>
  <c r="CM27" i="37"/>
  <c r="CM30" i="25"/>
  <c r="CM7" i="25"/>
  <c r="CM14" i="37"/>
  <c r="CM26" i="37"/>
  <c r="CM10" i="37"/>
  <c r="CM25" i="37"/>
  <c r="CM21" i="37"/>
  <c r="CM51" i="37"/>
  <c r="CM15" i="37"/>
  <c r="CM50" i="37"/>
  <c r="CM49" i="37"/>
  <c r="CL13" i="37"/>
  <c r="CL19" i="37"/>
  <c r="CL20" i="37"/>
  <c r="CL27" i="37"/>
  <c r="CL30" i="25"/>
  <c r="CL7" i="25"/>
  <c r="CL14" i="37"/>
  <c r="CL26" i="37"/>
  <c r="CL10" i="37"/>
  <c r="CL25" i="37"/>
  <c r="CL21" i="37"/>
  <c r="CL51" i="37"/>
  <c r="CL15" i="37"/>
  <c r="CL50" i="37"/>
  <c r="CL49" i="37"/>
  <c r="CK13" i="37"/>
  <c r="CK19" i="37"/>
  <c r="CK20" i="37"/>
  <c r="CK27" i="37"/>
  <c r="CK30" i="25"/>
  <c r="CK7" i="25"/>
  <c r="CK14" i="37"/>
  <c r="CK26" i="37"/>
  <c r="CK10" i="37"/>
  <c r="CK25" i="37"/>
  <c r="CK21" i="37"/>
  <c r="CK51" i="37"/>
  <c r="CK15" i="37"/>
  <c r="CK50" i="37"/>
  <c r="CK49" i="37"/>
  <c r="CJ13" i="37"/>
  <c r="CJ19" i="37"/>
  <c r="CJ20" i="37"/>
  <c r="CJ27" i="37"/>
  <c r="CJ14" i="37"/>
  <c r="CJ26" i="37"/>
  <c r="CJ10" i="37"/>
  <c r="CJ25" i="37"/>
  <c r="CJ21" i="37"/>
  <c r="CJ51" i="37"/>
  <c r="CJ15" i="37"/>
  <c r="CJ50" i="37"/>
  <c r="CJ49" i="37"/>
  <c r="CI13" i="37"/>
  <c r="CI19" i="37"/>
  <c r="CI20" i="37"/>
  <c r="CI27" i="37"/>
  <c r="CI14" i="37"/>
  <c r="CI26" i="37"/>
  <c r="CI10" i="37"/>
  <c r="CI25" i="37"/>
  <c r="CI21" i="37"/>
  <c r="CI51" i="37"/>
  <c r="CI15" i="37"/>
  <c r="CI50" i="37"/>
  <c r="CI49" i="37"/>
  <c r="CH13" i="37"/>
  <c r="CH19" i="37"/>
  <c r="CH20" i="37"/>
  <c r="CH27" i="37"/>
  <c r="CH14" i="37"/>
  <c r="CH26" i="37"/>
  <c r="CH10" i="37"/>
  <c r="CH25" i="37"/>
  <c r="CH21" i="37"/>
  <c r="CH51" i="37"/>
  <c r="CH15" i="37"/>
  <c r="CH50" i="37"/>
  <c r="CH49" i="37"/>
  <c r="CG13" i="37"/>
  <c r="CG19" i="37"/>
  <c r="CG20" i="37"/>
  <c r="CG27" i="37"/>
  <c r="CG14" i="37"/>
  <c r="CG26" i="37"/>
  <c r="CG10" i="37"/>
  <c r="CG25" i="37"/>
  <c r="CG21" i="37"/>
  <c r="CG51" i="37"/>
  <c r="CG15" i="37"/>
  <c r="CG50" i="37"/>
  <c r="CG49" i="37"/>
  <c r="CF13" i="37"/>
  <c r="CF19" i="37"/>
  <c r="CF20" i="37"/>
  <c r="CF27" i="37"/>
  <c r="CF14" i="37"/>
  <c r="CF26" i="37"/>
  <c r="CF10" i="37"/>
  <c r="CF25" i="37"/>
  <c r="CF21" i="37"/>
  <c r="CF51" i="37"/>
  <c r="CF15" i="37"/>
  <c r="CF50" i="37"/>
  <c r="CF49" i="37"/>
  <c r="CE13" i="37"/>
  <c r="CE19" i="37"/>
  <c r="CE20" i="37"/>
  <c r="CE27" i="37"/>
  <c r="CE14" i="37"/>
  <c r="CE26" i="37"/>
  <c r="CE10" i="37"/>
  <c r="CE25" i="37"/>
  <c r="CE21" i="37"/>
  <c r="CE51" i="37"/>
  <c r="CE15" i="37"/>
  <c r="CE50" i="37"/>
  <c r="CE49" i="37"/>
  <c r="CD13" i="37"/>
  <c r="CD19" i="37"/>
  <c r="CD20" i="37"/>
  <c r="CD27" i="37"/>
  <c r="CD14" i="37"/>
  <c r="CD26" i="37"/>
  <c r="CD10" i="37"/>
  <c r="CD25" i="37"/>
  <c r="CD21" i="37"/>
  <c r="CD51" i="37"/>
  <c r="CD15" i="37"/>
  <c r="CD50" i="37"/>
  <c r="CD49" i="37"/>
  <c r="CC13" i="37"/>
  <c r="CC19" i="37"/>
  <c r="CC20" i="37"/>
  <c r="CC27" i="37"/>
  <c r="CC14" i="37"/>
  <c r="CC26" i="37"/>
  <c r="CC10" i="37"/>
  <c r="CC25" i="37"/>
  <c r="CC21" i="37"/>
  <c r="CC51" i="37"/>
  <c r="CC15" i="37"/>
  <c r="CC50" i="37"/>
  <c r="CC49" i="37"/>
  <c r="CB13" i="37"/>
  <c r="CB19" i="37"/>
  <c r="CB20" i="37"/>
  <c r="CB27" i="37"/>
  <c r="CB14" i="37"/>
  <c r="CB26" i="37"/>
  <c r="CB10" i="37"/>
  <c r="CB25" i="37"/>
  <c r="CB21" i="37"/>
  <c r="CB51" i="37"/>
  <c r="CB15" i="37"/>
  <c r="CB50" i="37"/>
  <c r="CB49" i="37"/>
  <c r="CA13" i="37"/>
  <c r="CA19" i="37"/>
  <c r="CA20" i="37"/>
  <c r="CA27" i="37"/>
  <c r="CA14" i="37"/>
  <c r="CA26" i="37"/>
  <c r="CA10" i="37"/>
  <c r="CA25" i="37"/>
  <c r="CA21" i="37"/>
  <c r="CA51" i="37"/>
  <c r="CA15" i="37"/>
  <c r="CA50" i="37"/>
  <c r="CA49" i="37"/>
  <c r="BZ13" i="37"/>
  <c r="BZ19" i="37"/>
  <c r="BZ20" i="37"/>
  <c r="BZ27" i="37"/>
  <c r="BZ14" i="37"/>
  <c r="BZ26" i="37"/>
  <c r="BZ10" i="37"/>
  <c r="BZ25" i="37"/>
  <c r="BZ21" i="37"/>
  <c r="BZ51" i="37"/>
  <c r="BZ15" i="37"/>
  <c r="BZ50" i="37"/>
  <c r="BZ49" i="37"/>
  <c r="BY13" i="37"/>
  <c r="BY19" i="37"/>
  <c r="BY20" i="37"/>
  <c r="BY27" i="37"/>
  <c r="BY14" i="37"/>
  <c r="BY26" i="37"/>
  <c r="BY10" i="37"/>
  <c r="BY25" i="37"/>
  <c r="BY21" i="37"/>
  <c r="BY51" i="37"/>
  <c r="BY15" i="37"/>
  <c r="BY50" i="37"/>
  <c r="BY49" i="37"/>
  <c r="BX13" i="37"/>
  <c r="BX19" i="37"/>
  <c r="BX20" i="37"/>
  <c r="BX27" i="37"/>
  <c r="BX14" i="37"/>
  <c r="BX26" i="37"/>
  <c r="BX10" i="37"/>
  <c r="BX25" i="37"/>
  <c r="BX21" i="37"/>
  <c r="BX51" i="37"/>
  <c r="BX15" i="37"/>
  <c r="BX50" i="37"/>
  <c r="BX49" i="37"/>
  <c r="BW13" i="37"/>
  <c r="BW19" i="37"/>
  <c r="BW20" i="37"/>
  <c r="BW27" i="37"/>
  <c r="BW14" i="37"/>
  <c r="BW26" i="37"/>
  <c r="BW10" i="37"/>
  <c r="BW25" i="37"/>
  <c r="BW21" i="37"/>
  <c r="BW51" i="37"/>
  <c r="BW15" i="37"/>
  <c r="BW50" i="37"/>
  <c r="BW49" i="37"/>
  <c r="BV13" i="37"/>
  <c r="BV19" i="37"/>
  <c r="BV20" i="37"/>
  <c r="BV27" i="37"/>
  <c r="BV14" i="37"/>
  <c r="BV26" i="37"/>
  <c r="BV10" i="37"/>
  <c r="BV25" i="37"/>
  <c r="BV21" i="37"/>
  <c r="BV51" i="37"/>
  <c r="BV15" i="37"/>
  <c r="BV50" i="37"/>
  <c r="BV49" i="37"/>
  <c r="BU27" i="37"/>
  <c r="BU26" i="37"/>
  <c r="BU10" i="37"/>
  <c r="BU25" i="37"/>
  <c r="BU49" i="37"/>
  <c r="BT27" i="37"/>
  <c r="BT26" i="37"/>
  <c r="BT10" i="37"/>
  <c r="BT25" i="37"/>
  <c r="BT49" i="37"/>
  <c r="BS27" i="37"/>
  <c r="BS26" i="37"/>
  <c r="BS10" i="37"/>
  <c r="BS25" i="37"/>
  <c r="BS49" i="37"/>
  <c r="BR27" i="37"/>
  <c r="BR26" i="37"/>
  <c r="BR10" i="37"/>
  <c r="BR25" i="37"/>
  <c r="BR49" i="37"/>
  <c r="BQ27" i="37"/>
  <c r="BQ26" i="37"/>
  <c r="BQ10" i="37"/>
  <c r="BQ25" i="37"/>
  <c r="BQ49" i="37"/>
  <c r="BP27" i="37"/>
  <c r="BP26" i="37"/>
  <c r="BP10" i="37"/>
  <c r="BP25" i="37"/>
  <c r="BP49" i="37"/>
  <c r="BO27" i="37"/>
  <c r="BO26" i="37"/>
  <c r="BO10" i="37"/>
  <c r="BO25" i="37"/>
  <c r="BO49" i="37"/>
  <c r="BN27" i="37"/>
  <c r="BN26" i="37"/>
  <c r="BN10" i="37"/>
  <c r="BN25" i="37"/>
  <c r="BN49" i="37"/>
  <c r="BM27" i="37"/>
  <c r="BM26" i="37"/>
  <c r="BM10" i="37"/>
  <c r="BM25" i="37"/>
  <c r="BM49" i="37"/>
  <c r="BL27" i="37"/>
  <c r="BL26" i="37"/>
  <c r="BL10" i="37"/>
  <c r="BL25" i="37"/>
  <c r="BL49" i="37"/>
  <c r="BK27" i="37"/>
  <c r="BK26" i="37"/>
  <c r="BK10" i="37"/>
  <c r="BK25" i="37"/>
  <c r="BK49" i="37"/>
  <c r="BJ27" i="37"/>
  <c r="BJ26" i="37"/>
  <c r="BJ10" i="37"/>
  <c r="BJ25" i="37"/>
  <c r="BJ49" i="37"/>
  <c r="BI27" i="37"/>
  <c r="BI26" i="37"/>
  <c r="BI10" i="37"/>
  <c r="BI25" i="37"/>
  <c r="BI49" i="37"/>
  <c r="BH27" i="37"/>
  <c r="BH26" i="37"/>
  <c r="BH10" i="37"/>
  <c r="BH25" i="37"/>
  <c r="BH49" i="37"/>
  <c r="BG27" i="37"/>
  <c r="BG26" i="37"/>
  <c r="BG10" i="37"/>
  <c r="BG25" i="37"/>
  <c r="BG49" i="37"/>
  <c r="BF27" i="37"/>
  <c r="BF26" i="37"/>
  <c r="BF10" i="37"/>
  <c r="BF25" i="37"/>
  <c r="BF49" i="37"/>
  <c r="BE27" i="37"/>
  <c r="BE26" i="37"/>
  <c r="BE10" i="37"/>
  <c r="BE25" i="37"/>
  <c r="BE49" i="37"/>
  <c r="BD27" i="37"/>
  <c r="BD26" i="37"/>
  <c r="BD10" i="37"/>
  <c r="BD25" i="37"/>
  <c r="BD49" i="37"/>
  <c r="BC27" i="37"/>
  <c r="BC26" i="37"/>
  <c r="BC10" i="37"/>
  <c r="BC25" i="37"/>
  <c r="BC49" i="37"/>
  <c r="BB27" i="37"/>
  <c r="BB26" i="37"/>
  <c r="BB10" i="37"/>
  <c r="BB25" i="37"/>
  <c r="BB49" i="37"/>
  <c r="BA27" i="37"/>
  <c r="BA26" i="37"/>
  <c r="BA10" i="37"/>
  <c r="BA25" i="37"/>
  <c r="BA49" i="37"/>
  <c r="AZ27" i="37"/>
  <c r="AZ26" i="37"/>
  <c r="AZ10" i="37"/>
  <c r="AZ25" i="37"/>
  <c r="AZ49" i="37"/>
  <c r="AY27" i="37"/>
  <c r="AY26" i="37"/>
  <c r="AY10" i="37"/>
  <c r="AY25" i="37"/>
  <c r="AY49" i="37"/>
  <c r="AX27" i="37"/>
  <c r="AX26" i="37"/>
  <c r="AX10" i="37"/>
  <c r="AX25" i="37"/>
  <c r="AX49" i="37"/>
  <c r="AW27" i="37"/>
  <c r="AW26" i="37"/>
  <c r="AW10" i="37"/>
  <c r="AW25" i="37"/>
  <c r="AW49" i="37"/>
  <c r="AV27" i="37"/>
  <c r="AV26" i="37"/>
  <c r="AV10" i="37"/>
  <c r="AV25" i="37"/>
  <c r="AV49" i="37"/>
  <c r="AU27" i="37"/>
  <c r="AU26" i="37"/>
  <c r="AU10" i="37"/>
  <c r="AU25" i="37"/>
  <c r="AU49" i="37"/>
  <c r="AT27" i="37"/>
  <c r="AT26" i="37"/>
  <c r="AT10" i="37"/>
  <c r="AT25" i="37"/>
  <c r="AT49" i="37"/>
  <c r="AS27" i="37"/>
  <c r="AS26" i="37"/>
  <c r="AS10" i="37"/>
  <c r="AS25" i="37"/>
  <c r="AS49" i="37"/>
  <c r="AR27" i="37"/>
  <c r="AR26" i="37"/>
  <c r="AR10" i="37"/>
  <c r="AR25" i="37"/>
  <c r="AR49" i="37"/>
  <c r="AQ27" i="37"/>
  <c r="AQ26" i="37"/>
  <c r="AQ10" i="37"/>
  <c r="AQ25" i="37"/>
  <c r="AQ49" i="37"/>
  <c r="AP27" i="37"/>
  <c r="AP26" i="37"/>
  <c r="AP10" i="37"/>
  <c r="AP25" i="37"/>
  <c r="AP49" i="37"/>
  <c r="AO27" i="37"/>
  <c r="AO26" i="37"/>
  <c r="AO10" i="37"/>
  <c r="AO25" i="37"/>
  <c r="AO49" i="37"/>
  <c r="AN27" i="37"/>
  <c r="AN26" i="37"/>
  <c r="AN10" i="37"/>
  <c r="AN25" i="37"/>
  <c r="AN49" i="37"/>
  <c r="AM27" i="37"/>
  <c r="AM26" i="37"/>
  <c r="AM10" i="37"/>
  <c r="AM25" i="37"/>
  <c r="AM49" i="37"/>
  <c r="AL27" i="37"/>
  <c r="AL26" i="37"/>
  <c r="AL10" i="37"/>
  <c r="AL25" i="37"/>
  <c r="AL49" i="37"/>
  <c r="AK27" i="37"/>
  <c r="AK26" i="37"/>
  <c r="AK10" i="37"/>
  <c r="AK25" i="37"/>
  <c r="AK49" i="37"/>
  <c r="AJ27" i="37"/>
  <c r="AJ26" i="37"/>
  <c r="AJ10" i="37"/>
  <c r="AJ25" i="37"/>
  <c r="AJ49" i="37"/>
  <c r="AI27" i="37"/>
  <c r="AI26" i="37"/>
  <c r="AI10" i="37"/>
  <c r="AI25" i="37"/>
  <c r="AI49" i="37"/>
  <c r="AH27" i="37"/>
  <c r="AH26" i="37"/>
  <c r="AH10" i="37"/>
  <c r="AH25" i="37"/>
  <c r="AH49" i="37"/>
  <c r="AG19" i="37"/>
  <c r="AG20" i="37"/>
  <c r="AG27" i="37"/>
  <c r="AG26" i="37"/>
  <c r="AG10" i="37"/>
  <c r="AG25" i="37"/>
  <c r="AG49" i="37"/>
  <c r="AF13" i="37"/>
  <c r="AF19" i="37"/>
  <c r="AF20" i="37"/>
  <c r="AF27" i="37"/>
  <c r="AF14" i="37"/>
  <c r="AF26" i="37"/>
  <c r="AF10" i="37"/>
  <c r="AF25" i="37"/>
  <c r="AF49" i="37"/>
  <c r="AE13" i="37"/>
  <c r="AE19" i="37"/>
  <c r="AE20" i="37"/>
  <c r="AE27" i="37"/>
  <c r="AE14" i="37"/>
  <c r="AE26" i="37"/>
  <c r="AE10" i="37"/>
  <c r="AE25" i="37"/>
  <c r="AE49" i="37"/>
  <c r="AD13" i="37"/>
  <c r="AD19" i="37"/>
  <c r="AD20" i="37"/>
  <c r="AD27" i="37"/>
  <c r="AD14" i="37"/>
  <c r="AD26" i="37"/>
  <c r="AD10" i="37"/>
  <c r="AD25" i="37"/>
  <c r="AD49" i="37"/>
  <c r="AC13" i="37"/>
  <c r="AC19" i="37"/>
  <c r="AC20" i="37"/>
  <c r="AC27" i="37"/>
  <c r="AC14" i="37"/>
  <c r="AC26" i="37"/>
  <c r="AC10" i="37"/>
  <c r="AC25" i="37"/>
  <c r="AC49" i="37"/>
  <c r="AB13" i="37"/>
  <c r="AB19" i="37"/>
  <c r="AB20" i="37"/>
  <c r="AB27" i="37"/>
  <c r="AB14" i="37"/>
  <c r="AB26" i="37"/>
  <c r="AB10" i="37"/>
  <c r="AB25" i="37"/>
  <c r="AB49" i="37"/>
  <c r="AA13" i="37"/>
  <c r="AA19" i="37"/>
  <c r="AA20" i="37"/>
  <c r="AA27" i="37"/>
  <c r="AA14" i="37"/>
  <c r="AA26" i="37"/>
  <c r="AA10" i="37"/>
  <c r="AA25" i="37"/>
  <c r="AA49" i="37"/>
  <c r="Z13" i="37"/>
  <c r="Z19" i="37"/>
  <c r="Z20" i="37"/>
  <c r="Z27" i="37"/>
  <c r="Z14" i="37"/>
  <c r="Z26" i="37"/>
  <c r="Z10" i="37"/>
  <c r="Z25" i="37"/>
  <c r="Z49" i="37"/>
  <c r="Y13" i="37"/>
  <c r="Y19" i="37"/>
  <c r="Y20" i="37"/>
  <c r="Y27" i="37"/>
  <c r="Y14" i="37"/>
  <c r="Y26" i="37"/>
  <c r="Y10" i="37"/>
  <c r="Y25" i="37"/>
  <c r="Y49" i="37"/>
  <c r="X13" i="37"/>
  <c r="X19" i="37"/>
  <c r="X20" i="37"/>
  <c r="X27" i="37"/>
  <c r="X14" i="37"/>
  <c r="X26" i="37"/>
  <c r="X10" i="37"/>
  <c r="X25" i="37"/>
  <c r="X49" i="37"/>
  <c r="W13" i="37"/>
  <c r="W19" i="37"/>
  <c r="W20" i="37"/>
  <c r="W27" i="37"/>
  <c r="W14" i="37"/>
  <c r="W26" i="37"/>
  <c r="W10" i="37"/>
  <c r="W25" i="37"/>
  <c r="W49" i="37"/>
  <c r="V13" i="37"/>
  <c r="V19" i="37"/>
  <c r="V20" i="37"/>
  <c r="V27" i="37"/>
  <c r="V14" i="37"/>
  <c r="V26" i="37"/>
  <c r="V10" i="37"/>
  <c r="V25" i="37"/>
  <c r="V49" i="37"/>
  <c r="U13" i="37"/>
  <c r="U19" i="37"/>
  <c r="U20" i="37"/>
  <c r="U27" i="37"/>
  <c r="U14" i="37"/>
  <c r="U26" i="37"/>
  <c r="U10" i="37"/>
  <c r="U25" i="37"/>
  <c r="U49" i="37"/>
  <c r="T13" i="37"/>
  <c r="T19" i="37"/>
  <c r="T20" i="37"/>
  <c r="T27" i="37"/>
  <c r="T14" i="37"/>
  <c r="T26" i="37"/>
  <c r="T10" i="37"/>
  <c r="T25" i="37"/>
  <c r="T49" i="37"/>
  <c r="S13" i="37"/>
  <c r="S19" i="37"/>
  <c r="S20" i="37"/>
  <c r="S27" i="37"/>
  <c r="S14" i="37"/>
  <c r="S26" i="37"/>
  <c r="S10" i="37"/>
  <c r="S25" i="37"/>
  <c r="S49" i="37"/>
  <c r="R13" i="37"/>
  <c r="R19" i="37"/>
  <c r="R20" i="37"/>
  <c r="R27" i="37"/>
  <c r="R14" i="37"/>
  <c r="R26" i="37"/>
  <c r="R10" i="37"/>
  <c r="R25" i="37"/>
  <c r="R49" i="37"/>
  <c r="Q13" i="37"/>
  <c r="Q19" i="37"/>
  <c r="Q20" i="37"/>
  <c r="Q27" i="37"/>
  <c r="Q14" i="37"/>
  <c r="Q26" i="37"/>
  <c r="Q10" i="37"/>
  <c r="Q25" i="37"/>
  <c r="Q49" i="37"/>
  <c r="P13" i="37"/>
  <c r="P19" i="37"/>
  <c r="P20" i="37"/>
  <c r="P27" i="37"/>
  <c r="P14" i="37"/>
  <c r="P26" i="37"/>
  <c r="P10" i="37"/>
  <c r="P25" i="37"/>
  <c r="P49" i="37"/>
  <c r="O13" i="37"/>
  <c r="O19" i="37"/>
  <c r="O20" i="37"/>
  <c r="O27" i="37"/>
  <c r="O14" i="37"/>
  <c r="O26" i="37"/>
  <c r="O10" i="37"/>
  <c r="O25" i="37"/>
  <c r="O49" i="37"/>
  <c r="N13" i="37"/>
  <c r="N19" i="37"/>
  <c r="N20" i="37"/>
  <c r="N27" i="37"/>
  <c r="N14" i="37"/>
  <c r="N26" i="37"/>
  <c r="N10" i="37"/>
  <c r="N25" i="37"/>
  <c r="N49" i="37"/>
  <c r="M13" i="37"/>
  <c r="M19" i="37"/>
  <c r="M20" i="37"/>
  <c r="M27" i="37"/>
  <c r="M14" i="37"/>
  <c r="M26" i="37"/>
  <c r="M10" i="37"/>
  <c r="M25" i="37"/>
  <c r="M49" i="37"/>
  <c r="L13" i="37"/>
  <c r="L19" i="37"/>
  <c r="L20" i="37"/>
  <c r="L27" i="37"/>
  <c r="L14" i="37"/>
  <c r="L26" i="37"/>
  <c r="L10" i="37"/>
  <c r="L25" i="37"/>
  <c r="L49" i="37"/>
  <c r="K13" i="37"/>
  <c r="K19" i="37"/>
  <c r="K20" i="37"/>
  <c r="K27" i="37"/>
  <c r="K14" i="37"/>
  <c r="K26" i="37"/>
  <c r="K10" i="37"/>
  <c r="K25" i="37"/>
  <c r="K49" i="37"/>
  <c r="J13" i="37"/>
  <c r="J19" i="37"/>
  <c r="J20" i="37"/>
  <c r="J27" i="37"/>
  <c r="J14" i="37"/>
  <c r="J26" i="37"/>
  <c r="J10" i="37"/>
  <c r="J25" i="37"/>
  <c r="J49" i="37"/>
  <c r="I13" i="37"/>
  <c r="I19" i="37"/>
  <c r="I20" i="37"/>
  <c r="I27" i="37"/>
  <c r="I14" i="37"/>
  <c r="I26" i="37"/>
  <c r="I10" i="37"/>
  <c r="I25" i="37"/>
  <c r="I49" i="37"/>
  <c r="H13" i="37"/>
  <c r="H19" i="37"/>
  <c r="H20" i="37"/>
  <c r="H27" i="37"/>
  <c r="H14" i="37"/>
  <c r="H26" i="37"/>
  <c r="H10" i="37"/>
  <c r="H25" i="37"/>
  <c r="H49" i="37"/>
  <c r="DI28" i="37"/>
  <c r="DH28" i="37"/>
  <c r="DG28" i="37"/>
  <c r="DF28" i="37"/>
  <c r="DE28" i="37"/>
  <c r="DD28" i="37"/>
  <c r="DC28" i="37"/>
  <c r="DB28" i="37"/>
  <c r="DA28" i="37"/>
  <c r="CZ28" i="37"/>
  <c r="CY28" i="37"/>
  <c r="CX28" i="37"/>
  <c r="CW28" i="37"/>
  <c r="CV28" i="37"/>
  <c r="CU28" i="37"/>
  <c r="CT28" i="37"/>
  <c r="CS28" i="37"/>
  <c r="CR28" i="37"/>
  <c r="CQ28" i="37"/>
  <c r="CP28" i="37"/>
  <c r="CO28" i="37"/>
  <c r="CN28" i="37"/>
  <c r="CM28" i="37"/>
  <c r="CL28" i="37"/>
  <c r="CK28" i="37"/>
  <c r="CJ28" i="37"/>
  <c r="CI28" i="37"/>
  <c r="CH28" i="37"/>
  <c r="CG28" i="37"/>
  <c r="CF28" i="37"/>
  <c r="CE28" i="37"/>
  <c r="CD28" i="37"/>
  <c r="CC28" i="37"/>
  <c r="CB28" i="37"/>
  <c r="CA28" i="37"/>
  <c r="BZ28" i="37"/>
  <c r="BY28" i="37"/>
  <c r="BX28" i="37"/>
  <c r="BW28" i="37"/>
  <c r="BV28" i="37"/>
  <c r="BU28" i="37"/>
  <c r="BT28" i="37"/>
  <c r="BS28" i="37"/>
  <c r="BR28" i="37"/>
  <c r="BQ28" i="37"/>
  <c r="BP28" i="37"/>
  <c r="BO28" i="37"/>
  <c r="BN28" i="37"/>
  <c r="BM28" i="37"/>
  <c r="BL28" i="37"/>
  <c r="BK28" i="37"/>
  <c r="BJ28" i="37"/>
  <c r="BI28" i="37"/>
  <c r="BH28" i="37"/>
  <c r="BG28" i="37"/>
  <c r="BF28" i="37"/>
  <c r="BE28" i="37"/>
  <c r="BD28" i="37"/>
  <c r="BC28" i="37"/>
  <c r="BB28" i="37"/>
  <c r="BA28" i="37"/>
  <c r="AZ28" i="37"/>
  <c r="AY28" i="37"/>
  <c r="AX28" i="37"/>
  <c r="AW28" i="37"/>
  <c r="AV28" i="37"/>
  <c r="AU28" i="37"/>
  <c r="AT28" i="37"/>
  <c r="AS28" i="37"/>
  <c r="AR28" i="37"/>
  <c r="AQ28" i="37"/>
  <c r="AP28" i="37"/>
  <c r="AO28" i="37"/>
  <c r="AN28" i="37"/>
  <c r="AM28" i="37"/>
  <c r="AL28" i="37"/>
  <c r="AK28" i="37"/>
  <c r="AJ28" i="37"/>
  <c r="AI28" i="37"/>
  <c r="AH28" i="37"/>
  <c r="DI52" i="37"/>
  <c r="DH52" i="37"/>
  <c r="DG52" i="37"/>
  <c r="DF52" i="37"/>
  <c r="DE52" i="37"/>
  <c r="DD52" i="37"/>
  <c r="DC52" i="37"/>
  <c r="DB52" i="37"/>
  <c r="DA52" i="37"/>
  <c r="CZ52" i="37"/>
  <c r="CY52" i="37"/>
  <c r="CX52" i="37"/>
  <c r="CW52" i="37"/>
  <c r="CV52" i="37"/>
  <c r="CU52" i="37"/>
  <c r="CT52" i="37"/>
  <c r="CS52" i="37"/>
  <c r="CR52" i="37"/>
  <c r="CQ52" i="37"/>
  <c r="CP52" i="37"/>
  <c r="CO52" i="37"/>
  <c r="CN52" i="37"/>
  <c r="CM52" i="37"/>
  <c r="CL52" i="37"/>
  <c r="CK52" i="37"/>
  <c r="CJ52" i="37"/>
  <c r="CI52" i="37"/>
  <c r="CH52" i="37"/>
  <c r="CG52" i="37"/>
  <c r="CF52" i="37"/>
  <c r="CE52" i="37"/>
  <c r="CD52" i="37"/>
  <c r="CC52" i="37"/>
  <c r="CB52" i="37"/>
  <c r="CA52" i="37"/>
  <c r="BZ52" i="37"/>
  <c r="BY52" i="37"/>
  <c r="BX52" i="37"/>
  <c r="BW52" i="37"/>
  <c r="BV52" i="37"/>
  <c r="DI22" i="37"/>
  <c r="DI16" i="37"/>
  <c r="DH22" i="37"/>
  <c r="DH16" i="37"/>
  <c r="DG22" i="37"/>
  <c r="DG16" i="37"/>
  <c r="DF22" i="37"/>
  <c r="DF16" i="37"/>
  <c r="DE22" i="37"/>
  <c r="DE16" i="37"/>
  <c r="DD22" i="37"/>
  <c r="DD16" i="37"/>
  <c r="DC22" i="37"/>
  <c r="DC16" i="37"/>
  <c r="DB22" i="37"/>
  <c r="DB16" i="37"/>
  <c r="DA22" i="37"/>
  <c r="DA16" i="37"/>
  <c r="CZ22" i="37"/>
  <c r="CZ16" i="37"/>
  <c r="CY22" i="37"/>
  <c r="CY16" i="37"/>
  <c r="CX22" i="37"/>
  <c r="CX16" i="37"/>
  <c r="CW22" i="37"/>
  <c r="CW16" i="37"/>
  <c r="CV22" i="37"/>
  <c r="CV16" i="37"/>
  <c r="CU22" i="37"/>
  <c r="CU16" i="37"/>
  <c r="CT22" i="37"/>
  <c r="CT16" i="37"/>
  <c r="CS22" i="37"/>
  <c r="CS16" i="37"/>
  <c r="CR22" i="37"/>
  <c r="CR16" i="37"/>
  <c r="CQ22" i="37"/>
  <c r="CQ16" i="37"/>
  <c r="CP22" i="37"/>
  <c r="CP16" i="37"/>
  <c r="CO22" i="37"/>
  <c r="CO16" i="37"/>
  <c r="CN22" i="37"/>
  <c r="CN16" i="37"/>
  <c r="CM22" i="37"/>
  <c r="CM16" i="37"/>
  <c r="CL22" i="37"/>
  <c r="CL16" i="37"/>
  <c r="CK22" i="37"/>
  <c r="CK16" i="37"/>
  <c r="CJ22" i="37"/>
  <c r="CJ16" i="37"/>
  <c r="CI22" i="37"/>
  <c r="CI16" i="37"/>
  <c r="CH22" i="37"/>
  <c r="CH16" i="37"/>
  <c r="CG22" i="37"/>
  <c r="CG16" i="37"/>
  <c r="CF22" i="37"/>
  <c r="CF16" i="37"/>
  <c r="CE22" i="37"/>
  <c r="CE16" i="37"/>
  <c r="CD22" i="37"/>
  <c r="CD16" i="37"/>
  <c r="CC22" i="37"/>
  <c r="CC16" i="37"/>
  <c r="CB22" i="37"/>
  <c r="CB16" i="37"/>
  <c r="CA22" i="37"/>
  <c r="CA16" i="37"/>
  <c r="BZ22" i="37"/>
  <c r="BZ16" i="37"/>
  <c r="BY22" i="37"/>
  <c r="BY16" i="37"/>
  <c r="BX22" i="37"/>
  <c r="BX16" i="37"/>
  <c r="BW22" i="37"/>
  <c r="BW16" i="37"/>
  <c r="BV22" i="37"/>
  <c r="BV16" i="37"/>
  <c r="BU22" i="37"/>
  <c r="BU16" i="37"/>
  <c r="BT22" i="37"/>
  <c r="BT16" i="37"/>
  <c r="BS22" i="37"/>
  <c r="BS16" i="37"/>
  <c r="BR22" i="37"/>
  <c r="BR16" i="37"/>
  <c r="BQ22" i="37"/>
  <c r="BQ16" i="37"/>
  <c r="BP22" i="37"/>
  <c r="BP16" i="37"/>
  <c r="BO22" i="37"/>
  <c r="BO16" i="37"/>
  <c r="BN22" i="37"/>
  <c r="BN16" i="37"/>
  <c r="BM22" i="37"/>
  <c r="BM16" i="37"/>
  <c r="BL22" i="37"/>
  <c r="BL16" i="37"/>
  <c r="BK22" i="37"/>
  <c r="BK16" i="37"/>
  <c r="BJ22" i="37"/>
  <c r="BJ16" i="37"/>
  <c r="BI22" i="37"/>
  <c r="BI16" i="37"/>
  <c r="BH22" i="37"/>
  <c r="BH16" i="37"/>
  <c r="BG22" i="37"/>
  <c r="BG16" i="37"/>
  <c r="BF22" i="37"/>
  <c r="BF16" i="37"/>
  <c r="BE22" i="37"/>
  <c r="BE16" i="37"/>
  <c r="BD22" i="37"/>
  <c r="BD16" i="37"/>
  <c r="BC22" i="37"/>
  <c r="BC16" i="37"/>
  <c r="BB22" i="37"/>
  <c r="BB16" i="37"/>
  <c r="BA22" i="37"/>
  <c r="BA16" i="37"/>
  <c r="AZ22" i="37"/>
  <c r="AZ16" i="37"/>
  <c r="AY22" i="37"/>
  <c r="AY16" i="37"/>
  <c r="AX22" i="37"/>
  <c r="AX16" i="37"/>
  <c r="AW22" i="37"/>
  <c r="AW16" i="37"/>
  <c r="AV22" i="37"/>
  <c r="AV16" i="37"/>
  <c r="AU22" i="37"/>
  <c r="AU16" i="37"/>
  <c r="AT22" i="37"/>
  <c r="AT16" i="37"/>
  <c r="AS22" i="37"/>
  <c r="AS16" i="37"/>
  <c r="AR22" i="37"/>
  <c r="AR16" i="37"/>
  <c r="AQ22" i="37"/>
  <c r="AQ16" i="37"/>
  <c r="AP22" i="37"/>
  <c r="AP16" i="37"/>
  <c r="AO22" i="37"/>
  <c r="AO16" i="37"/>
  <c r="AN22" i="37"/>
  <c r="AN16" i="37"/>
  <c r="AM22" i="37"/>
  <c r="AM16" i="37"/>
  <c r="AL22" i="37"/>
  <c r="AL16" i="37"/>
  <c r="AK22" i="37"/>
  <c r="AK16" i="37"/>
  <c r="AJ22" i="37"/>
  <c r="AJ16" i="37"/>
  <c r="AI22" i="37"/>
  <c r="AI16" i="37"/>
  <c r="AH22" i="37"/>
  <c r="AH16" i="37"/>
  <c r="AG22" i="37"/>
  <c r="AF22" i="37"/>
  <c r="AE22" i="37"/>
  <c r="AD22" i="37"/>
  <c r="AC22" i="37"/>
  <c r="AB22" i="37"/>
  <c r="AA22" i="37"/>
  <c r="Z22" i="37"/>
  <c r="Y22" i="37"/>
  <c r="X22" i="37"/>
  <c r="W22" i="37"/>
  <c r="V22" i="37"/>
  <c r="U22" i="37"/>
  <c r="T22" i="37"/>
  <c r="S22" i="37"/>
  <c r="R22" i="37"/>
  <c r="Q22" i="37"/>
  <c r="P22" i="37"/>
  <c r="O22" i="37"/>
  <c r="N22" i="37"/>
  <c r="M22" i="37"/>
  <c r="L22" i="37"/>
  <c r="K22" i="37"/>
  <c r="J22" i="37"/>
  <c r="I22" i="37"/>
  <c r="H22" i="37"/>
  <c r="AG16" i="37"/>
  <c r="AF16" i="37"/>
  <c r="AE16" i="37"/>
  <c r="AD16" i="37"/>
  <c r="AC16" i="37"/>
  <c r="AB16" i="37"/>
  <c r="AA16" i="37"/>
  <c r="Z16" i="37"/>
  <c r="Y16" i="37"/>
  <c r="X16" i="37"/>
  <c r="W16" i="37"/>
  <c r="V16" i="37"/>
  <c r="U16" i="37"/>
  <c r="T16" i="37"/>
  <c r="S16" i="37"/>
  <c r="R16" i="37"/>
  <c r="Q16" i="37"/>
  <c r="P16" i="37"/>
  <c r="O16" i="37"/>
  <c r="N16" i="37"/>
  <c r="M16" i="37"/>
  <c r="L16" i="37"/>
  <c r="K16" i="37"/>
  <c r="J16" i="37"/>
  <c r="I16" i="37"/>
  <c r="H16" i="37"/>
  <c r="F285" i="20"/>
  <c r="E147" i="3"/>
  <c r="E150" i="3"/>
  <c r="G32" i="43"/>
  <c r="J32" i="43"/>
  <c r="I32" i="43"/>
  <c r="G31" i="43"/>
  <c r="J31" i="43"/>
  <c r="I31" i="43"/>
  <c r="H31" i="43"/>
  <c r="F37" i="43"/>
  <c r="G30" i="43"/>
  <c r="J30" i="43"/>
  <c r="I30" i="43"/>
  <c r="H30" i="43"/>
  <c r="F30" i="20"/>
  <c r="CT9" i="25"/>
  <c r="BH9" i="25"/>
  <c r="BI9" i="25"/>
  <c r="BJ9" i="25"/>
  <c r="BK9" i="25"/>
  <c r="BL9" i="25"/>
  <c r="CS9" i="25"/>
  <c r="CR9" i="25"/>
  <c r="CQ9" i="25"/>
  <c r="CP9" i="25"/>
  <c r="CO9" i="25"/>
  <c r="CN9" i="25"/>
  <c r="CM9" i="25"/>
  <c r="CL9" i="25"/>
  <c r="CK9" i="25"/>
  <c r="CJ9" i="25"/>
  <c r="CI9" i="25"/>
  <c r="CH9" i="25"/>
  <c r="CG9" i="25"/>
  <c r="CF9" i="25"/>
  <c r="CE9" i="25"/>
  <c r="CD9" i="25"/>
  <c r="CC9" i="25"/>
  <c r="CB9" i="25"/>
  <c r="CA9" i="25"/>
  <c r="BZ9" i="25"/>
  <c r="BY9" i="25"/>
  <c r="BX9" i="25"/>
  <c r="BW9" i="25"/>
  <c r="BV9" i="25"/>
  <c r="BU9" i="25"/>
  <c r="BT9" i="25"/>
  <c r="BS9" i="25"/>
  <c r="BR9" i="25"/>
  <c r="BQ9" i="25"/>
  <c r="BP9" i="25"/>
  <c r="BO9" i="25"/>
  <c r="BN9" i="25"/>
  <c r="BM9" i="25"/>
  <c r="AR6" i="47"/>
  <c r="AS6" i="47"/>
  <c r="AT6" i="47"/>
  <c r="AU6" i="47"/>
  <c r="AV6" i="47"/>
  <c r="AW6" i="47"/>
  <c r="AX6" i="47"/>
  <c r="AY6" i="47"/>
  <c r="AZ6" i="47"/>
  <c r="BA6" i="47"/>
  <c r="BB6" i="47"/>
  <c r="BC6" i="47"/>
  <c r="BD6" i="47"/>
  <c r="BE6" i="47"/>
  <c r="BF6" i="47"/>
  <c r="BG6" i="47"/>
  <c r="BH6" i="47"/>
  <c r="BI6" i="47"/>
  <c r="BJ6" i="47"/>
  <c r="BK6" i="47"/>
  <c r="BL6" i="47"/>
  <c r="BM6" i="47"/>
  <c r="BN6" i="47"/>
  <c r="BO6" i="47"/>
  <c r="BP6" i="47"/>
  <c r="BQ6" i="47"/>
  <c r="BR6" i="47"/>
  <c r="BS6" i="47"/>
  <c r="BT6" i="47"/>
  <c r="BU6" i="47"/>
  <c r="BV6" i="47"/>
  <c r="BW6" i="47"/>
  <c r="BX6" i="47"/>
  <c r="BY6" i="47"/>
  <c r="BZ6" i="47"/>
  <c r="CA6" i="47"/>
  <c r="CB6" i="47"/>
  <c r="CC6" i="47"/>
  <c r="CD6" i="47"/>
  <c r="CE6" i="47"/>
  <c r="CF6" i="47"/>
  <c r="CG6" i="47"/>
  <c r="CH6" i="47"/>
  <c r="CI6" i="47"/>
  <c r="CJ6" i="47"/>
  <c r="CK6" i="47"/>
  <c r="CL6" i="47"/>
  <c r="CM6" i="47"/>
  <c r="CN6" i="47"/>
  <c r="CO6" i="47"/>
  <c r="CP6" i="47"/>
  <c r="CQ6" i="47"/>
  <c r="CR6" i="47"/>
  <c r="CS6" i="47"/>
  <c r="CT6" i="47"/>
  <c r="CU6" i="47"/>
  <c r="CV6" i="47"/>
  <c r="CW6" i="47"/>
  <c r="CX6" i="47"/>
  <c r="CY6" i="47"/>
  <c r="CZ6" i="47"/>
  <c r="DA6" i="47"/>
  <c r="DB6" i="47"/>
  <c r="DC6" i="47"/>
  <c r="DD6" i="47"/>
  <c r="DE6" i="47"/>
  <c r="DF6" i="47"/>
  <c r="DG6" i="47"/>
  <c r="DH6" i="47"/>
  <c r="DI6" i="47"/>
  <c r="DJ6" i="47"/>
  <c r="DK6" i="47"/>
  <c r="DL6" i="47"/>
  <c r="DM6" i="47"/>
  <c r="DN6" i="47"/>
  <c r="DO6" i="47"/>
  <c r="DP6" i="47"/>
  <c r="DQ6" i="47"/>
  <c r="DR6" i="47"/>
  <c r="DS6" i="47"/>
  <c r="DT6" i="47"/>
  <c r="DU6" i="47"/>
  <c r="DV6" i="47"/>
  <c r="DW6" i="47"/>
  <c r="DX6" i="47"/>
  <c r="DY6" i="47"/>
  <c r="DZ6" i="47"/>
  <c r="EA6" i="47"/>
  <c r="EB6" i="47"/>
  <c r="EC6" i="47"/>
  <c r="ED6" i="47"/>
  <c r="EE6" i="47"/>
  <c r="EF6" i="47"/>
  <c r="EG6" i="47"/>
  <c r="EH6" i="47"/>
  <c r="EI6" i="47"/>
  <c r="EJ6" i="47"/>
  <c r="EK6" i="47"/>
  <c r="EL6" i="47"/>
  <c r="EM6" i="47"/>
  <c r="EN6" i="47"/>
  <c r="EO6" i="47"/>
  <c r="EP6" i="47"/>
  <c r="EQ6" i="47"/>
  <c r="ER6" i="47"/>
  <c r="ES6" i="47"/>
  <c r="ET6" i="47"/>
  <c r="EU6" i="47"/>
  <c r="EV6" i="47"/>
  <c r="EW6" i="47"/>
  <c r="EX6" i="47"/>
  <c r="EY6" i="47"/>
  <c r="EZ6" i="47"/>
  <c r="FA6" i="47"/>
  <c r="FB6" i="47"/>
  <c r="FC6" i="47"/>
  <c r="FD6" i="47"/>
  <c r="FE6" i="47"/>
  <c r="FF6" i="47"/>
  <c r="FG6" i="47"/>
  <c r="FH6" i="47"/>
  <c r="FI6" i="47"/>
  <c r="FJ6" i="47"/>
  <c r="FK6" i="47"/>
  <c r="FL6" i="47"/>
  <c r="FM6" i="47"/>
  <c r="FN6" i="47"/>
  <c r="FO6" i="47"/>
  <c r="FP6" i="47"/>
  <c r="FQ6" i="47"/>
  <c r="FR6" i="47"/>
  <c r="FS6" i="47"/>
  <c r="FT6" i="47"/>
  <c r="FU6" i="47"/>
  <c r="FV6" i="47"/>
  <c r="FW6" i="47"/>
  <c r="FX6" i="47"/>
  <c r="FY6" i="47"/>
  <c r="FZ6" i="47"/>
  <c r="GA6" i="47"/>
  <c r="GB6" i="47"/>
  <c r="GC6" i="47"/>
  <c r="GD6" i="47"/>
  <c r="GE6" i="47"/>
  <c r="GF6" i="47"/>
  <c r="GG6" i="47"/>
  <c r="GH6" i="47"/>
  <c r="GI6" i="47"/>
  <c r="GJ6" i="47"/>
  <c r="GK6" i="47"/>
  <c r="GL6" i="47"/>
  <c r="GM6" i="47"/>
  <c r="GN6" i="47"/>
  <c r="GO6" i="47"/>
  <c r="GP6" i="47"/>
  <c r="GQ6" i="47"/>
  <c r="GR6" i="47"/>
  <c r="GS6" i="47"/>
  <c r="GT6" i="47"/>
  <c r="GU6" i="47"/>
  <c r="GV6" i="47"/>
  <c r="GW6" i="47"/>
  <c r="GX6" i="47"/>
  <c r="GY6" i="47"/>
  <c r="GZ6" i="47"/>
  <c r="HA6" i="47"/>
  <c r="HB6" i="47"/>
  <c r="HC6" i="47"/>
  <c r="HD6" i="47"/>
  <c r="HE6" i="47"/>
  <c r="HF6" i="47"/>
  <c r="HG6" i="47"/>
  <c r="HH6" i="47"/>
  <c r="HI6" i="47"/>
  <c r="HJ6" i="47"/>
  <c r="HK6" i="47"/>
  <c r="HL6" i="47"/>
  <c r="HM6" i="47"/>
  <c r="HN6" i="47"/>
  <c r="HO6" i="47"/>
  <c r="HP6" i="47"/>
  <c r="HQ6" i="47"/>
  <c r="HR6" i="47"/>
  <c r="HS6" i="47"/>
  <c r="HT6" i="47"/>
  <c r="HU6" i="47"/>
  <c r="HV6" i="47"/>
  <c r="HW6" i="47"/>
  <c r="HX6" i="47"/>
  <c r="HY6" i="47"/>
  <c r="HZ6" i="47"/>
  <c r="IA6" i="47"/>
  <c r="IB6" i="47"/>
  <c r="IC6" i="47"/>
  <c r="ID6" i="47"/>
  <c r="IE6" i="47"/>
  <c r="IF6" i="47"/>
  <c r="IG6" i="47"/>
  <c r="IH6" i="47"/>
  <c r="II6" i="47"/>
  <c r="IJ6" i="47"/>
  <c r="IK6" i="47"/>
  <c r="IL6" i="47"/>
  <c r="IM6" i="47"/>
  <c r="IN6" i="47"/>
  <c r="IO6" i="47"/>
  <c r="IP6" i="47"/>
  <c r="IQ6" i="47"/>
  <c r="IR6" i="47"/>
  <c r="IS6" i="47"/>
  <c r="IT6" i="47"/>
  <c r="IU6" i="47"/>
  <c r="IV6" i="47"/>
  <c r="IW6" i="47"/>
  <c r="IX6" i="47"/>
  <c r="IY6" i="47"/>
  <c r="IZ6" i="47"/>
  <c r="JA6" i="47"/>
  <c r="JB6" i="47"/>
  <c r="JC6" i="47"/>
  <c r="JD6" i="47"/>
  <c r="JE6" i="47"/>
  <c r="JF6" i="47"/>
  <c r="JG6" i="47"/>
  <c r="JH6" i="47"/>
  <c r="JI6" i="47"/>
  <c r="JJ6" i="47"/>
  <c r="JK6" i="47"/>
  <c r="JL6" i="47"/>
  <c r="JM6" i="47"/>
  <c r="JN6" i="47"/>
  <c r="JO6" i="47"/>
  <c r="JP6" i="47"/>
  <c r="JQ6" i="47"/>
  <c r="JR6" i="47"/>
  <c r="JS6" i="47"/>
  <c r="JT6" i="47"/>
  <c r="JU6" i="47"/>
  <c r="JV6" i="47"/>
  <c r="JW6" i="47"/>
  <c r="JX6" i="47"/>
  <c r="JY6" i="47"/>
  <c r="JZ6" i="47"/>
  <c r="KA6" i="47"/>
  <c r="KB6" i="47"/>
  <c r="KC6" i="47"/>
  <c r="KD6" i="47"/>
  <c r="KE6" i="47"/>
  <c r="KF6" i="47"/>
  <c r="KG6" i="47"/>
  <c r="KH6" i="47"/>
  <c r="KI6" i="47"/>
  <c r="KJ6" i="47"/>
  <c r="KK6" i="47"/>
  <c r="KL6" i="47"/>
  <c r="KM6" i="47"/>
  <c r="KN6" i="47"/>
  <c r="KO6" i="47"/>
  <c r="KP6" i="47"/>
  <c r="KQ6" i="47"/>
  <c r="KR6" i="47"/>
  <c r="KS6" i="47"/>
  <c r="KT6" i="47"/>
  <c r="KU6" i="47"/>
  <c r="KV6" i="47"/>
  <c r="KW6" i="47"/>
  <c r="KX6" i="47"/>
  <c r="KY6" i="47"/>
  <c r="KZ6" i="47"/>
  <c r="LA6" i="47"/>
  <c r="LB6" i="47"/>
  <c r="LC6" i="47"/>
  <c r="LD6" i="47"/>
  <c r="LE6" i="47"/>
  <c r="LF6" i="47"/>
  <c r="LG6" i="47"/>
  <c r="LH6" i="47"/>
  <c r="LI6" i="47"/>
  <c r="LJ6" i="47"/>
  <c r="LK6" i="47"/>
  <c r="LL6" i="47"/>
  <c r="LM6" i="47"/>
  <c r="LN6" i="47"/>
  <c r="LO6" i="47"/>
  <c r="LP6" i="47"/>
  <c r="LQ6" i="47"/>
  <c r="LR6" i="47"/>
  <c r="LS6" i="47"/>
  <c r="LT6" i="47"/>
  <c r="LU6" i="47"/>
  <c r="LV6" i="47"/>
  <c r="LW6" i="47"/>
  <c r="LX6" i="47"/>
  <c r="LY6" i="47"/>
  <c r="LZ6" i="47"/>
  <c r="MA6" i="47"/>
  <c r="MA7" i="47"/>
  <c r="MA9" i="47"/>
  <c r="MA10" i="47"/>
  <c r="MA17" i="47"/>
  <c r="LZ7" i="47"/>
  <c r="LZ9" i="47"/>
  <c r="LZ10" i="47"/>
  <c r="LZ17" i="47"/>
  <c r="LY7" i="47"/>
  <c r="LY9" i="47"/>
  <c r="LY10" i="47"/>
  <c r="LY17" i="47"/>
  <c r="LX7" i="47"/>
  <c r="LX9" i="47"/>
  <c r="LX10" i="47"/>
  <c r="LX17" i="47"/>
  <c r="LW7" i="47"/>
  <c r="LW9" i="47"/>
  <c r="LW10" i="47"/>
  <c r="LW17" i="47"/>
  <c r="LV7" i="47"/>
  <c r="LV9" i="47"/>
  <c r="LV10" i="47"/>
  <c r="LV17" i="47"/>
  <c r="LU7" i="47"/>
  <c r="LU9" i="47"/>
  <c r="LU10" i="47"/>
  <c r="LU17" i="47"/>
  <c r="LT7" i="47"/>
  <c r="LT9" i="47"/>
  <c r="LT10" i="47"/>
  <c r="LT17" i="47"/>
  <c r="LS7" i="47"/>
  <c r="LS9" i="47"/>
  <c r="LS10" i="47"/>
  <c r="LS17" i="47"/>
  <c r="LR7" i="47"/>
  <c r="LR9" i="47"/>
  <c r="LR10" i="47"/>
  <c r="LR17" i="47"/>
  <c r="LQ7" i="47"/>
  <c r="LQ9" i="47"/>
  <c r="LQ10" i="47"/>
  <c r="LQ17" i="47"/>
  <c r="LP7" i="47"/>
  <c r="LP9" i="47"/>
  <c r="LP10" i="47"/>
  <c r="LP17" i="47"/>
  <c r="LO7" i="47"/>
  <c r="LO9" i="47"/>
  <c r="LO10" i="47"/>
  <c r="LO17" i="47"/>
  <c r="LN7" i="47"/>
  <c r="LN9" i="47"/>
  <c r="LN10" i="47"/>
  <c r="LN17" i="47"/>
  <c r="LM7" i="47"/>
  <c r="LM9" i="47"/>
  <c r="LM10" i="47"/>
  <c r="LM17" i="47"/>
  <c r="LL7" i="47"/>
  <c r="LL9" i="47"/>
  <c r="LL10" i="47"/>
  <c r="LL17" i="47"/>
  <c r="LK7" i="47"/>
  <c r="LK9" i="47"/>
  <c r="LK10" i="47"/>
  <c r="LK17" i="47"/>
  <c r="LJ7" i="47"/>
  <c r="LJ9" i="47"/>
  <c r="LJ10" i="47"/>
  <c r="LJ17" i="47"/>
  <c r="LI7" i="47"/>
  <c r="LI9" i="47"/>
  <c r="LI10" i="47"/>
  <c r="LI17" i="47"/>
  <c r="LH7" i="47"/>
  <c r="LH9" i="47"/>
  <c r="LH10" i="47"/>
  <c r="LH17" i="47"/>
  <c r="LG7" i="47"/>
  <c r="LG9" i="47"/>
  <c r="LG10" i="47"/>
  <c r="LG17" i="47"/>
  <c r="LF7" i="47"/>
  <c r="LF9" i="47"/>
  <c r="LF10" i="47"/>
  <c r="LF17" i="47"/>
  <c r="LE7" i="47"/>
  <c r="LE9" i="47"/>
  <c r="LE10" i="47"/>
  <c r="LE17" i="47"/>
  <c r="LD7" i="47"/>
  <c r="LD9" i="47"/>
  <c r="LD10" i="47"/>
  <c r="LD17" i="47"/>
  <c r="LC7" i="47"/>
  <c r="LC9" i="47"/>
  <c r="LC10" i="47"/>
  <c r="LC17" i="47"/>
  <c r="LB7" i="47"/>
  <c r="LB9" i="47"/>
  <c r="LB10" i="47"/>
  <c r="LB17" i="47"/>
  <c r="LA7" i="47"/>
  <c r="LA9" i="47"/>
  <c r="LA10" i="47"/>
  <c r="LA17" i="47"/>
  <c r="KZ7" i="47"/>
  <c r="KZ9" i="47"/>
  <c r="KZ10" i="47"/>
  <c r="KZ17" i="47"/>
  <c r="KY7" i="47"/>
  <c r="KY9" i="47"/>
  <c r="KY10" i="47"/>
  <c r="KY17" i="47"/>
  <c r="KX7" i="47"/>
  <c r="KX9" i="47"/>
  <c r="KX10" i="47"/>
  <c r="KX17" i="47"/>
  <c r="KW7" i="47"/>
  <c r="KW9" i="47"/>
  <c r="KW10" i="47"/>
  <c r="KW17" i="47"/>
  <c r="KV7" i="47"/>
  <c r="KV9" i="47"/>
  <c r="KV10" i="47"/>
  <c r="KV17" i="47"/>
  <c r="KU7" i="47"/>
  <c r="KU9" i="47"/>
  <c r="KU10" i="47"/>
  <c r="KU17" i="47"/>
  <c r="KT7" i="47"/>
  <c r="KT9" i="47"/>
  <c r="KT10" i="47"/>
  <c r="KT17" i="47"/>
  <c r="KS7" i="47"/>
  <c r="KS9" i="47"/>
  <c r="KS10" i="47"/>
  <c r="KS17" i="47"/>
  <c r="KR7" i="47"/>
  <c r="KR9" i="47"/>
  <c r="KR10" i="47"/>
  <c r="KR17" i="47"/>
  <c r="KQ7" i="47"/>
  <c r="KQ9" i="47"/>
  <c r="KQ10" i="47"/>
  <c r="KQ17" i="47"/>
  <c r="KP7" i="47"/>
  <c r="KP9" i="47"/>
  <c r="KP10" i="47"/>
  <c r="KP17" i="47"/>
  <c r="KO7" i="47"/>
  <c r="KO9" i="47"/>
  <c r="KO10" i="47"/>
  <c r="KO17" i="47"/>
  <c r="KN7" i="47"/>
  <c r="KN9" i="47"/>
  <c r="KN10" i="47"/>
  <c r="KN17" i="47"/>
  <c r="KM7" i="47"/>
  <c r="KM9" i="47"/>
  <c r="KM10" i="47"/>
  <c r="KM17" i="47"/>
  <c r="KL7" i="47"/>
  <c r="KL9" i="47"/>
  <c r="KL10" i="47"/>
  <c r="KL17" i="47"/>
  <c r="KK7" i="47"/>
  <c r="KK9" i="47"/>
  <c r="KK10" i="47"/>
  <c r="KK17" i="47"/>
  <c r="KJ7" i="47"/>
  <c r="KJ9" i="47"/>
  <c r="KJ10" i="47"/>
  <c r="KJ17" i="47"/>
  <c r="KI7" i="47"/>
  <c r="KI9" i="47"/>
  <c r="KI10" i="47"/>
  <c r="KI17" i="47"/>
  <c r="KH7" i="47"/>
  <c r="KH9" i="47"/>
  <c r="KH10" i="47"/>
  <c r="KH17" i="47"/>
  <c r="KG7" i="47"/>
  <c r="KG9" i="47"/>
  <c r="KG10" i="47"/>
  <c r="KG17" i="47"/>
  <c r="KF7" i="47"/>
  <c r="KF9" i="47"/>
  <c r="KF10" i="47"/>
  <c r="KF17" i="47"/>
  <c r="KE7" i="47"/>
  <c r="KE9" i="47"/>
  <c r="KE10" i="47"/>
  <c r="KE17" i="47"/>
  <c r="KD7" i="47"/>
  <c r="KD9" i="47"/>
  <c r="KD10" i="47"/>
  <c r="KD17" i="47"/>
  <c r="KC7" i="47"/>
  <c r="KC9" i="47"/>
  <c r="KC10" i="47"/>
  <c r="KC17" i="47"/>
  <c r="KB7" i="47"/>
  <c r="KB9" i="47"/>
  <c r="KB10" i="47"/>
  <c r="KB17" i="47"/>
  <c r="KA7" i="47"/>
  <c r="KA9" i="47"/>
  <c r="KA10" i="47"/>
  <c r="KA17" i="47"/>
  <c r="JZ7" i="47"/>
  <c r="JZ9" i="47"/>
  <c r="JZ10" i="47"/>
  <c r="JZ17" i="47"/>
  <c r="JY7" i="47"/>
  <c r="JY9" i="47"/>
  <c r="JY10" i="47"/>
  <c r="JY17" i="47"/>
  <c r="JX7" i="47"/>
  <c r="JX9" i="47"/>
  <c r="JX10" i="47"/>
  <c r="JX17" i="47"/>
  <c r="JW7" i="47"/>
  <c r="JW9" i="47"/>
  <c r="JW10" i="47"/>
  <c r="JW17" i="47"/>
  <c r="JV7" i="47"/>
  <c r="JV9" i="47"/>
  <c r="JV10" i="47"/>
  <c r="JV17" i="47"/>
  <c r="JU7" i="47"/>
  <c r="JU9" i="47"/>
  <c r="JU10" i="47"/>
  <c r="JU17" i="47"/>
  <c r="JT7" i="47"/>
  <c r="JT9" i="47"/>
  <c r="JT10" i="47"/>
  <c r="JT17" i="47"/>
  <c r="JS7" i="47"/>
  <c r="JS9" i="47"/>
  <c r="JS10" i="47"/>
  <c r="JS17" i="47"/>
  <c r="JR7" i="47"/>
  <c r="JR9" i="47"/>
  <c r="JR10" i="47"/>
  <c r="JR17" i="47"/>
  <c r="JQ7" i="47"/>
  <c r="JQ9" i="47"/>
  <c r="JQ10" i="47"/>
  <c r="JQ17" i="47"/>
  <c r="JP7" i="47"/>
  <c r="JP9" i="47"/>
  <c r="JP10" i="47"/>
  <c r="JP17" i="47"/>
  <c r="JO7" i="47"/>
  <c r="JO9" i="47"/>
  <c r="JO10" i="47"/>
  <c r="JO17" i="47"/>
  <c r="JN7" i="47"/>
  <c r="JN9" i="47"/>
  <c r="JN10" i="47"/>
  <c r="JN17" i="47"/>
  <c r="JM7" i="47"/>
  <c r="JM9" i="47"/>
  <c r="JM10" i="47"/>
  <c r="JM17" i="47"/>
  <c r="JL7" i="47"/>
  <c r="JL9" i="47"/>
  <c r="JL10" i="47"/>
  <c r="JL17" i="47"/>
  <c r="JK7" i="47"/>
  <c r="JK9" i="47"/>
  <c r="JK10" i="47"/>
  <c r="JK17" i="47"/>
  <c r="JJ7" i="47"/>
  <c r="JJ9" i="47"/>
  <c r="JJ10" i="47"/>
  <c r="JJ17" i="47"/>
  <c r="JI7" i="47"/>
  <c r="JI9" i="47"/>
  <c r="JI10" i="47"/>
  <c r="JI17" i="47"/>
  <c r="JH7" i="47"/>
  <c r="JH9" i="47"/>
  <c r="JH10" i="47"/>
  <c r="JH17" i="47"/>
  <c r="JG7" i="47"/>
  <c r="JG9" i="47"/>
  <c r="JG10" i="47"/>
  <c r="JG17" i="47"/>
  <c r="JF7" i="47"/>
  <c r="JF9" i="47"/>
  <c r="JF10" i="47"/>
  <c r="JF17" i="47"/>
  <c r="JE7" i="47"/>
  <c r="JE9" i="47"/>
  <c r="JE10" i="47"/>
  <c r="JE17" i="47"/>
  <c r="JD7" i="47"/>
  <c r="JD9" i="47"/>
  <c r="JD10" i="47"/>
  <c r="JD17" i="47"/>
  <c r="JC7" i="47"/>
  <c r="JC9" i="47"/>
  <c r="JC10" i="47"/>
  <c r="JC17" i="47"/>
  <c r="JB7" i="47"/>
  <c r="JB9" i="47"/>
  <c r="JB10" i="47"/>
  <c r="JB17" i="47"/>
  <c r="JA7" i="47"/>
  <c r="JA9" i="47"/>
  <c r="JA10" i="47"/>
  <c r="JA17" i="47"/>
  <c r="IZ7" i="47"/>
  <c r="IZ9" i="47"/>
  <c r="IZ10" i="47"/>
  <c r="IZ17" i="47"/>
  <c r="IY7" i="47"/>
  <c r="IY9" i="47"/>
  <c r="IY10" i="47"/>
  <c r="IY17" i="47"/>
  <c r="IX7" i="47"/>
  <c r="IX9" i="47"/>
  <c r="IX10" i="47"/>
  <c r="IX17" i="47"/>
  <c r="IW7" i="47"/>
  <c r="IW9" i="47"/>
  <c r="IW10" i="47"/>
  <c r="IW17" i="47"/>
  <c r="IV7" i="47"/>
  <c r="IV9" i="47"/>
  <c r="IV10" i="47"/>
  <c r="IV17" i="47"/>
  <c r="IU7" i="47"/>
  <c r="IU9" i="47"/>
  <c r="IU10" i="47"/>
  <c r="IU17" i="47"/>
  <c r="IT7" i="47"/>
  <c r="IT9" i="47"/>
  <c r="IT10" i="47"/>
  <c r="IT17" i="47"/>
  <c r="IS7" i="47"/>
  <c r="IS9" i="47"/>
  <c r="IS10" i="47"/>
  <c r="IS17" i="47"/>
  <c r="IR7" i="47"/>
  <c r="IR9" i="47"/>
  <c r="IR10" i="47"/>
  <c r="IR17" i="47"/>
  <c r="IQ7" i="47"/>
  <c r="IQ9" i="47"/>
  <c r="IQ10" i="47"/>
  <c r="IQ17" i="47"/>
  <c r="IP7" i="47"/>
  <c r="IP9" i="47"/>
  <c r="IP10" i="47"/>
  <c r="IP17" i="47"/>
  <c r="IO7" i="47"/>
  <c r="IO9" i="47"/>
  <c r="IO10" i="47"/>
  <c r="IO17" i="47"/>
  <c r="IN7" i="47"/>
  <c r="IN9" i="47"/>
  <c r="IN10" i="47"/>
  <c r="IN17" i="47"/>
  <c r="IM7" i="47"/>
  <c r="IM9" i="47"/>
  <c r="IM10" i="47"/>
  <c r="IM17" i="47"/>
  <c r="IL7" i="47"/>
  <c r="IL9" i="47"/>
  <c r="IL10" i="47"/>
  <c r="IL17" i="47"/>
  <c r="IK7" i="47"/>
  <c r="IK9" i="47"/>
  <c r="IK10" i="47"/>
  <c r="IK17" i="47"/>
  <c r="IJ7" i="47"/>
  <c r="IJ9" i="47"/>
  <c r="IJ10" i="47"/>
  <c r="IJ17" i="47"/>
  <c r="II7" i="47"/>
  <c r="II9" i="47"/>
  <c r="II10" i="47"/>
  <c r="II17" i="47"/>
  <c r="IH7" i="47"/>
  <c r="IH9" i="47"/>
  <c r="IH10" i="47"/>
  <c r="IH17" i="47"/>
  <c r="IG7" i="47"/>
  <c r="IG9" i="47"/>
  <c r="IG10" i="47"/>
  <c r="IG17" i="47"/>
  <c r="IF7" i="47"/>
  <c r="IF9" i="47"/>
  <c r="IF10" i="47"/>
  <c r="IF17" i="47"/>
  <c r="IE7" i="47"/>
  <c r="IE9" i="47"/>
  <c r="IE10" i="47"/>
  <c r="IE17" i="47"/>
  <c r="ID7" i="47"/>
  <c r="ID9" i="47"/>
  <c r="ID10" i="47"/>
  <c r="ID17" i="47"/>
  <c r="IC7" i="47"/>
  <c r="IC9" i="47"/>
  <c r="IC10" i="47"/>
  <c r="IC17" i="47"/>
  <c r="IB7" i="47"/>
  <c r="IB9" i="47"/>
  <c r="IB10" i="47"/>
  <c r="IB17" i="47"/>
  <c r="IA7" i="47"/>
  <c r="IA9" i="47"/>
  <c r="IA10" i="47"/>
  <c r="IA17" i="47"/>
  <c r="HZ7" i="47"/>
  <c r="HZ9" i="47"/>
  <c r="HZ10" i="47"/>
  <c r="HZ17" i="47"/>
  <c r="HY7" i="47"/>
  <c r="HY9" i="47"/>
  <c r="HY10" i="47"/>
  <c r="HY17" i="47"/>
  <c r="HX7" i="47"/>
  <c r="HX9" i="47"/>
  <c r="HX10" i="47"/>
  <c r="HX17" i="47"/>
  <c r="HW7" i="47"/>
  <c r="HW9" i="47"/>
  <c r="HW10" i="47"/>
  <c r="HW17" i="47"/>
  <c r="HV7" i="47"/>
  <c r="HV9" i="47"/>
  <c r="HV10" i="47"/>
  <c r="HV17" i="47"/>
  <c r="HU7" i="47"/>
  <c r="HU9" i="47"/>
  <c r="HU10" i="47"/>
  <c r="HU17" i="47"/>
  <c r="HT7" i="47"/>
  <c r="HT9" i="47"/>
  <c r="HT10" i="47"/>
  <c r="HT17" i="47"/>
  <c r="HS7" i="47"/>
  <c r="HS9" i="47"/>
  <c r="HS10" i="47"/>
  <c r="HS17" i="47"/>
  <c r="HR7" i="47"/>
  <c r="HR9" i="47"/>
  <c r="HR10" i="47"/>
  <c r="HR17" i="47"/>
  <c r="HQ7" i="47"/>
  <c r="HQ9" i="47"/>
  <c r="HQ10" i="47"/>
  <c r="HQ17" i="47"/>
  <c r="HP7" i="47"/>
  <c r="HP9" i="47"/>
  <c r="HP10" i="47"/>
  <c r="HP17" i="47"/>
  <c r="HO7" i="47"/>
  <c r="HO9" i="47"/>
  <c r="HO10" i="47"/>
  <c r="HO17" i="47"/>
  <c r="HN7" i="47"/>
  <c r="HN9" i="47"/>
  <c r="HN10" i="47"/>
  <c r="HN17" i="47"/>
  <c r="HM7" i="47"/>
  <c r="HM9" i="47"/>
  <c r="HM10" i="47"/>
  <c r="HM17" i="47"/>
  <c r="HL7" i="47"/>
  <c r="HL9" i="47"/>
  <c r="HL10" i="47"/>
  <c r="HL17" i="47"/>
  <c r="HK7" i="47"/>
  <c r="HK9" i="47"/>
  <c r="HK10" i="47"/>
  <c r="HK17" i="47"/>
  <c r="HJ7" i="47"/>
  <c r="HJ9" i="47"/>
  <c r="HJ10" i="47"/>
  <c r="HJ17" i="47"/>
  <c r="HI7" i="47"/>
  <c r="HI9" i="47"/>
  <c r="HI10" i="47"/>
  <c r="HI17" i="47"/>
  <c r="HH7" i="47"/>
  <c r="HH9" i="47"/>
  <c r="HH10" i="47"/>
  <c r="HH17" i="47"/>
  <c r="HG7" i="47"/>
  <c r="HG9" i="47"/>
  <c r="HG10" i="47"/>
  <c r="HG17" i="47"/>
  <c r="HF7" i="47"/>
  <c r="HF9" i="47"/>
  <c r="HF10" i="47"/>
  <c r="HF17" i="47"/>
  <c r="HE7" i="47"/>
  <c r="HE9" i="47"/>
  <c r="HE10" i="47"/>
  <c r="HE17" i="47"/>
  <c r="HD7" i="47"/>
  <c r="HD9" i="47"/>
  <c r="HD10" i="47"/>
  <c r="HD17" i="47"/>
  <c r="HC7" i="47"/>
  <c r="HC9" i="47"/>
  <c r="HC10" i="47"/>
  <c r="HC17" i="47"/>
  <c r="HB7" i="47"/>
  <c r="HB9" i="47"/>
  <c r="HB10" i="47"/>
  <c r="HB17" i="47"/>
  <c r="HA7" i="47"/>
  <c r="HA9" i="47"/>
  <c r="HA10" i="47"/>
  <c r="HA17" i="47"/>
  <c r="GZ7" i="47"/>
  <c r="GZ9" i="47"/>
  <c r="GZ10" i="47"/>
  <c r="GZ17" i="47"/>
  <c r="GY7" i="47"/>
  <c r="GY9" i="47"/>
  <c r="GY10" i="47"/>
  <c r="GY17" i="47"/>
  <c r="GX7" i="47"/>
  <c r="GX9" i="47"/>
  <c r="GX10" i="47"/>
  <c r="GX17" i="47"/>
  <c r="GW7" i="47"/>
  <c r="GW9" i="47"/>
  <c r="GW10" i="47"/>
  <c r="GW17" i="47"/>
  <c r="GV7" i="47"/>
  <c r="GV9" i="47"/>
  <c r="GV10" i="47"/>
  <c r="GV17" i="47"/>
  <c r="GU7" i="47"/>
  <c r="GU9" i="47"/>
  <c r="GU10" i="47"/>
  <c r="GU17" i="47"/>
  <c r="GT7" i="47"/>
  <c r="GT9" i="47"/>
  <c r="GT10" i="47"/>
  <c r="GT17" i="47"/>
  <c r="GS7" i="47"/>
  <c r="GS9" i="47"/>
  <c r="GS10" i="47"/>
  <c r="GS17" i="47"/>
  <c r="GR7" i="47"/>
  <c r="GR9" i="47"/>
  <c r="GR10" i="47"/>
  <c r="GR17" i="47"/>
  <c r="GQ7" i="47"/>
  <c r="GQ9" i="47"/>
  <c r="GQ10" i="47"/>
  <c r="GQ17" i="47"/>
  <c r="GP7" i="47"/>
  <c r="GP9" i="47"/>
  <c r="GP10" i="47"/>
  <c r="GP17" i="47"/>
  <c r="GO7" i="47"/>
  <c r="GO9" i="47"/>
  <c r="GO10" i="47"/>
  <c r="GO17" i="47"/>
  <c r="GN7" i="47"/>
  <c r="GN9" i="47"/>
  <c r="GN10" i="47"/>
  <c r="GN17" i="47"/>
  <c r="GM7" i="47"/>
  <c r="GM9" i="47"/>
  <c r="GM10" i="47"/>
  <c r="GM17" i="47"/>
  <c r="GL7" i="47"/>
  <c r="GL9" i="47"/>
  <c r="GL10" i="47"/>
  <c r="GL17" i="47"/>
  <c r="GK7" i="47"/>
  <c r="GK9" i="47"/>
  <c r="GK10" i="47"/>
  <c r="GK17" i="47"/>
  <c r="GJ7" i="47"/>
  <c r="GJ9" i="47"/>
  <c r="GJ10" i="47"/>
  <c r="GJ17" i="47"/>
  <c r="GI7" i="47"/>
  <c r="GI9" i="47"/>
  <c r="GI10" i="47"/>
  <c r="GI17" i="47"/>
  <c r="GH7" i="47"/>
  <c r="GH9" i="47"/>
  <c r="GH10" i="47"/>
  <c r="GH17" i="47"/>
  <c r="GG7" i="47"/>
  <c r="GG9" i="47"/>
  <c r="GG10" i="47"/>
  <c r="GG17" i="47"/>
  <c r="GF7" i="47"/>
  <c r="GF9" i="47"/>
  <c r="GF10" i="47"/>
  <c r="GF17" i="47"/>
  <c r="GE7" i="47"/>
  <c r="GE9" i="47"/>
  <c r="GE10" i="47"/>
  <c r="GE17" i="47"/>
  <c r="GD7" i="47"/>
  <c r="GD9" i="47"/>
  <c r="GD10" i="47"/>
  <c r="GD17" i="47"/>
  <c r="GC7" i="47"/>
  <c r="GC9" i="47"/>
  <c r="GC10" i="47"/>
  <c r="GC17" i="47"/>
  <c r="MB6" i="47"/>
  <c r="MC6" i="47"/>
  <c r="MD6" i="47"/>
  <c r="ME6" i="47"/>
  <c r="MF6" i="47"/>
  <c r="MG6" i="47"/>
  <c r="MH6" i="47"/>
  <c r="MI6" i="47"/>
  <c r="MJ6" i="47"/>
  <c r="MK6" i="47"/>
  <c r="ML6" i="47"/>
  <c r="MM6" i="47"/>
  <c r="MN6" i="47"/>
  <c r="MO6" i="47"/>
  <c r="MP6" i="47"/>
  <c r="MQ6" i="47"/>
  <c r="MR6" i="47"/>
  <c r="MS6" i="47"/>
  <c r="MT6" i="47"/>
  <c r="MU6" i="47"/>
  <c r="MV6" i="47"/>
  <c r="MW6" i="47"/>
  <c r="MX6" i="47"/>
  <c r="MY6" i="47"/>
  <c r="MZ6" i="47"/>
  <c r="NA6" i="47"/>
  <c r="NB6" i="47"/>
  <c r="NC6" i="47"/>
  <c r="ND6" i="47"/>
  <c r="NE6" i="47"/>
  <c r="NF6" i="47"/>
  <c r="NG6" i="47"/>
  <c r="NH6" i="47"/>
  <c r="NI6" i="47"/>
  <c r="NJ6" i="47"/>
  <c r="NK6" i="47"/>
  <c r="NL6" i="47"/>
  <c r="NM6" i="47"/>
  <c r="NN6" i="47"/>
  <c r="NO6" i="47"/>
  <c r="NP6" i="47"/>
  <c r="NQ6" i="47"/>
  <c r="NR6" i="47"/>
  <c r="NS6" i="47"/>
  <c r="NT6" i="47"/>
  <c r="NU6" i="47"/>
  <c r="NV6" i="47"/>
  <c r="NW6" i="47"/>
  <c r="NX6" i="47"/>
  <c r="NY6" i="47"/>
  <c r="NZ6" i="47"/>
  <c r="OA6" i="47"/>
  <c r="OB6" i="47"/>
  <c r="OC6" i="47"/>
  <c r="OD6" i="47"/>
  <c r="OE6" i="47"/>
  <c r="OF6" i="47"/>
  <c r="OG6" i="47"/>
  <c r="OH6" i="47"/>
  <c r="OI6" i="47"/>
  <c r="OJ6" i="47"/>
  <c r="OK6" i="47"/>
  <c r="OL6" i="47"/>
  <c r="OM6" i="47"/>
  <c r="ON6" i="47"/>
  <c r="OO6" i="47"/>
  <c r="OP6" i="47"/>
  <c r="OQ6" i="47"/>
  <c r="OR6" i="47"/>
  <c r="OS6" i="47"/>
  <c r="OT6" i="47"/>
  <c r="OU6" i="47"/>
  <c r="OV6" i="47"/>
  <c r="OW6" i="47"/>
  <c r="OX6" i="47"/>
  <c r="OY6" i="47"/>
  <c r="OZ6" i="47"/>
  <c r="PA6" i="47"/>
  <c r="PB6" i="47"/>
  <c r="PC6" i="47"/>
  <c r="PD6" i="47"/>
  <c r="PE6" i="47"/>
  <c r="PF6" i="47"/>
  <c r="PG6" i="47"/>
  <c r="PH6" i="47"/>
  <c r="PI6" i="47"/>
  <c r="PJ6" i="47"/>
  <c r="PK6" i="47"/>
  <c r="PL6" i="47"/>
  <c r="PM6" i="47"/>
  <c r="PN6" i="47"/>
  <c r="PO6" i="47"/>
  <c r="PP6" i="47"/>
  <c r="PQ6" i="47"/>
  <c r="PR6" i="47"/>
  <c r="PS6" i="47"/>
  <c r="PT6" i="47"/>
  <c r="PU6" i="47"/>
  <c r="PV6" i="47"/>
  <c r="PW6" i="47"/>
  <c r="PX6" i="47"/>
  <c r="PY6" i="47"/>
  <c r="PZ6" i="47"/>
  <c r="QA6" i="47"/>
  <c r="QB6" i="47"/>
  <c r="QC6" i="47"/>
  <c r="QD6" i="47"/>
  <c r="QE6" i="47"/>
  <c r="QF6" i="47"/>
  <c r="QG6" i="47"/>
  <c r="QH6" i="47"/>
  <c r="QI6" i="47"/>
  <c r="QJ6" i="47"/>
  <c r="QK6" i="47"/>
  <c r="QL6" i="47"/>
  <c r="QM6" i="47"/>
  <c r="QN6" i="47"/>
  <c r="QO6" i="47"/>
  <c r="QP6" i="47"/>
  <c r="QQ6" i="47"/>
  <c r="QR6" i="47"/>
  <c r="QS6" i="47"/>
  <c r="QT6" i="47"/>
  <c r="QU6" i="47"/>
  <c r="QV6" i="47"/>
  <c r="QW6" i="47"/>
  <c r="QX6" i="47"/>
  <c r="QY6" i="47"/>
  <c r="QZ6" i="47"/>
  <c r="RA6" i="47"/>
  <c r="RB6" i="47"/>
  <c r="RC6" i="47"/>
  <c r="RD6" i="47"/>
  <c r="RE6" i="47"/>
  <c r="RF6" i="47"/>
  <c r="RG6" i="47"/>
  <c r="RH6" i="47"/>
  <c r="RI6" i="47"/>
  <c r="RJ6" i="47"/>
  <c r="RK6" i="47"/>
  <c r="RL6" i="47"/>
  <c r="RM6" i="47"/>
  <c r="RN6" i="47"/>
  <c r="RO6" i="47"/>
  <c r="RP6" i="47"/>
  <c r="RP7" i="47"/>
  <c r="RP19" i="47"/>
  <c r="RP21" i="47"/>
  <c r="RO7" i="47"/>
  <c r="RO19" i="47"/>
  <c r="RO21" i="47"/>
  <c r="RN7" i="47"/>
  <c r="RN19" i="47"/>
  <c r="RN21" i="47"/>
  <c r="RM7" i="47"/>
  <c r="RM19" i="47"/>
  <c r="RM21" i="47"/>
  <c r="RL7" i="47"/>
  <c r="RL19" i="47"/>
  <c r="RL21" i="47"/>
  <c r="RK7" i="47"/>
  <c r="RK19" i="47"/>
  <c r="RK21" i="47"/>
  <c r="RJ7" i="47"/>
  <c r="RJ19" i="47"/>
  <c r="RJ21" i="47"/>
  <c r="RI7" i="47"/>
  <c r="RI19" i="47"/>
  <c r="RI21" i="47"/>
  <c r="RH7" i="47"/>
  <c r="RH19" i="47"/>
  <c r="RH21" i="47"/>
  <c r="RG7" i="47"/>
  <c r="RG19" i="47"/>
  <c r="RG21" i="47"/>
  <c r="RF7" i="47"/>
  <c r="RF19" i="47"/>
  <c r="RF21" i="47"/>
  <c r="RE7" i="47"/>
  <c r="RE19" i="47"/>
  <c r="RE21" i="47"/>
  <c r="RD7" i="47"/>
  <c r="RD19" i="47"/>
  <c r="RD21" i="47"/>
  <c r="RC7" i="47"/>
  <c r="RC19" i="47"/>
  <c r="RC21" i="47"/>
  <c r="RB7" i="47"/>
  <c r="RB19" i="47"/>
  <c r="RB21" i="47"/>
  <c r="RA7" i="47"/>
  <c r="RA19" i="47"/>
  <c r="RA21" i="47"/>
  <c r="QZ7" i="47"/>
  <c r="QZ19" i="47"/>
  <c r="QZ21" i="47"/>
  <c r="QY7" i="47"/>
  <c r="QY19" i="47"/>
  <c r="QY21" i="47"/>
  <c r="QX7" i="47"/>
  <c r="QX19" i="47"/>
  <c r="QX21" i="47"/>
  <c r="QW7" i="47"/>
  <c r="QW19" i="47"/>
  <c r="QW21" i="47"/>
  <c r="QV7" i="47"/>
  <c r="QV19" i="47"/>
  <c r="QV21" i="47"/>
  <c r="QU7" i="47"/>
  <c r="QU19" i="47"/>
  <c r="QU21" i="47"/>
  <c r="QT7" i="47"/>
  <c r="QT19" i="47"/>
  <c r="QT21" i="47"/>
  <c r="QS7" i="47"/>
  <c r="QS19" i="47"/>
  <c r="QS21" i="47"/>
  <c r="QR7" i="47"/>
  <c r="QR19" i="47"/>
  <c r="QR21" i="47"/>
  <c r="QQ7" i="47"/>
  <c r="QQ19" i="47"/>
  <c r="QQ21" i="47"/>
  <c r="QP7" i="47"/>
  <c r="QP19" i="47"/>
  <c r="QP21" i="47"/>
  <c r="QO7" i="47"/>
  <c r="QO19" i="47"/>
  <c r="QO21" i="47"/>
  <c r="QN7" i="47"/>
  <c r="QN19" i="47"/>
  <c r="QN21" i="47"/>
  <c r="QM7" i="47"/>
  <c r="QM19" i="47"/>
  <c r="QM21" i="47"/>
  <c r="QL7" i="47"/>
  <c r="QL19" i="47"/>
  <c r="QL21" i="47"/>
  <c r="QK7" i="47"/>
  <c r="QK19" i="47"/>
  <c r="QK21" i="47"/>
  <c r="QJ7" i="47"/>
  <c r="QJ19" i="47"/>
  <c r="QJ21" i="47"/>
  <c r="QI7" i="47"/>
  <c r="QI19" i="47"/>
  <c r="QI21" i="47"/>
  <c r="QH7" i="47"/>
  <c r="QH19" i="47"/>
  <c r="QH21" i="47"/>
  <c r="QG7" i="47"/>
  <c r="QG19" i="47"/>
  <c r="QG21" i="47"/>
  <c r="QF7" i="47"/>
  <c r="QF19" i="47"/>
  <c r="QF21" i="47"/>
  <c r="QE7" i="47"/>
  <c r="QE19" i="47"/>
  <c r="QE21" i="47"/>
  <c r="QD7" i="47"/>
  <c r="QD19" i="47"/>
  <c r="QD21" i="47"/>
  <c r="QC7" i="47"/>
  <c r="QC19" i="47"/>
  <c r="QC21" i="47"/>
  <c r="QB7" i="47"/>
  <c r="QB19" i="47"/>
  <c r="QB21" i="47"/>
  <c r="QA7" i="47"/>
  <c r="QA19" i="47"/>
  <c r="QA21" i="47"/>
  <c r="PZ7" i="47"/>
  <c r="PZ19" i="47"/>
  <c r="PZ21" i="47"/>
  <c r="PY7" i="47"/>
  <c r="PY19" i="47"/>
  <c r="PY21" i="47"/>
  <c r="PX7" i="47"/>
  <c r="PX19" i="47"/>
  <c r="PX21" i="47"/>
  <c r="PW7" i="47"/>
  <c r="PW19" i="47"/>
  <c r="PW21" i="47"/>
  <c r="PV7" i="47"/>
  <c r="PV19" i="47"/>
  <c r="PV21" i="47"/>
  <c r="PU7" i="47"/>
  <c r="PU19" i="47"/>
  <c r="PU21" i="47"/>
  <c r="PT7" i="47"/>
  <c r="PT19" i="47"/>
  <c r="PT21" i="47"/>
  <c r="PS7" i="47"/>
  <c r="PS19" i="47"/>
  <c r="PS21" i="47"/>
  <c r="PR7" i="47"/>
  <c r="PR19" i="47"/>
  <c r="PR21" i="47"/>
  <c r="PQ7" i="47"/>
  <c r="PQ19" i="47"/>
  <c r="PQ21" i="47"/>
  <c r="PP7" i="47"/>
  <c r="PP19" i="47"/>
  <c r="PP21" i="47"/>
  <c r="PO7" i="47"/>
  <c r="PO19" i="47"/>
  <c r="PO21" i="47"/>
  <c r="PN7" i="47"/>
  <c r="PN19" i="47"/>
  <c r="PN21" i="47"/>
  <c r="PM7" i="47"/>
  <c r="PM19" i="47"/>
  <c r="PM21" i="47"/>
  <c r="PL7" i="47"/>
  <c r="PL19" i="47"/>
  <c r="PL21" i="47"/>
  <c r="PK7" i="47"/>
  <c r="PK19" i="47"/>
  <c r="PK21" i="47"/>
  <c r="PJ7" i="47"/>
  <c r="PJ19" i="47"/>
  <c r="PJ21" i="47"/>
  <c r="PI7" i="47"/>
  <c r="PI19" i="47"/>
  <c r="PI21" i="47"/>
  <c r="PH7" i="47"/>
  <c r="PH19" i="47"/>
  <c r="PH21" i="47"/>
  <c r="PG7" i="47"/>
  <c r="PG19" i="47"/>
  <c r="PG21" i="47"/>
  <c r="PF7" i="47"/>
  <c r="PF19" i="47"/>
  <c r="PF21" i="47"/>
  <c r="PE7" i="47"/>
  <c r="PE19" i="47"/>
  <c r="PE21" i="47"/>
  <c r="PD7" i="47"/>
  <c r="PD19" i="47"/>
  <c r="PD21" i="47"/>
  <c r="PC7" i="47"/>
  <c r="PC19" i="47"/>
  <c r="PC21" i="47"/>
  <c r="PB7" i="47"/>
  <c r="PB19" i="47"/>
  <c r="PB21" i="47"/>
  <c r="PA7" i="47"/>
  <c r="PA19" i="47"/>
  <c r="PA21" i="47"/>
  <c r="OZ7" i="47"/>
  <c r="OZ19" i="47"/>
  <c r="OZ21" i="47"/>
  <c r="OY7" i="47"/>
  <c r="OY19" i="47"/>
  <c r="OY21" i="47"/>
  <c r="OX7" i="47"/>
  <c r="OX19" i="47"/>
  <c r="OX21" i="47"/>
  <c r="OW7" i="47"/>
  <c r="OW19" i="47"/>
  <c r="OW21" i="47"/>
  <c r="OV7" i="47"/>
  <c r="OV19" i="47"/>
  <c r="OV21" i="47"/>
  <c r="OU7" i="47"/>
  <c r="OU19" i="47"/>
  <c r="OU21" i="47"/>
  <c r="OT7" i="47"/>
  <c r="OT19" i="47"/>
  <c r="OT21" i="47"/>
  <c r="OS7" i="47"/>
  <c r="OS19" i="47"/>
  <c r="OS21" i="47"/>
  <c r="OR7" i="47"/>
  <c r="OR19" i="47"/>
  <c r="OR21" i="47"/>
  <c r="OQ7" i="47"/>
  <c r="OQ19" i="47"/>
  <c r="OQ21" i="47"/>
  <c r="OP7" i="47"/>
  <c r="OP19" i="47"/>
  <c r="OP21" i="47"/>
  <c r="OO7" i="47"/>
  <c r="OO19" i="47"/>
  <c r="OO21" i="47"/>
  <c r="ON7" i="47"/>
  <c r="ON19" i="47"/>
  <c r="ON21" i="47"/>
  <c r="OM7" i="47"/>
  <c r="OM19" i="47"/>
  <c r="OM21" i="47"/>
  <c r="OL7" i="47"/>
  <c r="OL19" i="47"/>
  <c r="OL21" i="47"/>
  <c r="OK7" i="47"/>
  <c r="OK19" i="47"/>
  <c r="OK21" i="47"/>
  <c r="OJ7" i="47"/>
  <c r="OJ19" i="47"/>
  <c r="OJ21" i="47"/>
  <c r="OI7" i="47"/>
  <c r="OI19" i="47"/>
  <c r="OI21" i="47"/>
  <c r="OH7" i="47"/>
  <c r="OH19" i="47"/>
  <c r="OH21" i="47"/>
  <c r="OG7" i="47"/>
  <c r="OG19" i="47"/>
  <c r="OG21" i="47"/>
  <c r="OF7" i="47"/>
  <c r="OF19" i="47"/>
  <c r="OF21" i="47"/>
  <c r="OE7" i="47"/>
  <c r="OE19" i="47"/>
  <c r="OE21" i="47"/>
  <c r="OD7" i="47"/>
  <c r="OD19" i="47"/>
  <c r="OD21" i="47"/>
  <c r="OC7" i="47"/>
  <c r="OC19" i="47"/>
  <c r="OC21" i="47"/>
  <c r="OB7" i="47"/>
  <c r="OB19" i="47"/>
  <c r="OB21" i="47"/>
  <c r="OA7" i="47"/>
  <c r="OA19" i="47"/>
  <c r="OA21" i="47"/>
  <c r="NZ7" i="47"/>
  <c r="NZ19" i="47"/>
  <c r="NZ21" i="47"/>
  <c r="NY7" i="47"/>
  <c r="NY19" i="47"/>
  <c r="NY21" i="47"/>
  <c r="NX7" i="47"/>
  <c r="NX19" i="47"/>
  <c r="NX21" i="47"/>
  <c r="NW7" i="47"/>
  <c r="NW19" i="47"/>
  <c r="NW21" i="47"/>
  <c r="NV7" i="47"/>
  <c r="NV19" i="47"/>
  <c r="NV21" i="47"/>
  <c r="NU7" i="47"/>
  <c r="NU19" i="47"/>
  <c r="NU21" i="47"/>
  <c r="NT7" i="47"/>
  <c r="NT19" i="47"/>
  <c r="NT21" i="47"/>
  <c r="NS7" i="47"/>
  <c r="NS19" i="47"/>
  <c r="NS21" i="47"/>
  <c r="NR7" i="47"/>
  <c r="NR19" i="47"/>
  <c r="NR21" i="47"/>
  <c r="NQ7" i="47"/>
  <c r="NQ19" i="47"/>
  <c r="NQ21" i="47"/>
  <c r="NP7" i="47"/>
  <c r="NP19" i="47"/>
  <c r="NP21" i="47"/>
  <c r="NO7" i="47"/>
  <c r="NO19" i="47"/>
  <c r="NO21" i="47"/>
  <c r="NN7" i="47"/>
  <c r="NN19" i="47"/>
  <c r="NN21" i="47"/>
  <c r="NM7" i="47"/>
  <c r="NM19" i="47"/>
  <c r="NM21" i="47"/>
  <c r="NL7" i="47"/>
  <c r="NL19" i="47"/>
  <c r="NL21" i="47"/>
  <c r="NK7" i="47"/>
  <c r="NK19" i="47"/>
  <c r="NK21" i="47"/>
  <c r="NJ7" i="47"/>
  <c r="NJ19" i="47"/>
  <c r="NJ21" i="47"/>
  <c r="NI7" i="47"/>
  <c r="NI19" i="47"/>
  <c r="NI21" i="47"/>
  <c r="NH7" i="47"/>
  <c r="NH19" i="47"/>
  <c r="NH21" i="47"/>
  <c r="NG7" i="47"/>
  <c r="NG19" i="47"/>
  <c r="NG21" i="47"/>
  <c r="NF7" i="47"/>
  <c r="NF19" i="47"/>
  <c r="NF21" i="47"/>
  <c r="NE7" i="47"/>
  <c r="NE19" i="47"/>
  <c r="NE21" i="47"/>
  <c r="ND7" i="47"/>
  <c r="ND19" i="47"/>
  <c r="ND21" i="47"/>
  <c r="NC7" i="47"/>
  <c r="NC19" i="47"/>
  <c r="NC21" i="47"/>
  <c r="NB7" i="47"/>
  <c r="NB19" i="47"/>
  <c r="NB21" i="47"/>
  <c r="NA7" i="47"/>
  <c r="NA19" i="47"/>
  <c r="NA21" i="47"/>
  <c r="MZ7" i="47"/>
  <c r="MZ19" i="47"/>
  <c r="MZ21" i="47"/>
  <c r="MY7" i="47"/>
  <c r="MY19" i="47"/>
  <c r="MY21" i="47"/>
  <c r="MX7" i="47"/>
  <c r="MX19" i="47"/>
  <c r="MX21" i="47"/>
  <c r="MW7" i="47"/>
  <c r="MW19" i="47"/>
  <c r="MW21" i="47"/>
  <c r="MV7" i="47"/>
  <c r="MV19" i="47"/>
  <c r="MV21" i="47"/>
  <c r="MU7" i="47"/>
  <c r="MU19" i="47"/>
  <c r="MU21" i="47"/>
  <c r="MT7" i="47"/>
  <c r="MT19" i="47"/>
  <c r="MT21" i="47"/>
  <c r="MS7" i="47"/>
  <c r="MS19" i="47"/>
  <c r="MS21" i="47"/>
  <c r="MR7" i="47"/>
  <c r="MR19" i="47"/>
  <c r="MR21" i="47"/>
  <c r="MQ7" i="47"/>
  <c r="MQ19" i="47"/>
  <c r="MQ21" i="47"/>
  <c r="MP7" i="47"/>
  <c r="MP19" i="47"/>
  <c r="MP21" i="47"/>
  <c r="MO7" i="47"/>
  <c r="MO19" i="47"/>
  <c r="MO21" i="47"/>
  <c r="MN7" i="47"/>
  <c r="MN19" i="47"/>
  <c r="MN21" i="47"/>
  <c r="MM7" i="47"/>
  <c r="MM19" i="47"/>
  <c r="MM21" i="47"/>
  <c r="ML7" i="47"/>
  <c r="ML19" i="47"/>
  <c r="ML21" i="47"/>
  <c r="MK7" i="47"/>
  <c r="MK19" i="47"/>
  <c r="MK21" i="47"/>
  <c r="MJ7" i="47"/>
  <c r="MJ19" i="47"/>
  <c r="MJ21" i="47"/>
  <c r="MI7" i="47"/>
  <c r="MI19" i="47"/>
  <c r="MI21" i="47"/>
  <c r="MH7" i="47"/>
  <c r="MH19" i="47"/>
  <c r="MH21" i="47"/>
  <c r="MG7" i="47"/>
  <c r="MG19" i="47"/>
  <c r="MG21" i="47"/>
  <c r="MF7" i="47"/>
  <c r="MF19" i="47"/>
  <c r="MF21" i="47"/>
  <c r="ME7" i="47"/>
  <c r="ME19" i="47"/>
  <c r="ME21" i="47"/>
  <c r="MD7" i="47"/>
  <c r="MD19" i="47"/>
  <c r="MD21" i="47"/>
  <c r="MC7" i="47"/>
  <c r="MC19" i="47"/>
  <c r="MC21" i="47"/>
  <c r="MB7" i="47"/>
  <c r="MB12" i="47"/>
  <c r="MB9" i="47"/>
  <c r="MB10" i="47"/>
  <c r="MB13" i="47"/>
  <c r="MB19" i="47"/>
  <c r="MB21" i="47"/>
  <c r="MA12" i="47"/>
  <c r="MA13" i="47"/>
  <c r="MA19" i="47"/>
  <c r="MA21" i="47"/>
  <c r="LZ12" i="47"/>
  <c r="LZ13" i="47"/>
  <c r="LZ19" i="47"/>
  <c r="LZ21" i="47"/>
  <c r="LY12" i="47"/>
  <c r="LY13" i="47"/>
  <c r="LY19" i="47"/>
  <c r="LY21" i="47"/>
  <c r="LX12" i="47"/>
  <c r="LX13" i="47"/>
  <c r="LX19" i="47"/>
  <c r="LX21" i="47"/>
  <c r="LW12" i="47"/>
  <c r="LW13" i="47"/>
  <c r="LW19" i="47"/>
  <c r="LW21" i="47"/>
  <c r="LV12" i="47"/>
  <c r="LV13" i="47"/>
  <c r="LV19" i="47"/>
  <c r="LV21" i="47"/>
  <c r="LU12" i="47"/>
  <c r="LU13" i="47"/>
  <c r="LU19" i="47"/>
  <c r="LU21" i="47"/>
  <c r="LT12" i="47"/>
  <c r="LT13" i="47"/>
  <c r="LT19" i="47"/>
  <c r="LT21" i="47"/>
  <c r="LS12" i="47"/>
  <c r="LS13" i="47"/>
  <c r="LS19" i="47"/>
  <c r="LS21" i="47"/>
  <c r="LR12" i="47"/>
  <c r="LR13" i="47"/>
  <c r="LR19" i="47"/>
  <c r="LR21" i="47"/>
  <c r="LQ12" i="47"/>
  <c r="LQ13" i="47"/>
  <c r="LQ19" i="47"/>
  <c r="LQ21" i="47"/>
  <c r="LP12" i="47"/>
  <c r="LP13" i="47"/>
  <c r="LP19" i="47"/>
  <c r="LP21" i="47"/>
  <c r="LO12" i="47"/>
  <c r="LO13" i="47"/>
  <c r="LO19" i="47"/>
  <c r="LO21" i="47"/>
  <c r="LN12" i="47"/>
  <c r="LN13" i="47"/>
  <c r="LN19" i="47"/>
  <c r="LN21" i="47"/>
  <c r="LM12" i="47"/>
  <c r="LM13" i="47"/>
  <c r="LM19" i="47"/>
  <c r="LM21" i="47"/>
  <c r="LL12" i="47"/>
  <c r="LL13" i="47"/>
  <c r="LL19" i="47"/>
  <c r="LL21" i="47"/>
  <c r="LK12" i="47"/>
  <c r="LK13" i="47"/>
  <c r="LK19" i="47"/>
  <c r="LK21" i="47"/>
  <c r="LJ12" i="47"/>
  <c r="LJ13" i="47"/>
  <c r="LJ19" i="47"/>
  <c r="LJ21" i="47"/>
  <c r="LI12" i="47"/>
  <c r="LI13" i="47"/>
  <c r="LI19" i="47"/>
  <c r="LI21" i="47"/>
  <c r="LH12" i="47"/>
  <c r="LH13" i="47"/>
  <c r="LH19" i="47"/>
  <c r="LH21" i="47"/>
  <c r="LG12" i="47"/>
  <c r="LG13" i="47"/>
  <c r="LG19" i="47"/>
  <c r="LG21" i="47"/>
  <c r="LF12" i="47"/>
  <c r="LF13" i="47"/>
  <c r="LF19" i="47"/>
  <c r="LF21" i="47"/>
  <c r="LE12" i="47"/>
  <c r="LE13" i="47"/>
  <c r="LE19" i="47"/>
  <c r="LE21" i="47"/>
  <c r="LD12" i="47"/>
  <c r="LD13" i="47"/>
  <c r="LD21" i="47"/>
  <c r="LC12" i="47"/>
  <c r="LC13" i="47"/>
  <c r="LC21" i="47"/>
  <c r="LB12" i="47"/>
  <c r="LB13" i="47"/>
  <c r="LB21" i="47"/>
  <c r="LA12" i="47"/>
  <c r="LA13" i="47"/>
  <c r="LA21" i="47"/>
  <c r="KZ12" i="47"/>
  <c r="KZ13" i="47"/>
  <c r="KZ21" i="47"/>
  <c r="KY12" i="47"/>
  <c r="KY13" i="47"/>
  <c r="KY21" i="47"/>
  <c r="KX12" i="47"/>
  <c r="KX13" i="47"/>
  <c r="KX21" i="47"/>
  <c r="KW12" i="47"/>
  <c r="KW13" i="47"/>
  <c r="KW21" i="47"/>
  <c r="KV12" i="47"/>
  <c r="KV13" i="47"/>
  <c r="KV21" i="47"/>
  <c r="KU12" i="47"/>
  <c r="KU13" i="47"/>
  <c r="KU21" i="47"/>
  <c r="KT12" i="47"/>
  <c r="KT13" i="47"/>
  <c r="KT21" i="47"/>
  <c r="KS12" i="47"/>
  <c r="KS13" i="47"/>
  <c r="KS21" i="47"/>
  <c r="KR12" i="47"/>
  <c r="KR13" i="47"/>
  <c r="KR21" i="47"/>
  <c r="KQ12" i="47"/>
  <c r="KQ13" i="47"/>
  <c r="KQ21" i="47"/>
  <c r="KP12" i="47"/>
  <c r="KP13" i="47"/>
  <c r="KP21" i="47"/>
  <c r="KO12" i="47"/>
  <c r="KO13" i="47"/>
  <c r="KO21" i="47"/>
  <c r="KN12" i="47"/>
  <c r="KN13" i="47"/>
  <c r="KN21" i="47"/>
  <c r="KM12" i="47"/>
  <c r="KM13" i="47"/>
  <c r="KM21" i="47"/>
  <c r="KL12" i="47"/>
  <c r="KL13" i="47"/>
  <c r="KL21" i="47"/>
  <c r="KK12" i="47"/>
  <c r="KK13" i="47"/>
  <c r="KK21" i="47"/>
  <c r="KJ12" i="47"/>
  <c r="KJ13" i="47"/>
  <c r="KJ21" i="47"/>
  <c r="KI12" i="47"/>
  <c r="KI13" i="47"/>
  <c r="KI21" i="47"/>
  <c r="KH12" i="47"/>
  <c r="KH13" i="47"/>
  <c r="KH21" i="47"/>
  <c r="KG12" i="47"/>
  <c r="KG13" i="47"/>
  <c r="KG21" i="47"/>
  <c r="KF12" i="47"/>
  <c r="KF13" i="47"/>
  <c r="KF21" i="47"/>
  <c r="KE12" i="47"/>
  <c r="KE13" i="47"/>
  <c r="KE21" i="47"/>
  <c r="KD12" i="47"/>
  <c r="KD13" i="47"/>
  <c r="KD21" i="47"/>
  <c r="KC12" i="47"/>
  <c r="KC13" i="47"/>
  <c r="KC21" i="47"/>
  <c r="KB12" i="47"/>
  <c r="KB13" i="47"/>
  <c r="KB21" i="47"/>
  <c r="KA12" i="47"/>
  <c r="KA13" i="47"/>
  <c r="KA21" i="47"/>
  <c r="JZ12" i="47"/>
  <c r="JZ13" i="47"/>
  <c r="JZ21" i="47"/>
  <c r="JY12" i="47"/>
  <c r="JY13" i="47"/>
  <c r="JY21" i="47"/>
  <c r="JX12" i="47"/>
  <c r="JX13" i="47"/>
  <c r="JX21" i="47"/>
  <c r="JW12" i="47"/>
  <c r="JW13" i="47"/>
  <c r="JW21" i="47"/>
  <c r="JV12" i="47"/>
  <c r="JV13" i="47"/>
  <c r="JV21" i="47"/>
  <c r="JU12" i="47"/>
  <c r="JU13" i="47"/>
  <c r="JU21" i="47"/>
  <c r="JT12" i="47"/>
  <c r="JT13" i="47"/>
  <c r="JT21" i="47"/>
  <c r="JS12" i="47"/>
  <c r="JS13" i="47"/>
  <c r="JS21" i="47"/>
  <c r="JR12" i="47"/>
  <c r="JR13" i="47"/>
  <c r="JR21" i="47"/>
  <c r="JQ12" i="47"/>
  <c r="JQ13" i="47"/>
  <c r="JQ21" i="47"/>
  <c r="JP12" i="47"/>
  <c r="JP13" i="47"/>
  <c r="JP21" i="47"/>
  <c r="JO12" i="47"/>
  <c r="JO13" i="47"/>
  <c r="JO21" i="47"/>
  <c r="JN12" i="47"/>
  <c r="JN13" i="47"/>
  <c r="JN21" i="47"/>
  <c r="JM12" i="47"/>
  <c r="JM13" i="47"/>
  <c r="JM21" i="47"/>
  <c r="JL12" i="47"/>
  <c r="JL13" i="47"/>
  <c r="JL21" i="47"/>
  <c r="JK12" i="47"/>
  <c r="JK13" i="47"/>
  <c r="JK21" i="47"/>
  <c r="JJ12" i="47"/>
  <c r="JJ13" i="47"/>
  <c r="JJ21" i="47"/>
  <c r="JI12" i="47"/>
  <c r="JI13" i="47"/>
  <c r="JI21" i="47"/>
  <c r="JH12" i="47"/>
  <c r="JH13" i="47"/>
  <c r="JH21" i="47"/>
  <c r="JG12" i="47"/>
  <c r="JG13" i="47"/>
  <c r="JG21" i="47"/>
  <c r="JF12" i="47"/>
  <c r="JF13" i="47"/>
  <c r="JF21" i="47"/>
  <c r="JE12" i="47"/>
  <c r="JE13" i="47"/>
  <c r="JE21" i="47"/>
  <c r="JD12" i="47"/>
  <c r="JD13" i="47"/>
  <c r="JD21" i="47"/>
  <c r="JC12" i="47"/>
  <c r="JC13" i="47"/>
  <c r="JC21" i="47"/>
  <c r="JB12" i="47"/>
  <c r="JB13" i="47"/>
  <c r="JB21" i="47"/>
  <c r="JA12" i="47"/>
  <c r="JA13" i="47"/>
  <c r="JA21" i="47"/>
  <c r="IZ12" i="47"/>
  <c r="IZ13" i="47"/>
  <c r="IZ21" i="47"/>
  <c r="IY12" i="47"/>
  <c r="IY13" i="47"/>
  <c r="IY21" i="47"/>
  <c r="IX12" i="47"/>
  <c r="IX13" i="47"/>
  <c r="IX21" i="47"/>
  <c r="IW12" i="47"/>
  <c r="IW13" i="47"/>
  <c r="IW21" i="47"/>
  <c r="IV12" i="47"/>
  <c r="IV13" i="47"/>
  <c r="IV21" i="47"/>
  <c r="IU12" i="47"/>
  <c r="IU13" i="47"/>
  <c r="IU21" i="47"/>
  <c r="IT12" i="47"/>
  <c r="IT13" i="47"/>
  <c r="IT21" i="47"/>
  <c r="IS12" i="47"/>
  <c r="IS13" i="47"/>
  <c r="IS21" i="47"/>
  <c r="IR12" i="47"/>
  <c r="IR13" i="47"/>
  <c r="IR21" i="47"/>
  <c r="IQ12" i="47"/>
  <c r="IQ13" i="47"/>
  <c r="IQ21" i="47"/>
  <c r="IP12" i="47"/>
  <c r="IP13" i="47"/>
  <c r="IP21" i="47"/>
  <c r="IO12" i="47"/>
  <c r="IO13" i="47"/>
  <c r="IO21" i="47"/>
  <c r="IN12" i="47"/>
  <c r="IN13" i="47"/>
  <c r="IN21" i="47"/>
  <c r="IM12" i="47"/>
  <c r="IM13" i="47"/>
  <c r="IM21" i="47"/>
  <c r="IL12" i="47"/>
  <c r="IL13" i="47"/>
  <c r="IL21" i="47"/>
  <c r="IK12" i="47"/>
  <c r="IK13" i="47"/>
  <c r="IK21" i="47"/>
  <c r="IJ12" i="47"/>
  <c r="IJ13" i="47"/>
  <c r="IJ21" i="47"/>
  <c r="II12" i="47"/>
  <c r="II13" i="47"/>
  <c r="II21" i="47"/>
  <c r="IH12" i="47"/>
  <c r="IH13" i="47"/>
  <c r="IH21" i="47"/>
  <c r="IG12" i="47"/>
  <c r="IG13" i="47"/>
  <c r="IG21" i="47"/>
  <c r="IF12" i="47"/>
  <c r="IF13" i="47"/>
  <c r="IF21" i="47"/>
  <c r="IE12" i="47"/>
  <c r="IE13" i="47"/>
  <c r="IE21" i="47"/>
  <c r="ID12" i="47"/>
  <c r="ID13" i="47"/>
  <c r="ID21" i="47"/>
  <c r="IC12" i="47"/>
  <c r="IC13" i="47"/>
  <c r="IC21" i="47"/>
  <c r="IB12" i="47"/>
  <c r="IB13" i="47"/>
  <c r="IB21" i="47"/>
  <c r="IA12" i="47"/>
  <c r="IA13" i="47"/>
  <c r="IA21" i="47"/>
  <c r="HZ12" i="47"/>
  <c r="HZ13" i="47"/>
  <c r="HZ21" i="47"/>
  <c r="HY12" i="47"/>
  <c r="HY13" i="47"/>
  <c r="HY21" i="47"/>
  <c r="HX12" i="47"/>
  <c r="HX13" i="47"/>
  <c r="HX21" i="47"/>
  <c r="HW12" i="47"/>
  <c r="HW13" i="47"/>
  <c r="HW21" i="47"/>
  <c r="HV12" i="47"/>
  <c r="HV13" i="47"/>
  <c r="HV21" i="47"/>
  <c r="HU12" i="47"/>
  <c r="HU13" i="47"/>
  <c r="HU21" i="47"/>
  <c r="HT12" i="47"/>
  <c r="HT13" i="47"/>
  <c r="HT21" i="47"/>
  <c r="HS12" i="47"/>
  <c r="HS13" i="47"/>
  <c r="HS21" i="47"/>
  <c r="HR12" i="47"/>
  <c r="HR13" i="47"/>
  <c r="HR21" i="47"/>
  <c r="HQ12" i="47"/>
  <c r="HQ13" i="47"/>
  <c r="HQ21" i="47"/>
  <c r="HP12" i="47"/>
  <c r="HP13" i="47"/>
  <c r="HP21" i="47"/>
  <c r="HO12" i="47"/>
  <c r="HO13" i="47"/>
  <c r="HO21" i="47"/>
  <c r="HN12" i="47"/>
  <c r="HN13" i="47"/>
  <c r="HN21" i="47"/>
  <c r="HM12" i="47"/>
  <c r="HM13" i="47"/>
  <c r="HM21" i="47"/>
  <c r="HL12" i="47"/>
  <c r="HL13" i="47"/>
  <c r="HL21" i="47"/>
  <c r="HK12" i="47"/>
  <c r="HK13" i="47"/>
  <c r="HK21" i="47"/>
  <c r="HJ12" i="47"/>
  <c r="HJ13" i="47"/>
  <c r="HJ21" i="47"/>
  <c r="HI12" i="47"/>
  <c r="HI13" i="47"/>
  <c r="HI21" i="47"/>
  <c r="HH12" i="47"/>
  <c r="HH13" i="47"/>
  <c r="HH21" i="47"/>
  <c r="HG12" i="47"/>
  <c r="HG13" i="47"/>
  <c r="HG21" i="47"/>
  <c r="HF12" i="47"/>
  <c r="HF13" i="47"/>
  <c r="HF21" i="47"/>
  <c r="HE12" i="47"/>
  <c r="HE13" i="47"/>
  <c r="HE21" i="47"/>
  <c r="HD12" i="47"/>
  <c r="HD13" i="47"/>
  <c r="HD21" i="47"/>
  <c r="HC12" i="47"/>
  <c r="HC13" i="47"/>
  <c r="HC21" i="47"/>
  <c r="HB12" i="47"/>
  <c r="HB13" i="47"/>
  <c r="HB21" i="47"/>
  <c r="HA12" i="47"/>
  <c r="HA13" i="47"/>
  <c r="HA21" i="47"/>
  <c r="GZ12" i="47"/>
  <c r="GZ13" i="47"/>
  <c r="GZ21" i="47"/>
  <c r="GY12" i="47"/>
  <c r="GY13" i="47"/>
  <c r="GY21" i="47"/>
  <c r="GX12" i="47"/>
  <c r="GX13" i="47"/>
  <c r="GX21" i="47"/>
  <c r="GW12" i="47"/>
  <c r="GW13" i="47"/>
  <c r="GW21" i="47"/>
  <c r="GV12" i="47"/>
  <c r="GV13" i="47"/>
  <c r="GV21" i="47"/>
  <c r="GU12" i="47"/>
  <c r="GU13" i="47"/>
  <c r="GU21" i="47"/>
  <c r="GT12" i="47"/>
  <c r="GT13" i="47"/>
  <c r="GT21" i="47"/>
  <c r="GS12" i="47"/>
  <c r="GS13" i="47"/>
  <c r="GS21" i="47"/>
  <c r="GR12" i="47"/>
  <c r="GR13" i="47"/>
  <c r="GR21" i="47"/>
  <c r="GQ12" i="47"/>
  <c r="GQ13" i="47"/>
  <c r="GQ21" i="47"/>
  <c r="GP12" i="47"/>
  <c r="GP13" i="47"/>
  <c r="GP21" i="47"/>
  <c r="GO12" i="47"/>
  <c r="GO13" i="47"/>
  <c r="GO21" i="47"/>
  <c r="GN12" i="47"/>
  <c r="GN13" i="47"/>
  <c r="GN21" i="47"/>
  <c r="GM12" i="47"/>
  <c r="GM13" i="47"/>
  <c r="GM21" i="47"/>
  <c r="GL12" i="47"/>
  <c r="GL13" i="47"/>
  <c r="GL21" i="47"/>
  <c r="GK12" i="47"/>
  <c r="GK13" i="47"/>
  <c r="GK21" i="47"/>
  <c r="GJ12" i="47"/>
  <c r="GJ13" i="47"/>
  <c r="GJ21" i="47"/>
  <c r="GI12" i="47"/>
  <c r="GI13" i="47"/>
  <c r="GI21" i="47"/>
  <c r="GH12" i="47"/>
  <c r="GH13" i="47"/>
  <c r="GH21" i="47"/>
  <c r="GG12" i="47"/>
  <c r="GG13" i="47"/>
  <c r="GG21" i="47"/>
  <c r="GF12" i="47"/>
  <c r="GF13" i="47"/>
  <c r="GF21" i="47"/>
  <c r="GE12" i="47"/>
  <c r="GE13" i="47"/>
  <c r="GE21" i="47"/>
  <c r="GD12" i="47"/>
  <c r="GD13" i="47"/>
  <c r="GD21" i="47"/>
  <c r="GC12" i="47"/>
  <c r="GC13" i="47"/>
  <c r="GC21" i="47"/>
  <c r="GB7" i="47"/>
  <c r="GB12" i="47"/>
  <c r="GB9" i="47"/>
  <c r="GB10" i="47"/>
  <c r="GB13" i="47"/>
  <c r="GB21" i="47"/>
  <c r="GA7" i="47"/>
  <c r="GA12" i="47"/>
  <c r="GA9" i="47"/>
  <c r="GA10" i="47"/>
  <c r="GA13" i="47"/>
  <c r="GA21" i="47"/>
  <c r="FZ7" i="47"/>
  <c r="FZ12" i="47"/>
  <c r="FZ9" i="47"/>
  <c r="FZ10" i="47"/>
  <c r="FZ13" i="47"/>
  <c r="FZ21" i="47"/>
  <c r="FY7" i="47"/>
  <c r="FY12" i="47"/>
  <c r="FY9" i="47"/>
  <c r="FY10" i="47"/>
  <c r="FY13" i="47"/>
  <c r="FY21" i="47"/>
  <c r="FX7" i="47"/>
  <c r="FX12" i="47"/>
  <c r="FX9" i="47"/>
  <c r="FX10" i="47"/>
  <c r="FX13" i="47"/>
  <c r="FX21" i="47"/>
  <c r="FW7" i="47"/>
  <c r="FW12" i="47"/>
  <c r="FW9" i="47"/>
  <c r="FW10" i="47"/>
  <c r="FW13" i="47"/>
  <c r="FW21" i="47"/>
  <c r="FV7" i="47"/>
  <c r="FV12" i="47"/>
  <c r="FV9" i="47"/>
  <c r="FV10" i="47"/>
  <c r="FV13" i="47"/>
  <c r="FV21" i="47"/>
  <c r="FU7" i="47"/>
  <c r="FU12" i="47"/>
  <c r="FU9" i="47"/>
  <c r="FU10" i="47"/>
  <c r="FU13" i="47"/>
  <c r="FU21" i="47"/>
  <c r="FT7" i="47"/>
  <c r="FT12" i="47"/>
  <c r="FT9" i="47"/>
  <c r="FT10" i="47"/>
  <c r="FT13" i="47"/>
  <c r="FT21" i="47"/>
  <c r="FS7" i="47"/>
  <c r="FS12" i="47"/>
  <c r="FS9" i="47"/>
  <c r="FS10" i="47"/>
  <c r="FS13" i="47"/>
  <c r="FS21" i="47"/>
  <c r="FR7" i="47"/>
  <c r="FR12" i="47"/>
  <c r="FR9" i="47"/>
  <c r="FR10" i="47"/>
  <c r="FR13" i="47"/>
  <c r="FR21" i="47"/>
  <c r="FQ7" i="47"/>
  <c r="FQ12" i="47"/>
  <c r="FQ9" i="47"/>
  <c r="FQ10" i="47"/>
  <c r="FQ13" i="47"/>
  <c r="FQ21" i="47"/>
  <c r="FP7" i="47"/>
  <c r="FP12" i="47"/>
  <c r="FP9" i="47"/>
  <c r="FP10" i="47"/>
  <c r="FP13" i="47"/>
  <c r="FP21" i="47"/>
  <c r="FO7" i="47"/>
  <c r="FO12" i="47"/>
  <c r="FO9" i="47"/>
  <c r="FO10" i="47"/>
  <c r="FO13" i="47"/>
  <c r="FO21" i="47"/>
  <c r="FN7" i="47"/>
  <c r="FN12" i="47"/>
  <c r="FN9" i="47"/>
  <c r="FN10" i="47"/>
  <c r="FN13" i="47"/>
  <c r="FN21" i="47"/>
  <c r="FM7" i="47"/>
  <c r="FM12" i="47"/>
  <c r="FM9" i="47"/>
  <c r="FM10" i="47"/>
  <c r="FM13" i="47"/>
  <c r="FM21" i="47"/>
  <c r="FL7" i="47"/>
  <c r="FL12" i="47"/>
  <c r="FL9" i="47"/>
  <c r="FL10" i="47"/>
  <c r="FL13" i="47"/>
  <c r="FL21" i="47"/>
  <c r="FK7" i="47"/>
  <c r="FK12" i="47"/>
  <c r="FK9" i="47"/>
  <c r="FK10" i="47"/>
  <c r="FK13" i="47"/>
  <c r="FK21" i="47"/>
  <c r="FJ7" i="47"/>
  <c r="FJ12" i="47"/>
  <c r="FJ9" i="47"/>
  <c r="FJ10" i="47"/>
  <c r="FJ13" i="47"/>
  <c r="FJ21" i="47"/>
  <c r="FI7" i="47"/>
  <c r="FI12" i="47"/>
  <c r="FI9" i="47"/>
  <c r="FI10" i="47"/>
  <c r="FI13" i="47"/>
  <c r="FI21" i="47"/>
  <c r="FH7" i="47"/>
  <c r="FH12" i="47"/>
  <c r="FH9" i="47"/>
  <c r="FH10" i="47"/>
  <c r="FH13" i="47"/>
  <c r="FH21" i="47"/>
  <c r="FG7" i="47"/>
  <c r="FG12" i="47"/>
  <c r="FG9" i="47"/>
  <c r="FG10" i="47"/>
  <c r="FG13" i="47"/>
  <c r="FG21" i="47"/>
  <c r="FF7" i="47"/>
  <c r="FF12" i="47"/>
  <c r="FF9" i="47"/>
  <c r="FF10" i="47"/>
  <c r="FF13" i="47"/>
  <c r="FF21" i="47"/>
  <c r="FE7" i="47"/>
  <c r="FE12" i="47"/>
  <c r="FE9" i="47"/>
  <c r="FE10" i="47"/>
  <c r="FE13" i="47"/>
  <c r="FE21" i="47"/>
  <c r="FD7" i="47"/>
  <c r="FD12" i="47"/>
  <c r="FD9" i="47"/>
  <c r="FD10" i="47"/>
  <c r="FD13" i="47"/>
  <c r="FD21" i="47"/>
  <c r="FC7" i="47"/>
  <c r="FC12" i="47"/>
  <c r="FC9" i="47"/>
  <c r="FC10" i="47"/>
  <c r="FC13" i="47"/>
  <c r="FC21" i="47"/>
  <c r="FB7" i="47"/>
  <c r="FB12" i="47"/>
  <c r="FB9" i="47"/>
  <c r="FB10" i="47"/>
  <c r="FB13" i="47"/>
  <c r="FB21" i="47"/>
  <c r="FA7" i="47"/>
  <c r="FA12" i="47"/>
  <c r="FA9" i="47"/>
  <c r="FA10" i="47"/>
  <c r="FA13" i="47"/>
  <c r="FA21" i="47"/>
  <c r="EZ7" i="47"/>
  <c r="EZ12" i="47"/>
  <c r="EZ9" i="47"/>
  <c r="EZ10" i="47"/>
  <c r="EZ13" i="47"/>
  <c r="EZ21" i="47"/>
  <c r="EY7" i="47"/>
  <c r="EY12" i="47"/>
  <c r="EY9" i="47"/>
  <c r="EY10" i="47"/>
  <c r="EY13" i="47"/>
  <c r="EY21" i="47"/>
  <c r="EX7" i="47"/>
  <c r="EX12" i="47"/>
  <c r="EX9" i="47"/>
  <c r="EX10" i="47"/>
  <c r="EX13" i="47"/>
  <c r="EX21" i="47"/>
  <c r="EW7" i="47"/>
  <c r="EW12" i="47"/>
  <c r="EW9" i="47"/>
  <c r="EW10" i="47"/>
  <c r="EW13" i="47"/>
  <c r="EW21" i="47"/>
  <c r="EV7" i="47"/>
  <c r="EV12" i="47"/>
  <c r="EV9" i="47"/>
  <c r="EV10" i="47"/>
  <c r="EV13" i="47"/>
  <c r="EV21" i="47"/>
  <c r="EU7" i="47"/>
  <c r="EU12" i="47"/>
  <c r="EU9" i="47"/>
  <c r="EU10" i="47"/>
  <c r="EU13" i="47"/>
  <c r="EU21" i="47"/>
  <c r="ET7" i="47"/>
  <c r="ET12" i="47"/>
  <c r="ET9" i="47"/>
  <c r="ET10" i="47"/>
  <c r="ET13" i="47"/>
  <c r="ET21" i="47"/>
  <c r="ES7" i="47"/>
  <c r="ES12" i="47"/>
  <c r="ES9" i="47"/>
  <c r="ES10" i="47"/>
  <c r="ES13" i="47"/>
  <c r="ES21" i="47"/>
  <c r="ER7" i="47"/>
  <c r="ER12" i="47"/>
  <c r="ER9" i="47"/>
  <c r="ER10" i="47"/>
  <c r="ER13" i="47"/>
  <c r="ER21" i="47"/>
  <c r="EQ7" i="47"/>
  <c r="EQ12" i="47"/>
  <c r="EQ9" i="47"/>
  <c r="EQ10" i="47"/>
  <c r="EQ13" i="47"/>
  <c r="EQ21" i="47"/>
  <c r="EP7" i="47"/>
  <c r="EP12" i="47"/>
  <c r="EP9" i="47"/>
  <c r="EP10" i="47"/>
  <c r="EP13" i="47"/>
  <c r="EP21" i="47"/>
  <c r="EO7" i="47"/>
  <c r="EO12" i="47"/>
  <c r="EO9" i="47"/>
  <c r="EO10" i="47"/>
  <c r="EO13" i="47"/>
  <c r="EO21" i="47"/>
  <c r="EN7" i="47"/>
  <c r="EN12" i="47"/>
  <c r="EN9" i="47"/>
  <c r="EN10" i="47"/>
  <c r="EN13" i="47"/>
  <c r="EN21" i="47"/>
  <c r="EM7" i="47"/>
  <c r="EM12" i="47"/>
  <c r="EM9" i="47"/>
  <c r="EM10" i="47"/>
  <c r="EM13" i="47"/>
  <c r="EM21" i="47"/>
  <c r="EL7" i="47"/>
  <c r="EL12" i="47"/>
  <c r="EL9" i="47"/>
  <c r="EL10" i="47"/>
  <c r="EL13" i="47"/>
  <c r="EL21" i="47"/>
  <c r="EK7" i="47"/>
  <c r="EK12" i="47"/>
  <c r="EK9" i="47"/>
  <c r="EK10" i="47"/>
  <c r="EK13" i="47"/>
  <c r="EK21" i="47"/>
  <c r="EJ7" i="47"/>
  <c r="EJ12" i="47"/>
  <c r="EJ9" i="47"/>
  <c r="EJ10" i="47"/>
  <c r="EJ13" i="47"/>
  <c r="EJ21" i="47"/>
  <c r="EI7" i="47"/>
  <c r="EI12" i="47"/>
  <c r="EI9" i="47"/>
  <c r="EI10" i="47"/>
  <c r="EI13" i="47"/>
  <c r="EI21" i="47"/>
  <c r="EH7" i="47"/>
  <c r="EH12" i="47"/>
  <c r="EH9" i="47"/>
  <c r="EH10" i="47"/>
  <c r="EH13" i="47"/>
  <c r="EH21" i="47"/>
  <c r="EG7" i="47"/>
  <c r="EG12" i="47"/>
  <c r="EG9" i="47"/>
  <c r="EG10" i="47"/>
  <c r="EG13" i="47"/>
  <c r="EG21" i="47"/>
  <c r="EF7" i="47"/>
  <c r="EF12" i="47"/>
  <c r="EF9" i="47"/>
  <c r="EF10" i="47"/>
  <c r="EF13" i="47"/>
  <c r="EF21" i="47"/>
  <c r="EE7" i="47"/>
  <c r="EE12" i="47"/>
  <c r="EE9" i="47"/>
  <c r="EE10" i="47"/>
  <c r="EE13" i="47"/>
  <c r="EE21" i="47"/>
  <c r="ED7" i="47"/>
  <c r="ED12" i="47"/>
  <c r="ED9" i="47"/>
  <c r="ED10" i="47"/>
  <c r="ED13" i="47"/>
  <c r="ED21" i="47"/>
  <c r="EC7" i="47"/>
  <c r="EC12" i="47"/>
  <c r="EC9" i="47"/>
  <c r="EC10" i="47"/>
  <c r="EC13" i="47"/>
  <c r="EC21" i="47"/>
  <c r="EB7" i="47"/>
  <c r="EB12" i="47"/>
  <c r="EB9" i="47"/>
  <c r="EB10" i="47"/>
  <c r="EB13" i="47"/>
  <c r="EB21" i="47"/>
  <c r="EA7" i="47"/>
  <c r="EA12" i="47"/>
  <c r="EA9" i="47"/>
  <c r="EA10" i="47"/>
  <c r="EA13" i="47"/>
  <c r="EA21" i="47"/>
  <c r="DZ7" i="47"/>
  <c r="DZ12" i="47"/>
  <c r="DZ9" i="47"/>
  <c r="DZ10" i="47"/>
  <c r="DZ13" i="47"/>
  <c r="DZ21" i="47"/>
  <c r="DY7" i="47"/>
  <c r="DY12" i="47"/>
  <c r="DY9" i="47"/>
  <c r="DY10" i="47"/>
  <c r="DY13" i="47"/>
  <c r="DY21" i="47"/>
  <c r="DX7" i="47"/>
  <c r="DX12" i="47"/>
  <c r="DX9" i="47"/>
  <c r="DX10" i="47"/>
  <c r="DX13" i="47"/>
  <c r="DX21" i="47"/>
  <c r="DW7" i="47"/>
  <c r="DW12" i="47"/>
  <c r="DW9" i="47"/>
  <c r="DW10" i="47"/>
  <c r="DW13" i="47"/>
  <c r="DW21" i="47"/>
  <c r="DV7" i="47"/>
  <c r="DV12" i="47"/>
  <c r="DV9" i="47"/>
  <c r="DV10" i="47"/>
  <c r="DV13" i="47"/>
  <c r="DV21" i="47"/>
  <c r="DU7" i="47"/>
  <c r="DU12" i="47"/>
  <c r="DU9" i="47"/>
  <c r="DU10" i="47"/>
  <c r="DU13" i="47"/>
  <c r="DU21" i="47"/>
  <c r="DT7" i="47"/>
  <c r="DT12" i="47"/>
  <c r="DT9" i="47"/>
  <c r="DT10" i="47"/>
  <c r="DT13" i="47"/>
  <c r="DT21" i="47"/>
  <c r="DS7" i="47"/>
  <c r="DS12" i="47"/>
  <c r="DS9" i="47"/>
  <c r="DS10" i="47"/>
  <c r="DS13" i="47"/>
  <c r="DS21" i="47"/>
  <c r="DR7" i="47"/>
  <c r="DR12" i="47"/>
  <c r="DR9" i="47"/>
  <c r="DR10" i="47"/>
  <c r="DR13" i="47"/>
  <c r="DR21" i="47"/>
  <c r="DQ7" i="47"/>
  <c r="DQ12" i="47"/>
  <c r="DQ9" i="47"/>
  <c r="DQ10" i="47"/>
  <c r="DQ13" i="47"/>
  <c r="DQ21" i="47"/>
  <c r="DP7" i="47"/>
  <c r="DP12" i="47"/>
  <c r="DP9" i="47"/>
  <c r="DP10" i="47"/>
  <c r="DP13" i="47"/>
  <c r="DP21" i="47"/>
  <c r="DO7" i="47"/>
  <c r="DO12" i="47"/>
  <c r="DO9" i="47"/>
  <c r="DO10" i="47"/>
  <c r="DO13" i="47"/>
  <c r="DO21" i="47"/>
  <c r="DN7" i="47"/>
  <c r="DN12" i="47"/>
  <c r="DN9" i="47"/>
  <c r="DN10" i="47"/>
  <c r="DN13" i="47"/>
  <c r="DN21" i="47"/>
  <c r="DM7" i="47"/>
  <c r="DM12" i="47"/>
  <c r="DM9" i="47"/>
  <c r="DM10" i="47"/>
  <c r="DM13" i="47"/>
  <c r="DM21" i="47"/>
  <c r="DL7" i="47"/>
  <c r="DL12" i="47"/>
  <c r="DL9" i="47"/>
  <c r="DL10" i="47"/>
  <c r="DL13" i="47"/>
  <c r="DL21" i="47"/>
  <c r="DK7" i="47"/>
  <c r="DK12" i="47"/>
  <c r="DK9" i="47"/>
  <c r="DK10" i="47"/>
  <c r="DK13" i="47"/>
  <c r="DK21" i="47"/>
  <c r="DJ7" i="47"/>
  <c r="DJ12" i="47"/>
  <c r="DJ9" i="47"/>
  <c r="DJ10" i="47"/>
  <c r="DJ13" i="47"/>
  <c r="DJ21" i="47"/>
  <c r="DI7" i="47"/>
  <c r="DI12" i="47"/>
  <c r="DI9" i="47"/>
  <c r="DI10" i="47"/>
  <c r="DI13" i="47"/>
  <c r="DI21" i="47"/>
  <c r="DH7" i="47"/>
  <c r="DH12" i="47"/>
  <c r="DH9" i="47"/>
  <c r="DH10" i="47"/>
  <c r="DH13" i="47"/>
  <c r="DH21" i="47"/>
  <c r="DG7" i="47"/>
  <c r="DG12" i="47"/>
  <c r="DG9" i="47"/>
  <c r="DG10" i="47"/>
  <c r="DG13" i="47"/>
  <c r="DG21" i="47"/>
  <c r="DF7" i="47"/>
  <c r="DF12" i="47"/>
  <c r="DF9" i="47"/>
  <c r="DF10" i="47"/>
  <c r="DF13" i="47"/>
  <c r="DF21" i="47"/>
  <c r="DE7" i="47"/>
  <c r="DE12" i="47"/>
  <c r="DE9" i="47"/>
  <c r="DE10" i="47"/>
  <c r="DE13" i="47"/>
  <c r="DE21" i="47"/>
  <c r="DD7" i="47"/>
  <c r="DD12" i="47"/>
  <c r="DD9" i="47"/>
  <c r="DD10" i="47"/>
  <c r="DD13" i="47"/>
  <c r="DD21" i="47"/>
  <c r="DC7" i="47"/>
  <c r="DC12" i="47"/>
  <c r="DC9" i="47"/>
  <c r="DC10" i="47"/>
  <c r="DC13" i="47"/>
  <c r="DC21" i="47"/>
  <c r="DB7" i="47"/>
  <c r="DB12" i="47"/>
  <c r="DB9" i="47"/>
  <c r="DB10" i="47"/>
  <c r="DB13" i="47"/>
  <c r="DB21" i="47"/>
  <c r="DA7" i="47"/>
  <c r="DA12" i="47"/>
  <c r="DA9" i="47"/>
  <c r="DA10" i="47"/>
  <c r="DA13" i="47"/>
  <c r="DA21" i="47"/>
  <c r="CZ7" i="47"/>
  <c r="CZ12" i="47"/>
  <c r="CZ9" i="47"/>
  <c r="CZ10" i="47"/>
  <c r="CZ13" i="47"/>
  <c r="CZ21" i="47"/>
  <c r="CY7" i="47"/>
  <c r="CY12" i="47"/>
  <c r="CY9" i="47"/>
  <c r="CY10" i="47"/>
  <c r="CY13" i="47"/>
  <c r="CY21" i="47"/>
  <c r="CX7" i="47"/>
  <c r="CX12" i="47"/>
  <c r="CX9" i="47"/>
  <c r="CX10" i="47"/>
  <c r="CX13" i="47"/>
  <c r="CX21" i="47"/>
  <c r="CW7" i="47"/>
  <c r="CW12" i="47"/>
  <c r="CW9" i="47"/>
  <c r="CW10" i="47"/>
  <c r="CW13" i="47"/>
  <c r="CW21" i="47"/>
  <c r="CV7" i="47"/>
  <c r="CV12" i="47"/>
  <c r="CV9" i="47"/>
  <c r="CV10" i="47"/>
  <c r="CV13" i="47"/>
  <c r="CV21" i="47"/>
  <c r="CU7" i="47"/>
  <c r="CU12" i="47"/>
  <c r="CU9" i="47"/>
  <c r="CU10" i="47"/>
  <c r="CU13" i="47"/>
  <c r="CU21" i="47"/>
  <c r="CT7" i="47"/>
  <c r="CT12" i="47"/>
  <c r="CT9" i="47"/>
  <c r="CT10" i="47"/>
  <c r="CT13" i="47"/>
  <c r="CT21" i="47"/>
  <c r="CS7" i="47"/>
  <c r="CS12" i="47"/>
  <c r="CS9" i="47"/>
  <c r="CS10" i="47"/>
  <c r="CS13" i="47"/>
  <c r="CS21" i="47"/>
  <c r="CR7" i="47"/>
  <c r="CR12" i="47"/>
  <c r="CR9" i="47"/>
  <c r="CR10" i="47"/>
  <c r="CR13" i="47"/>
  <c r="CR21" i="47"/>
  <c r="CQ7" i="47"/>
  <c r="CQ12" i="47"/>
  <c r="CQ9" i="47"/>
  <c r="CQ10" i="47"/>
  <c r="CQ13" i="47"/>
  <c r="CQ21" i="47"/>
  <c r="CP7" i="47"/>
  <c r="CP12" i="47"/>
  <c r="CP9" i="47"/>
  <c r="CP10" i="47"/>
  <c r="CP13" i="47"/>
  <c r="CP21" i="47"/>
  <c r="CO7" i="47"/>
  <c r="CO12" i="47"/>
  <c r="CO9" i="47"/>
  <c r="CO10" i="47"/>
  <c r="CO13" i="47"/>
  <c r="CO21" i="47"/>
  <c r="CN7" i="47"/>
  <c r="CN12" i="47"/>
  <c r="CN9" i="47"/>
  <c r="CN10" i="47"/>
  <c r="CN13" i="47"/>
  <c r="CN21" i="47"/>
  <c r="CM7" i="47"/>
  <c r="CM12" i="47"/>
  <c r="CM9" i="47"/>
  <c r="CM10" i="47"/>
  <c r="CM13" i="47"/>
  <c r="CM21" i="47"/>
  <c r="CL7" i="47"/>
  <c r="CL12" i="47"/>
  <c r="CL9" i="47"/>
  <c r="CL10" i="47"/>
  <c r="CL13" i="47"/>
  <c r="CL21" i="47"/>
  <c r="CK7" i="47"/>
  <c r="CK12" i="47"/>
  <c r="CK9" i="47"/>
  <c r="CK10" i="47"/>
  <c r="CK13" i="47"/>
  <c r="CK21" i="47"/>
  <c r="CJ7" i="47"/>
  <c r="CJ12" i="47"/>
  <c r="CJ9" i="47"/>
  <c r="CJ10" i="47"/>
  <c r="CJ13" i="47"/>
  <c r="CJ21" i="47"/>
  <c r="CI7" i="47"/>
  <c r="CI12" i="47"/>
  <c r="CI9" i="47"/>
  <c r="CI10" i="47"/>
  <c r="CI13" i="47"/>
  <c r="CI21" i="47"/>
  <c r="CH7" i="47"/>
  <c r="CH12" i="47"/>
  <c r="CH9" i="47"/>
  <c r="CH10" i="47"/>
  <c r="CH13" i="47"/>
  <c r="CH21" i="47"/>
  <c r="CG7" i="47"/>
  <c r="CG12" i="47"/>
  <c r="CG9" i="47"/>
  <c r="CG10" i="47"/>
  <c r="CG13" i="47"/>
  <c r="CG21" i="47"/>
  <c r="CF7" i="47"/>
  <c r="CF12" i="47"/>
  <c r="CF9" i="47"/>
  <c r="CF10" i="47"/>
  <c r="CF13" i="47"/>
  <c r="CF21" i="47"/>
  <c r="CE7" i="47"/>
  <c r="CE12" i="47"/>
  <c r="CE9" i="47"/>
  <c r="CE10" i="47"/>
  <c r="CE13" i="47"/>
  <c r="CE21" i="47"/>
  <c r="CD7" i="47"/>
  <c r="CD12" i="47"/>
  <c r="CD9" i="47"/>
  <c r="CD10" i="47"/>
  <c r="CD13" i="47"/>
  <c r="CD21" i="47"/>
  <c r="CC7" i="47"/>
  <c r="CC12" i="47"/>
  <c r="CC9" i="47"/>
  <c r="CC10" i="47"/>
  <c r="CC13" i="47"/>
  <c r="CC21" i="47"/>
  <c r="CB7" i="47"/>
  <c r="CB12" i="47"/>
  <c r="CB9" i="47"/>
  <c r="CB10" i="47"/>
  <c r="CB13" i="47"/>
  <c r="CB21" i="47"/>
  <c r="CA7" i="47"/>
  <c r="CA12" i="47"/>
  <c r="CA9" i="47"/>
  <c r="CA10" i="47"/>
  <c r="CA13" i="47"/>
  <c r="CA21" i="47"/>
  <c r="BZ7" i="47"/>
  <c r="BZ12" i="47"/>
  <c r="BZ9" i="47"/>
  <c r="BZ10" i="47"/>
  <c r="BZ13" i="47"/>
  <c r="BZ21" i="47"/>
  <c r="BY7" i="47"/>
  <c r="BY12" i="47"/>
  <c r="BY9" i="47"/>
  <c r="BY10" i="47"/>
  <c r="BY13" i="47"/>
  <c r="BY21" i="47"/>
  <c r="BX7" i="47"/>
  <c r="BX12" i="47"/>
  <c r="BX9" i="47"/>
  <c r="BX10" i="47"/>
  <c r="BX13" i="47"/>
  <c r="BX21" i="47"/>
  <c r="BW7" i="47"/>
  <c r="BW12" i="47"/>
  <c r="BW9" i="47"/>
  <c r="BW10" i="47"/>
  <c r="BW13" i="47"/>
  <c r="BW21" i="47"/>
  <c r="BV7" i="47"/>
  <c r="BV12" i="47"/>
  <c r="BV9" i="47"/>
  <c r="BV10" i="47"/>
  <c r="BV13" i="47"/>
  <c r="BV21" i="47"/>
  <c r="BU7" i="47"/>
  <c r="BU12" i="47"/>
  <c r="BU9" i="47"/>
  <c r="BU10" i="47"/>
  <c r="BU13" i="47"/>
  <c r="BU21" i="47"/>
  <c r="BT7" i="47"/>
  <c r="BT12" i="47"/>
  <c r="BT9" i="47"/>
  <c r="BT10" i="47"/>
  <c r="BT13" i="47"/>
  <c r="BT21" i="47"/>
  <c r="BS7" i="47"/>
  <c r="BS12" i="47"/>
  <c r="BS9" i="47"/>
  <c r="BS10" i="47"/>
  <c r="BS13" i="47"/>
  <c r="BS21" i="47"/>
  <c r="BR7" i="47"/>
  <c r="BR12" i="47"/>
  <c r="BR9" i="47"/>
  <c r="BR10" i="47"/>
  <c r="BR13" i="47"/>
  <c r="BR21" i="47"/>
  <c r="BQ7" i="47"/>
  <c r="BQ12" i="47"/>
  <c r="BQ9" i="47"/>
  <c r="BQ10" i="47"/>
  <c r="BQ13" i="47"/>
  <c r="BQ21" i="47"/>
  <c r="BP7" i="47"/>
  <c r="BP12" i="47"/>
  <c r="BP9" i="47"/>
  <c r="BP10" i="47"/>
  <c r="BP13" i="47"/>
  <c r="BP21" i="47"/>
  <c r="BO7" i="47"/>
  <c r="BO12" i="47"/>
  <c r="BO9" i="47"/>
  <c r="BO10" i="47"/>
  <c r="BO13" i="47"/>
  <c r="BO21" i="47"/>
  <c r="BN7" i="47"/>
  <c r="BN12" i="47"/>
  <c r="BN9" i="47"/>
  <c r="BN10" i="47"/>
  <c r="BN13" i="47"/>
  <c r="BN21" i="47"/>
  <c r="BM7" i="47"/>
  <c r="BM12" i="47"/>
  <c r="BM9" i="47"/>
  <c r="BM10" i="47"/>
  <c r="BM13" i="47"/>
  <c r="BM21" i="47"/>
  <c r="BL7" i="47"/>
  <c r="BL12" i="47"/>
  <c r="BL9" i="47"/>
  <c r="BL10" i="47"/>
  <c r="BL13" i="47"/>
  <c r="BL21" i="47"/>
  <c r="BK7" i="47"/>
  <c r="BK12" i="47"/>
  <c r="BK9" i="47"/>
  <c r="BK10" i="47"/>
  <c r="BK13" i="47"/>
  <c r="BK21" i="47"/>
  <c r="BJ7" i="47"/>
  <c r="BJ12" i="47"/>
  <c r="BJ9" i="47"/>
  <c r="BJ10" i="47"/>
  <c r="BJ13" i="47"/>
  <c r="BJ21" i="47"/>
  <c r="BI7" i="47"/>
  <c r="BI12" i="47"/>
  <c r="BI9" i="47"/>
  <c r="BI10" i="47"/>
  <c r="BI13" i="47"/>
  <c r="BI21" i="47"/>
  <c r="BH7" i="47"/>
  <c r="BH12" i="47"/>
  <c r="BH9" i="47"/>
  <c r="BH10" i="47"/>
  <c r="BH13" i="47"/>
  <c r="BH21" i="47"/>
  <c r="BG7" i="47"/>
  <c r="BG12" i="47"/>
  <c r="BG9" i="47"/>
  <c r="BG10" i="47"/>
  <c r="BG13" i="47"/>
  <c r="BG21" i="47"/>
  <c r="BF7" i="47"/>
  <c r="BF12" i="47"/>
  <c r="BF9" i="47"/>
  <c r="BF10" i="47"/>
  <c r="BF13" i="47"/>
  <c r="BF21" i="47"/>
  <c r="BE7" i="47"/>
  <c r="BE12" i="47"/>
  <c r="BE9" i="47"/>
  <c r="BE10" i="47"/>
  <c r="BE13" i="47"/>
  <c r="BE21" i="47"/>
  <c r="BD7" i="47"/>
  <c r="BD12" i="47"/>
  <c r="BD9" i="47"/>
  <c r="BD10" i="47"/>
  <c r="BD13" i="47"/>
  <c r="BD21" i="47"/>
  <c r="BC7" i="47"/>
  <c r="BC12" i="47"/>
  <c r="BC9" i="47"/>
  <c r="BC10" i="47"/>
  <c r="BC13" i="47"/>
  <c r="BC21" i="47"/>
  <c r="BB7" i="47"/>
  <c r="BB12" i="47"/>
  <c r="BB9" i="47"/>
  <c r="BB10" i="47"/>
  <c r="BB13" i="47"/>
  <c r="BB21" i="47"/>
  <c r="BA7" i="47"/>
  <c r="BA12" i="47"/>
  <c r="BA9" i="47"/>
  <c r="BA10" i="47"/>
  <c r="BA13" i="47"/>
  <c r="BA21" i="47"/>
  <c r="AZ7" i="47"/>
  <c r="AZ12" i="47"/>
  <c r="AZ9" i="47"/>
  <c r="AZ10" i="47"/>
  <c r="AZ13" i="47"/>
  <c r="AZ21" i="47"/>
  <c r="AY7" i="47"/>
  <c r="AY12" i="47"/>
  <c r="AY9" i="47"/>
  <c r="AY10" i="47"/>
  <c r="AY13" i="47"/>
  <c r="AY21" i="47"/>
  <c r="AX7" i="47"/>
  <c r="AX12" i="47"/>
  <c r="AX9" i="47"/>
  <c r="AX10" i="47"/>
  <c r="AX13" i="47"/>
  <c r="AX21" i="47"/>
  <c r="AW7" i="47"/>
  <c r="AW12" i="47"/>
  <c r="AW9" i="47"/>
  <c r="AW10" i="47"/>
  <c r="AW13" i="47"/>
  <c r="AW21" i="47"/>
  <c r="AV7" i="47"/>
  <c r="AV12" i="47"/>
  <c r="AV9" i="47"/>
  <c r="AV10" i="47"/>
  <c r="AV13" i="47"/>
  <c r="AV21" i="47"/>
  <c r="AU7" i="47"/>
  <c r="AU12" i="47"/>
  <c r="AU9" i="47"/>
  <c r="AU10" i="47"/>
  <c r="AU13" i="47"/>
  <c r="AU21" i="47"/>
  <c r="AT7" i="47"/>
  <c r="AT12" i="47"/>
  <c r="AT9" i="47"/>
  <c r="AT10" i="47"/>
  <c r="AT13" i="47"/>
  <c r="AT21" i="47"/>
  <c r="AS7" i="47"/>
  <c r="AS12" i="47"/>
  <c r="AS9" i="47"/>
  <c r="AS10" i="47"/>
  <c r="AS13" i="47"/>
  <c r="AS21" i="47"/>
  <c r="AR7" i="47"/>
  <c r="AR12" i="47"/>
  <c r="AR9" i="47"/>
  <c r="AR10" i="47"/>
  <c r="AR13" i="47"/>
  <c r="AR21" i="47"/>
  <c r="AQ6" i="47"/>
  <c r="AQ7" i="47"/>
  <c r="AQ12" i="47"/>
  <c r="AQ9" i="47"/>
  <c r="AQ10" i="47"/>
  <c r="AQ13" i="47"/>
  <c r="AQ21" i="47"/>
  <c r="AP6" i="47"/>
  <c r="AP7" i="47"/>
  <c r="AP12" i="47"/>
  <c r="AP9" i="47"/>
  <c r="AP10" i="47"/>
  <c r="AP13" i="47"/>
  <c r="AP21" i="47"/>
  <c r="AO6" i="47"/>
  <c r="AO7" i="47"/>
  <c r="AO12" i="47"/>
  <c r="AO9" i="47"/>
  <c r="AO10" i="47"/>
  <c r="AO13" i="47"/>
  <c r="AO21" i="47"/>
  <c r="AN6" i="47"/>
  <c r="AN7" i="47"/>
  <c r="AN12" i="47"/>
  <c r="AN9" i="47"/>
  <c r="AN10" i="47"/>
  <c r="AN13" i="47"/>
  <c r="AN21" i="47"/>
  <c r="AM6" i="47"/>
  <c r="AM7" i="47"/>
  <c r="AM12" i="47"/>
  <c r="AM9" i="47"/>
  <c r="AM10" i="47"/>
  <c r="AM13" i="47"/>
  <c r="AM21" i="47"/>
  <c r="AL6" i="47"/>
  <c r="AL7" i="47"/>
  <c r="AL12" i="47"/>
  <c r="AL9" i="47"/>
  <c r="AL10" i="47"/>
  <c r="AL13" i="47"/>
  <c r="AL21" i="47"/>
  <c r="AK6" i="47"/>
  <c r="AK7" i="47"/>
  <c r="AK12" i="47"/>
  <c r="AK9" i="47"/>
  <c r="AK10" i="47"/>
  <c r="AK13" i="47"/>
  <c r="AK21" i="47"/>
  <c r="AJ6" i="47"/>
  <c r="AJ7" i="47"/>
  <c r="AJ12" i="47"/>
  <c r="AJ9" i="47"/>
  <c r="AJ10" i="47"/>
  <c r="AJ13" i="47"/>
  <c r="AJ21" i="47"/>
  <c r="AI6" i="47"/>
  <c r="AI7" i="47"/>
  <c r="AI12" i="47"/>
  <c r="AI9" i="47"/>
  <c r="AI10" i="47"/>
  <c r="AI13" i="47"/>
  <c r="AI21" i="47"/>
  <c r="AH6" i="47"/>
  <c r="AH7" i="47"/>
  <c r="AH12" i="47"/>
  <c r="AH9" i="47"/>
  <c r="AH10" i="47"/>
  <c r="AH13" i="47"/>
  <c r="AH21" i="47"/>
  <c r="AG6" i="47"/>
  <c r="AG7" i="47"/>
  <c r="AG12" i="47"/>
  <c r="AG9" i="47"/>
  <c r="AG10" i="47"/>
  <c r="AG13" i="47"/>
  <c r="AG21" i="47"/>
  <c r="AF6" i="47"/>
  <c r="AF7" i="47"/>
  <c r="AF12" i="47"/>
  <c r="AF9" i="47"/>
  <c r="AF10" i="47"/>
  <c r="AF13" i="47"/>
  <c r="AF21" i="47"/>
  <c r="AE6" i="47"/>
  <c r="AE7" i="47"/>
  <c r="AE12" i="47"/>
  <c r="AE9" i="47"/>
  <c r="AE10" i="47"/>
  <c r="AE13" i="47"/>
  <c r="AE21" i="47"/>
  <c r="AD6" i="47"/>
  <c r="AD7" i="47"/>
  <c r="AD12" i="47"/>
  <c r="AD9" i="47"/>
  <c r="AD10" i="47"/>
  <c r="AD13" i="47"/>
  <c r="AD21" i="47"/>
  <c r="AC6" i="47"/>
  <c r="AC7" i="47"/>
  <c r="AC12" i="47"/>
  <c r="AC9" i="47"/>
  <c r="AC10" i="47"/>
  <c r="AC13" i="47"/>
  <c r="AC21" i="47"/>
  <c r="AB6" i="47"/>
  <c r="AB7" i="47"/>
  <c r="AB12" i="47"/>
  <c r="AB9" i="47"/>
  <c r="AB10" i="47"/>
  <c r="AB13" i="47"/>
  <c r="AB21" i="47"/>
  <c r="AA6" i="47"/>
  <c r="AA7" i="47"/>
  <c r="AA12" i="47"/>
  <c r="AA9" i="47"/>
  <c r="AA10" i="47"/>
  <c r="AA13" i="47"/>
  <c r="AA21" i="47"/>
  <c r="Z6" i="47"/>
  <c r="Z7" i="47"/>
  <c r="Z12" i="47"/>
  <c r="Z9" i="47"/>
  <c r="Z10" i="47"/>
  <c r="Z13" i="47"/>
  <c r="Z21" i="47"/>
  <c r="Y6" i="47"/>
  <c r="Y7" i="47"/>
  <c r="Y12" i="47"/>
  <c r="Y9" i="47"/>
  <c r="Y10" i="47"/>
  <c r="Y13" i="47"/>
  <c r="Y21" i="47"/>
  <c r="X6" i="47"/>
  <c r="X7" i="47"/>
  <c r="X12" i="47"/>
  <c r="X9" i="47"/>
  <c r="X10" i="47"/>
  <c r="X13" i="47"/>
  <c r="X21" i="47"/>
  <c r="W6" i="47"/>
  <c r="W7" i="47"/>
  <c r="W12" i="47"/>
  <c r="W9" i="47"/>
  <c r="W10" i="47"/>
  <c r="W13" i="47"/>
  <c r="W21" i="47"/>
  <c r="V6" i="47"/>
  <c r="V7" i="47"/>
  <c r="V12" i="47"/>
  <c r="V9" i="47"/>
  <c r="V10" i="47"/>
  <c r="V13" i="47"/>
  <c r="V21" i="47"/>
  <c r="U6" i="47"/>
  <c r="U7" i="47"/>
  <c r="U12" i="47"/>
  <c r="U9" i="47"/>
  <c r="U10" i="47"/>
  <c r="U13" i="47"/>
  <c r="U21" i="47"/>
  <c r="T6" i="47"/>
  <c r="T7" i="47"/>
  <c r="T12" i="47"/>
  <c r="T9" i="47"/>
  <c r="T10" i="47"/>
  <c r="T13" i="47"/>
  <c r="T21" i="47"/>
  <c r="S6" i="47"/>
  <c r="S7" i="47"/>
  <c r="S12" i="47"/>
  <c r="S9" i="47"/>
  <c r="S10" i="47"/>
  <c r="S13" i="47"/>
  <c r="S21" i="47"/>
  <c r="R6" i="47"/>
  <c r="R7" i="47"/>
  <c r="R12" i="47"/>
  <c r="R9" i="47"/>
  <c r="R10" i="47"/>
  <c r="R13" i="47"/>
  <c r="R21" i="47"/>
  <c r="Q6" i="47"/>
  <c r="Q7" i="47"/>
  <c r="Q12" i="47"/>
  <c r="Q9" i="47"/>
  <c r="Q10" i="47"/>
  <c r="Q13" i="47"/>
  <c r="Q21" i="47"/>
  <c r="P6" i="47"/>
  <c r="P7" i="47"/>
  <c r="P12" i="47"/>
  <c r="P9" i="47"/>
  <c r="P10" i="47"/>
  <c r="P13" i="47"/>
  <c r="P21" i="47"/>
  <c r="O6" i="47"/>
  <c r="O7" i="47"/>
  <c r="O12" i="47"/>
  <c r="O9" i="47"/>
  <c r="O10" i="47"/>
  <c r="O13" i="47"/>
  <c r="O21" i="47"/>
  <c r="N6" i="47"/>
  <c r="N7" i="47"/>
  <c r="N12" i="47"/>
  <c r="N9" i="47"/>
  <c r="N10" i="47"/>
  <c r="N13" i="47"/>
  <c r="N21" i="47"/>
  <c r="M6" i="47"/>
  <c r="M7" i="47"/>
  <c r="M12" i="47"/>
  <c r="M9" i="47"/>
  <c r="M10" i="47"/>
  <c r="M13" i="47"/>
  <c r="M21" i="47"/>
  <c r="L6" i="47"/>
  <c r="L7" i="47"/>
  <c r="L12" i="47"/>
  <c r="L9" i="47"/>
  <c r="L10" i="47"/>
  <c r="L13" i="47"/>
  <c r="L21" i="47"/>
  <c r="K6" i="47"/>
  <c r="K7" i="47"/>
  <c r="K12" i="47"/>
  <c r="K9" i="47"/>
  <c r="K10" i="47"/>
  <c r="K13" i="47"/>
  <c r="K21" i="47"/>
  <c r="J6" i="47"/>
  <c r="J7" i="47"/>
  <c r="J12" i="47"/>
  <c r="J9" i="47"/>
  <c r="J10" i="47"/>
  <c r="J13" i="47"/>
  <c r="J21" i="47"/>
  <c r="I6" i="47"/>
  <c r="I7" i="47"/>
  <c r="I12" i="47"/>
  <c r="I9" i="47"/>
  <c r="I10" i="47"/>
  <c r="I13" i="47"/>
  <c r="I21" i="47"/>
  <c r="H6" i="47"/>
  <c r="H7" i="47"/>
  <c r="H12" i="47"/>
  <c r="H9" i="47"/>
  <c r="H10" i="47"/>
  <c r="H13" i="47"/>
  <c r="H21" i="47"/>
  <c r="G6" i="47"/>
  <c r="G7" i="47"/>
  <c r="G12" i="47"/>
  <c r="G9" i="47"/>
  <c r="G10" i="47"/>
  <c r="G13" i="47"/>
  <c r="G21" i="47"/>
  <c r="F6" i="47"/>
  <c r="F7" i="47"/>
  <c r="F12" i="47"/>
  <c r="F9" i="47"/>
  <c r="F10" i="47"/>
  <c r="F13" i="47"/>
  <c r="F21" i="47"/>
  <c r="E6" i="47"/>
  <c r="E7" i="47"/>
  <c r="E12" i="47"/>
  <c r="E9" i="47"/>
  <c r="E10" i="47"/>
  <c r="E13" i="47"/>
  <c r="E21" i="47"/>
  <c r="E20" i="47"/>
  <c r="RP18" i="47"/>
  <c r="RP20" i="47"/>
  <c r="RO18" i="47"/>
  <c r="RO20" i="47"/>
  <c r="RN18" i="47"/>
  <c r="RN20" i="47"/>
  <c r="RM18" i="47"/>
  <c r="RM20" i="47"/>
  <c r="RL18" i="47"/>
  <c r="RL20" i="47"/>
  <c r="RK18" i="47"/>
  <c r="RK20" i="47"/>
  <c r="RJ18" i="47"/>
  <c r="RJ20" i="47"/>
  <c r="RI18" i="47"/>
  <c r="RI20" i="47"/>
  <c r="RH18" i="47"/>
  <c r="RH20" i="47"/>
  <c r="RG18" i="47"/>
  <c r="RG20" i="47"/>
  <c r="RF18" i="47"/>
  <c r="RF20" i="47"/>
  <c r="RE18" i="47"/>
  <c r="RE20" i="47"/>
  <c r="RD18" i="47"/>
  <c r="RD20" i="47"/>
  <c r="RC18" i="47"/>
  <c r="RC20" i="47"/>
  <c r="RB18" i="47"/>
  <c r="RB20" i="47"/>
  <c r="RA18" i="47"/>
  <c r="RA20" i="47"/>
  <c r="QZ18" i="47"/>
  <c r="QZ20" i="47"/>
  <c r="QY18" i="47"/>
  <c r="QY20" i="47"/>
  <c r="QX18" i="47"/>
  <c r="QX20" i="47"/>
  <c r="QW18" i="47"/>
  <c r="QW20" i="47"/>
  <c r="QV18" i="47"/>
  <c r="QV20" i="47"/>
  <c r="QU18" i="47"/>
  <c r="QU20" i="47"/>
  <c r="QT18" i="47"/>
  <c r="QT20" i="47"/>
  <c r="QS18" i="47"/>
  <c r="QS20" i="47"/>
  <c r="QR18" i="47"/>
  <c r="QR20" i="47"/>
  <c r="QQ18" i="47"/>
  <c r="QQ20" i="47"/>
  <c r="QP18" i="47"/>
  <c r="QP20" i="47"/>
  <c r="QO18" i="47"/>
  <c r="QO20" i="47"/>
  <c r="QN18" i="47"/>
  <c r="QN20" i="47"/>
  <c r="QM18" i="47"/>
  <c r="QM20" i="47"/>
  <c r="QL18" i="47"/>
  <c r="QL20" i="47"/>
  <c r="QK18" i="47"/>
  <c r="QK20" i="47"/>
  <c r="QJ18" i="47"/>
  <c r="QJ20" i="47"/>
  <c r="QI18" i="47"/>
  <c r="QI20" i="47"/>
  <c r="QH18" i="47"/>
  <c r="QH20" i="47"/>
  <c r="QG18" i="47"/>
  <c r="QG20" i="47"/>
  <c r="QF18" i="47"/>
  <c r="QF20" i="47"/>
  <c r="QE18" i="47"/>
  <c r="QE20" i="47"/>
  <c r="QD18" i="47"/>
  <c r="QD20" i="47"/>
  <c r="QC18" i="47"/>
  <c r="QC20" i="47"/>
  <c r="QB18" i="47"/>
  <c r="QB20" i="47"/>
  <c r="QA18" i="47"/>
  <c r="QA20" i="47"/>
  <c r="PZ18" i="47"/>
  <c r="PZ20" i="47"/>
  <c r="PY18" i="47"/>
  <c r="PY20" i="47"/>
  <c r="PX18" i="47"/>
  <c r="PX20" i="47"/>
  <c r="PW18" i="47"/>
  <c r="PW20" i="47"/>
  <c r="PV18" i="47"/>
  <c r="PV20" i="47"/>
  <c r="PU18" i="47"/>
  <c r="PU20" i="47"/>
  <c r="PT18" i="47"/>
  <c r="PT20" i="47"/>
  <c r="PS18" i="47"/>
  <c r="PS20" i="47"/>
  <c r="PR18" i="47"/>
  <c r="PR20" i="47"/>
  <c r="PQ18" i="47"/>
  <c r="PQ20" i="47"/>
  <c r="PP18" i="47"/>
  <c r="PP20" i="47"/>
  <c r="PO18" i="47"/>
  <c r="PO20" i="47"/>
  <c r="PN18" i="47"/>
  <c r="PN20" i="47"/>
  <c r="PM18" i="47"/>
  <c r="PM20" i="47"/>
  <c r="PL18" i="47"/>
  <c r="PL20" i="47"/>
  <c r="PK18" i="47"/>
  <c r="PK20" i="47"/>
  <c r="PJ18" i="47"/>
  <c r="PJ20" i="47"/>
  <c r="PI18" i="47"/>
  <c r="PI20" i="47"/>
  <c r="PH18" i="47"/>
  <c r="PH20" i="47"/>
  <c r="PG18" i="47"/>
  <c r="PG20" i="47"/>
  <c r="PF18" i="47"/>
  <c r="PF20" i="47"/>
  <c r="PE18" i="47"/>
  <c r="PE20" i="47"/>
  <c r="PD18" i="47"/>
  <c r="PD20" i="47"/>
  <c r="PC18" i="47"/>
  <c r="PC20" i="47"/>
  <c r="PB18" i="47"/>
  <c r="PB20" i="47"/>
  <c r="PA18" i="47"/>
  <c r="PA20" i="47"/>
  <c r="OZ18" i="47"/>
  <c r="OZ20" i="47"/>
  <c r="OY18" i="47"/>
  <c r="OY20" i="47"/>
  <c r="OX18" i="47"/>
  <c r="OX20" i="47"/>
  <c r="OW18" i="47"/>
  <c r="OW20" i="47"/>
  <c r="OV18" i="47"/>
  <c r="OV20" i="47"/>
  <c r="OU18" i="47"/>
  <c r="OU20" i="47"/>
  <c r="OT18" i="47"/>
  <c r="OT20" i="47"/>
  <c r="OS18" i="47"/>
  <c r="OS20" i="47"/>
  <c r="OR18" i="47"/>
  <c r="OR20" i="47"/>
  <c r="OQ18" i="47"/>
  <c r="OQ20" i="47"/>
  <c r="OP18" i="47"/>
  <c r="OP20" i="47"/>
  <c r="OO18" i="47"/>
  <c r="OO20" i="47"/>
  <c r="ON18" i="47"/>
  <c r="ON20" i="47"/>
  <c r="OM18" i="47"/>
  <c r="OM20" i="47"/>
  <c r="OL18" i="47"/>
  <c r="OL20" i="47"/>
  <c r="OK18" i="47"/>
  <c r="OK20" i="47"/>
  <c r="OJ18" i="47"/>
  <c r="OJ20" i="47"/>
  <c r="OI18" i="47"/>
  <c r="OI20" i="47"/>
  <c r="OH18" i="47"/>
  <c r="OH20" i="47"/>
  <c r="OG18" i="47"/>
  <c r="OG20" i="47"/>
  <c r="OF18" i="47"/>
  <c r="OF20" i="47"/>
  <c r="OE18" i="47"/>
  <c r="OE20" i="47"/>
  <c r="OD18" i="47"/>
  <c r="OD20" i="47"/>
  <c r="OC18" i="47"/>
  <c r="OC20" i="47"/>
  <c r="OB18" i="47"/>
  <c r="OB20" i="47"/>
  <c r="OA18" i="47"/>
  <c r="OA20" i="47"/>
  <c r="NZ18" i="47"/>
  <c r="NZ20" i="47"/>
  <c r="NY18" i="47"/>
  <c r="NY20" i="47"/>
  <c r="NX18" i="47"/>
  <c r="NX20" i="47"/>
  <c r="NW18" i="47"/>
  <c r="NW20" i="47"/>
  <c r="NV18" i="47"/>
  <c r="NV20" i="47"/>
  <c r="NU18" i="47"/>
  <c r="NU20" i="47"/>
  <c r="NT18" i="47"/>
  <c r="NT20" i="47"/>
  <c r="NS18" i="47"/>
  <c r="NS20" i="47"/>
  <c r="NR18" i="47"/>
  <c r="NR20" i="47"/>
  <c r="NQ18" i="47"/>
  <c r="NQ20" i="47"/>
  <c r="NP18" i="47"/>
  <c r="NP20" i="47"/>
  <c r="NO18" i="47"/>
  <c r="NO20" i="47"/>
  <c r="NN18" i="47"/>
  <c r="NN20" i="47"/>
  <c r="NM18" i="47"/>
  <c r="NM20" i="47"/>
  <c r="NL18" i="47"/>
  <c r="NL20" i="47"/>
  <c r="NK18" i="47"/>
  <c r="NK20" i="47"/>
  <c r="NJ18" i="47"/>
  <c r="NJ20" i="47"/>
  <c r="NI18" i="47"/>
  <c r="NI20" i="47"/>
  <c r="NH18" i="47"/>
  <c r="NH20" i="47"/>
  <c r="NG18" i="47"/>
  <c r="NG20" i="47"/>
  <c r="NF18" i="47"/>
  <c r="NF20" i="47"/>
  <c r="NE18" i="47"/>
  <c r="NE20" i="47"/>
  <c r="ND18" i="47"/>
  <c r="ND20" i="47"/>
  <c r="NC18" i="47"/>
  <c r="NC20" i="47"/>
  <c r="NB18" i="47"/>
  <c r="NB20" i="47"/>
  <c r="NA18" i="47"/>
  <c r="NA20" i="47"/>
  <c r="MZ18" i="47"/>
  <c r="MZ20" i="47"/>
  <c r="MY18" i="47"/>
  <c r="MY20" i="47"/>
  <c r="MX18" i="47"/>
  <c r="MX20" i="47"/>
  <c r="MW18" i="47"/>
  <c r="MW20" i="47"/>
  <c r="MV18" i="47"/>
  <c r="MV20" i="47"/>
  <c r="MU18" i="47"/>
  <c r="MU20" i="47"/>
  <c r="MT18" i="47"/>
  <c r="MT20" i="47"/>
  <c r="MS18" i="47"/>
  <c r="MS20" i="47"/>
  <c r="MR18" i="47"/>
  <c r="MR20" i="47"/>
  <c r="MQ18" i="47"/>
  <c r="MQ20" i="47"/>
  <c r="MP18" i="47"/>
  <c r="MP20" i="47"/>
  <c r="MO18" i="47"/>
  <c r="MO20" i="47"/>
  <c r="MN18" i="47"/>
  <c r="MN20" i="47"/>
  <c r="MM18" i="47"/>
  <c r="MM20" i="47"/>
  <c r="ML18" i="47"/>
  <c r="ML20" i="47"/>
  <c r="MK18" i="47"/>
  <c r="MK20" i="47"/>
  <c r="MJ18" i="47"/>
  <c r="MJ20" i="47"/>
  <c r="MI18" i="47"/>
  <c r="MI20" i="47"/>
  <c r="MH18" i="47"/>
  <c r="MH20" i="47"/>
  <c r="MG18" i="47"/>
  <c r="MG20" i="47"/>
  <c r="MF18" i="47"/>
  <c r="MF20" i="47"/>
  <c r="ME18" i="47"/>
  <c r="ME20" i="47"/>
  <c r="MD18" i="47"/>
  <c r="MD20" i="47"/>
  <c r="MC18" i="47"/>
  <c r="MC20" i="47"/>
  <c r="MB18" i="47"/>
  <c r="MB20" i="47"/>
  <c r="MA18" i="47"/>
  <c r="MA20" i="47"/>
  <c r="LZ18" i="47"/>
  <c r="LZ20" i="47"/>
  <c r="LY18" i="47"/>
  <c r="LY20" i="47"/>
  <c r="LX18" i="47"/>
  <c r="LX20" i="47"/>
  <c r="LW18" i="47"/>
  <c r="LW20" i="47"/>
  <c r="LV18" i="47"/>
  <c r="LV20" i="47"/>
  <c r="LU18" i="47"/>
  <c r="LU20" i="47"/>
  <c r="LT18" i="47"/>
  <c r="LT20" i="47"/>
  <c r="LS18" i="47"/>
  <c r="LS20" i="47"/>
  <c r="LR18" i="47"/>
  <c r="LR20" i="47"/>
  <c r="LQ18" i="47"/>
  <c r="LQ20" i="47"/>
  <c r="LP18" i="47"/>
  <c r="LP20" i="47"/>
  <c r="LO18" i="47"/>
  <c r="LO20" i="47"/>
  <c r="LN18" i="47"/>
  <c r="LN20" i="47"/>
  <c r="LM18" i="47"/>
  <c r="LM20" i="47"/>
  <c r="LL18" i="47"/>
  <c r="LL20" i="47"/>
  <c r="LK18" i="47"/>
  <c r="LK20" i="47"/>
  <c r="LJ18" i="47"/>
  <c r="LJ20" i="47"/>
  <c r="LI18" i="47"/>
  <c r="LI20" i="47"/>
  <c r="LH18" i="47"/>
  <c r="LH20" i="47"/>
  <c r="LG18" i="47"/>
  <c r="LG20" i="47"/>
  <c r="LF18" i="47"/>
  <c r="LF20" i="47"/>
  <c r="LE18" i="47"/>
  <c r="LE20" i="47"/>
  <c r="LD18" i="47"/>
  <c r="LD20" i="47"/>
  <c r="LC18" i="47"/>
  <c r="LC20" i="47"/>
  <c r="LB18" i="47"/>
  <c r="LB20" i="47"/>
  <c r="LA18" i="47"/>
  <c r="LA20" i="47"/>
  <c r="KZ18" i="47"/>
  <c r="KZ20" i="47"/>
  <c r="KY18" i="47"/>
  <c r="KY20" i="47"/>
  <c r="KX18" i="47"/>
  <c r="KX20" i="47"/>
  <c r="KW18" i="47"/>
  <c r="KW20" i="47"/>
  <c r="KV18" i="47"/>
  <c r="KV20" i="47"/>
  <c r="KU18" i="47"/>
  <c r="KU20" i="47"/>
  <c r="KT18" i="47"/>
  <c r="KT20" i="47"/>
  <c r="KS18" i="47"/>
  <c r="KS20" i="47"/>
  <c r="KR18" i="47"/>
  <c r="KR20" i="47"/>
  <c r="KQ18" i="47"/>
  <c r="KQ20" i="47"/>
  <c r="KP18" i="47"/>
  <c r="KP20" i="47"/>
  <c r="KO18" i="47"/>
  <c r="KO20" i="47"/>
  <c r="KN18" i="47"/>
  <c r="KN20" i="47"/>
  <c r="KM18" i="47"/>
  <c r="KM20" i="47"/>
  <c r="KL18" i="47"/>
  <c r="KL20" i="47"/>
  <c r="KK18" i="47"/>
  <c r="KK20" i="47"/>
  <c r="KJ18" i="47"/>
  <c r="KJ20" i="47"/>
  <c r="KI18" i="47"/>
  <c r="KI20" i="47"/>
  <c r="KH18" i="47"/>
  <c r="KH20" i="47"/>
  <c r="KG18" i="47"/>
  <c r="KG20" i="47"/>
  <c r="KF18" i="47"/>
  <c r="KF20" i="47"/>
  <c r="KE18" i="47"/>
  <c r="KE20" i="47"/>
  <c r="KD18" i="47"/>
  <c r="KD20" i="47"/>
  <c r="KC18" i="47"/>
  <c r="KC20" i="47"/>
  <c r="KB18" i="47"/>
  <c r="KB20" i="47"/>
  <c r="KA18" i="47"/>
  <c r="KA20" i="47"/>
  <c r="JZ18" i="47"/>
  <c r="JZ20" i="47"/>
  <c r="JY18" i="47"/>
  <c r="JY20" i="47"/>
  <c r="JX18" i="47"/>
  <c r="JX20" i="47"/>
  <c r="JW18" i="47"/>
  <c r="JW20" i="47"/>
  <c r="JV18" i="47"/>
  <c r="JV20" i="47"/>
  <c r="JU18" i="47"/>
  <c r="JU20" i="47"/>
  <c r="JT18" i="47"/>
  <c r="JT20" i="47"/>
  <c r="JS18" i="47"/>
  <c r="JS20" i="47"/>
  <c r="JR18" i="47"/>
  <c r="JR20" i="47"/>
  <c r="JQ18" i="47"/>
  <c r="JQ20" i="47"/>
  <c r="JP18" i="47"/>
  <c r="JP20" i="47"/>
  <c r="JO18" i="47"/>
  <c r="JO20" i="47"/>
  <c r="JN18" i="47"/>
  <c r="JN20" i="47"/>
  <c r="JM18" i="47"/>
  <c r="JM20" i="47"/>
  <c r="JL18" i="47"/>
  <c r="JL20" i="47"/>
  <c r="JK18" i="47"/>
  <c r="JK20" i="47"/>
  <c r="JJ18" i="47"/>
  <c r="JJ20" i="47"/>
  <c r="JI18" i="47"/>
  <c r="JI20" i="47"/>
  <c r="JH18" i="47"/>
  <c r="JH20" i="47"/>
  <c r="JG18" i="47"/>
  <c r="JG20" i="47"/>
  <c r="JF18" i="47"/>
  <c r="JF20" i="47"/>
  <c r="JE18" i="47"/>
  <c r="JE20" i="47"/>
  <c r="JD18" i="47"/>
  <c r="JD20" i="47"/>
  <c r="JC18" i="47"/>
  <c r="JC20" i="47"/>
  <c r="JB18" i="47"/>
  <c r="JB20" i="47"/>
  <c r="JA18" i="47"/>
  <c r="JA20" i="47"/>
  <c r="IZ18" i="47"/>
  <c r="IZ20" i="47"/>
  <c r="IY18" i="47"/>
  <c r="IY20" i="47"/>
  <c r="IX18" i="47"/>
  <c r="IX20" i="47"/>
  <c r="IW18" i="47"/>
  <c r="IW20" i="47"/>
  <c r="IV18" i="47"/>
  <c r="IV20" i="47"/>
  <c r="IU18" i="47"/>
  <c r="IU20" i="47"/>
  <c r="IT18" i="47"/>
  <c r="IT20" i="47"/>
  <c r="IS18" i="47"/>
  <c r="IS20" i="47"/>
  <c r="IR18" i="47"/>
  <c r="IR20" i="47"/>
  <c r="IQ18" i="47"/>
  <c r="IQ20" i="47"/>
  <c r="IP18" i="47"/>
  <c r="IP20" i="47"/>
  <c r="IO18" i="47"/>
  <c r="IO20" i="47"/>
  <c r="IN18" i="47"/>
  <c r="IN20" i="47"/>
  <c r="IM18" i="47"/>
  <c r="IM20" i="47"/>
  <c r="IL18" i="47"/>
  <c r="IL20" i="47"/>
  <c r="IK18" i="47"/>
  <c r="IK20" i="47"/>
  <c r="IJ18" i="47"/>
  <c r="IJ20" i="47"/>
  <c r="II18" i="47"/>
  <c r="II20" i="47"/>
  <c r="IH18" i="47"/>
  <c r="IH20" i="47"/>
  <c r="IG18" i="47"/>
  <c r="IG20" i="47"/>
  <c r="IF18" i="47"/>
  <c r="IF20" i="47"/>
  <c r="IE18" i="47"/>
  <c r="IE20" i="47"/>
  <c r="ID18" i="47"/>
  <c r="ID20" i="47"/>
  <c r="IC18" i="47"/>
  <c r="IC20" i="47"/>
  <c r="IB18" i="47"/>
  <c r="IB20" i="47"/>
  <c r="IA18" i="47"/>
  <c r="IA20" i="47"/>
  <c r="HZ18" i="47"/>
  <c r="HZ20" i="47"/>
  <c r="HY18" i="47"/>
  <c r="HY20" i="47"/>
  <c r="HX18" i="47"/>
  <c r="HX20" i="47"/>
  <c r="HW18" i="47"/>
  <c r="HW20" i="47"/>
  <c r="HV18" i="47"/>
  <c r="HV20" i="47"/>
  <c r="HU18" i="47"/>
  <c r="HU20" i="47"/>
  <c r="HT18" i="47"/>
  <c r="HT20" i="47"/>
  <c r="HS18" i="47"/>
  <c r="HS20" i="47"/>
  <c r="HR18" i="47"/>
  <c r="HR20" i="47"/>
  <c r="HQ18" i="47"/>
  <c r="HQ20" i="47"/>
  <c r="HP18" i="47"/>
  <c r="HP20" i="47"/>
  <c r="HO18" i="47"/>
  <c r="HO20" i="47"/>
  <c r="HN18" i="47"/>
  <c r="HN20" i="47"/>
  <c r="HM18" i="47"/>
  <c r="HM20" i="47"/>
  <c r="HL18" i="47"/>
  <c r="HL20" i="47"/>
  <c r="HK18" i="47"/>
  <c r="HK20" i="47"/>
  <c r="HJ18" i="47"/>
  <c r="HJ20" i="47"/>
  <c r="HI18" i="47"/>
  <c r="HI20" i="47"/>
  <c r="HH18" i="47"/>
  <c r="HH20" i="47"/>
  <c r="HG18" i="47"/>
  <c r="HG20" i="47"/>
  <c r="HF18" i="47"/>
  <c r="HF20" i="47"/>
  <c r="HE18" i="47"/>
  <c r="HE20" i="47"/>
  <c r="HD18" i="47"/>
  <c r="HD20" i="47"/>
  <c r="HC18" i="47"/>
  <c r="HC20" i="47"/>
  <c r="HB18" i="47"/>
  <c r="HB20" i="47"/>
  <c r="HA18" i="47"/>
  <c r="HA20" i="47"/>
  <c r="GZ18" i="47"/>
  <c r="GZ20" i="47"/>
  <c r="GY18" i="47"/>
  <c r="GY20" i="47"/>
  <c r="GX18" i="47"/>
  <c r="GX20" i="47"/>
  <c r="GW18" i="47"/>
  <c r="GW20" i="47"/>
  <c r="GV18" i="47"/>
  <c r="GV20" i="47"/>
  <c r="GU18" i="47"/>
  <c r="GU20" i="47"/>
  <c r="GT18" i="47"/>
  <c r="GT20" i="47"/>
  <c r="GS18" i="47"/>
  <c r="GS20" i="47"/>
  <c r="GR18" i="47"/>
  <c r="GR20" i="47"/>
  <c r="GQ18" i="47"/>
  <c r="GQ20" i="47"/>
  <c r="GP18" i="47"/>
  <c r="GP20" i="47"/>
  <c r="GO18" i="47"/>
  <c r="GO20" i="47"/>
  <c r="GN18" i="47"/>
  <c r="GN20" i="47"/>
  <c r="GM18" i="47"/>
  <c r="GM20" i="47"/>
  <c r="GL18" i="47"/>
  <c r="GL20" i="47"/>
  <c r="GK18" i="47"/>
  <c r="GK20" i="47"/>
  <c r="GJ18" i="47"/>
  <c r="GJ20" i="47"/>
  <c r="GI18" i="47"/>
  <c r="GI20" i="47"/>
  <c r="GH18" i="47"/>
  <c r="GH20" i="47"/>
  <c r="GG18" i="47"/>
  <c r="GG20" i="47"/>
  <c r="GF18" i="47"/>
  <c r="GF20" i="47"/>
  <c r="GE18" i="47"/>
  <c r="GE20" i="47"/>
  <c r="GD18" i="47"/>
  <c r="GD20" i="47"/>
  <c r="GC18" i="47"/>
  <c r="GC20" i="47"/>
  <c r="GB18" i="47"/>
  <c r="GB20" i="47"/>
  <c r="GA18" i="47"/>
  <c r="GA20" i="47"/>
  <c r="FZ18" i="47"/>
  <c r="FZ20" i="47"/>
  <c r="FY18" i="47"/>
  <c r="FY20" i="47"/>
  <c r="FX18" i="47"/>
  <c r="FX20" i="47"/>
  <c r="FW18" i="47"/>
  <c r="FW20" i="47"/>
  <c r="FV18" i="47"/>
  <c r="FV20" i="47"/>
  <c r="FU18" i="47"/>
  <c r="FU20" i="47"/>
  <c r="FT18" i="47"/>
  <c r="FT20" i="47"/>
  <c r="FS18" i="47"/>
  <c r="FS20" i="47"/>
  <c r="FR18" i="47"/>
  <c r="FR20" i="47"/>
  <c r="FQ18" i="47"/>
  <c r="FQ20" i="47"/>
  <c r="FP18" i="47"/>
  <c r="FP20" i="47"/>
  <c r="FO18" i="47"/>
  <c r="FO20" i="47"/>
  <c r="FN18" i="47"/>
  <c r="FN20" i="47"/>
  <c r="FM18" i="47"/>
  <c r="FM20" i="47"/>
  <c r="FL18" i="47"/>
  <c r="FL20" i="47"/>
  <c r="FK18" i="47"/>
  <c r="FK20" i="47"/>
  <c r="FJ18" i="47"/>
  <c r="FJ20" i="47"/>
  <c r="FI18" i="47"/>
  <c r="FI20" i="47"/>
  <c r="FH18" i="47"/>
  <c r="FH20" i="47"/>
  <c r="FG18" i="47"/>
  <c r="FG20" i="47"/>
  <c r="FF18" i="47"/>
  <c r="FF20" i="47"/>
  <c r="FE18" i="47"/>
  <c r="FE20" i="47"/>
  <c r="FD18" i="47"/>
  <c r="FD20" i="47"/>
  <c r="FC18" i="47"/>
  <c r="FC20" i="47"/>
  <c r="FB18" i="47"/>
  <c r="FB20" i="47"/>
  <c r="FA18" i="47"/>
  <c r="FA20" i="47"/>
  <c r="EZ18" i="47"/>
  <c r="EZ20" i="47"/>
  <c r="EY18" i="47"/>
  <c r="EY20" i="47"/>
  <c r="EX18" i="47"/>
  <c r="EX20" i="47"/>
  <c r="EW18" i="47"/>
  <c r="EW20" i="47"/>
  <c r="EV18" i="47"/>
  <c r="EV20" i="47"/>
  <c r="EU18" i="47"/>
  <c r="EU20" i="47"/>
  <c r="ET18" i="47"/>
  <c r="ET20" i="47"/>
  <c r="ES18" i="47"/>
  <c r="ES20" i="47"/>
  <c r="ER18" i="47"/>
  <c r="ER20" i="47"/>
  <c r="EQ18" i="47"/>
  <c r="EQ20" i="47"/>
  <c r="EP18" i="47"/>
  <c r="EP20" i="47"/>
  <c r="EO18" i="47"/>
  <c r="EO20" i="47"/>
  <c r="EN18" i="47"/>
  <c r="EN20" i="47"/>
  <c r="EM18" i="47"/>
  <c r="EM20" i="47"/>
  <c r="EL18" i="47"/>
  <c r="EL20" i="47"/>
  <c r="EK18" i="47"/>
  <c r="EK20" i="47"/>
  <c r="EJ18" i="47"/>
  <c r="EJ20" i="47"/>
  <c r="EI18" i="47"/>
  <c r="EI20" i="47"/>
  <c r="EH18" i="47"/>
  <c r="EH20" i="47"/>
  <c r="EG18" i="47"/>
  <c r="EG20" i="47"/>
  <c r="EF18" i="47"/>
  <c r="EF20" i="47"/>
  <c r="EE18" i="47"/>
  <c r="EE20" i="47"/>
  <c r="ED18" i="47"/>
  <c r="ED20" i="47"/>
  <c r="EC18" i="47"/>
  <c r="EC20" i="47"/>
  <c r="EB18" i="47"/>
  <c r="EB20" i="47"/>
  <c r="EA18" i="47"/>
  <c r="EA20" i="47"/>
  <c r="DZ18" i="47"/>
  <c r="DZ20" i="47"/>
  <c r="DY18" i="47"/>
  <c r="DY20" i="47"/>
  <c r="DX18" i="47"/>
  <c r="DX20" i="47"/>
  <c r="DW18" i="47"/>
  <c r="DW20" i="47"/>
  <c r="DV18" i="47"/>
  <c r="DV20" i="47"/>
  <c r="DU18" i="47"/>
  <c r="DU20" i="47"/>
  <c r="DT18" i="47"/>
  <c r="DT20" i="47"/>
  <c r="DS18" i="47"/>
  <c r="DS20" i="47"/>
  <c r="DR18" i="47"/>
  <c r="DR20" i="47"/>
  <c r="DQ18" i="47"/>
  <c r="DQ20" i="47"/>
  <c r="DP18" i="47"/>
  <c r="DP20" i="47"/>
  <c r="DO18" i="47"/>
  <c r="DO20" i="47"/>
  <c r="DN18" i="47"/>
  <c r="DN20" i="47"/>
  <c r="DM18" i="47"/>
  <c r="DM20" i="47"/>
  <c r="DL18" i="47"/>
  <c r="DL20" i="47"/>
  <c r="DK18" i="47"/>
  <c r="DK20" i="47"/>
  <c r="DJ18" i="47"/>
  <c r="DJ20" i="47"/>
  <c r="DI18" i="47"/>
  <c r="DI20" i="47"/>
  <c r="DH18" i="47"/>
  <c r="DH20" i="47"/>
  <c r="DG18" i="47"/>
  <c r="DG20" i="47"/>
  <c r="DF18" i="47"/>
  <c r="DF20" i="47"/>
  <c r="DE18" i="47"/>
  <c r="DE20" i="47"/>
  <c r="DD18" i="47"/>
  <c r="DD20" i="47"/>
  <c r="DC18" i="47"/>
  <c r="DC20" i="47"/>
  <c r="DB18" i="47"/>
  <c r="DB20" i="47"/>
  <c r="DA18" i="47"/>
  <c r="DA20" i="47"/>
  <c r="CZ18" i="47"/>
  <c r="CZ20" i="47"/>
  <c r="CY18" i="47"/>
  <c r="CY20" i="47"/>
  <c r="CX18" i="47"/>
  <c r="CX20" i="47"/>
  <c r="CW18" i="47"/>
  <c r="CW20" i="47"/>
  <c r="CV18" i="47"/>
  <c r="CV20" i="47"/>
  <c r="CU18" i="47"/>
  <c r="CU20" i="47"/>
  <c r="CT18" i="47"/>
  <c r="CT20" i="47"/>
  <c r="CS18" i="47"/>
  <c r="CS20" i="47"/>
  <c r="CR18" i="47"/>
  <c r="CR20" i="47"/>
  <c r="CQ18" i="47"/>
  <c r="CQ20" i="47"/>
  <c r="CP18" i="47"/>
  <c r="CP20" i="47"/>
  <c r="CO18" i="47"/>
  <c r="CO20" i="47"/>
  <c r="CN18" i="47"/>
  <c r="CN20" i="47"/>
  <c r="CM18" i="47"/>
  <c r="CM20" i="47"/>
  <c r="CL18" i="47"/>
  <c r="CL20" i="47"/>
  <c r="CK18" i="47"/>
  <c r="CK20" i="47"/>
  <c r="CJ18" i="47"/>
  <c r="CJ20" i="47"/>
  <c r="CI18" i="47"/>
  <c r="CI20" i="47"/>
  <c r="CH18" i="47"/>
  <c r="CH20" i="47"/>
  <c r="CG18" i="47"/>
  <c r="CG20" i="47"/>
  <c r="CF18" i="47"/>
  <c r="CF20" i="47"/>
  <c r="CE18" i="47"/>
  <c r="CE20" i="47"/>
  <c r="CD18" i="47"/>
  <c r="CD20" i="47"/>
  <c r="CC18" i="47"/>
  <c r="CC20" i="47"/>
  <c r="CB18" i="47"/>
  <c r="CB20" i="47"/>
  <c r="CA18" i="47"/>
  <c r="CA20" i="47"/>
  <c r="BZ18" i="47"/>
  <c r="BZ20" i="47"/>
  <c r="BY18" i="47"/>
  <c r="BY20" i="47"/>
  <c r="BX18" i="47"/>
  <c r="BX20" i="47"/>
  <c r="BW18" i="47"/>
  <c r="BW20" i="47"/>
  <c r="BV18" i="47"/>
  <c r="BV20" i="47"/>
  <c r="BU18" i="47"/>
  <c r="BU20" i="47"/>
  <c r="BT18" i="47"/>
  <c r="BT20" i="47"/>
  <c r="BS18" i="47"/>
  <c r="BS20" i="47"/>
  <c r="BR18" i="47"/>
  <c r="BR20" i="47"/>
  <c r="BQ18" i="47"/>
  <c r="BQ20" i="47"/>
  <c r="BP18" i="47"/>
  <c r="BP20" i="47"/>
  <c r="BO18" i="47"/>
  <c r="BO20" i="47"/>
  <c r="BN18" i="47"/>
  <c r="BN20" i="47"/>
  <c r="BM18" i="47"/>
  <c r="BM20" i="47"/>
  <c r="BL18" i="47"/>
  <c r="BL20" i="47"/>
  <c r="BK18" i="47"/>
  <c r="BK20" i="47"/>
  <c r="BJ18" i="47"/>
  <c r="BJ20" i="47"/>
  <c r="BI18" i="47"/>
  <c r="BI20" i="47"/>
  <c r="BH18" i="47"/>
  <c r="BH20" i="47"/>
  <c r="BG18" i="47"/>
  <c r="BG20" i="47"/>
  <c r="BF18" i="47"/>
  <c r="BF20" i="47"/>
  <c r="BE18" i="47"/>
  <c r="BE20" i="47"/>
  <c r="BD18" i="47"/>
  <c r="BD20" i="47"/>
  <c r="BC18" i="47"/>
  <c r="BC20" i="47"/>
  <c r="BB18" i="47"/>
  <c r="BB20" i="47"/>
  <c r="BA18" i="47"/>
  <c r="BA20" i="47"/>
  <c r="AZ18" i="47"/>
  <c r="AZ20" i="47"/>
  <c r="AY18" i="47"/>
  <c r="AY20" i="47"/>
  <c r="AX18" i="47"/>
  <c r="AX20" i="47"/>
  <c r="AW18" i="47"/>
  <c r="AW20" i="47"/>
  <c r="AV18" i="47"/>
  <c r="AV20" i="47"/>
  <c r="AU18" i="47"/>
  <c r="AU20" i="47"/>
  <c r="AT18" i="47"/>
  <c r="AT20" i="47"/>
  <c r="AS18" i="47"/>
  <c r="AS20" i="47"/>
  <c r="AR18" i="47"/>
  <c r="AR20" i="47"/>
  <c r="AQ18" i="47"/>
  <c r="AQ20" i="47"/>
  <c r="AP18" i="47"/>
  <c r="AP20" i="47"/>
  <c r="AO18" i="47"/>
  <c r="AO20" i="47"/>
  <c r="AN18" i="47"/>
  <c r="AN20" i="47"/>
  <c r="AM18" i="47"/>
  <c r="AM20" i="47"/>
  <c r="AL18" i="47"/>
  <c r="AL20" i="47"/>
  <c r="AK18" i="47"/>
  <c r="AK20" i="47"/>
  <c r="AJ18" i="47"/>
  <c r="AJ20" i="47"/>
  <c r="AI18" i="47"/>
  <c r="AI20" i="47"/>
  <c r="AH18" i="47"/>
  <c r="AH20" i="47"/>
  <c r="AG18" i="47"/>
  <c r="AG20" i="47"/>
  <c r="AF18" i="47"/>
  <c r="AF20" i="47"/>
  <c r="AE18" i="47"/>
  <c r="AE20" i="47"/>
  <c r="AD18" i="47"/>
  <c r="AD20" i="47"/>
  <c r="AC18" i="47"/>
  <c r="AC20" i="47"/>
  <c r="AB18" i="47"/>
  <c r="AB20" i="47"/>
  <c r="AA18" i="47"/>
  <c r="AA20" i="47"/>
  <c r="Z18" i="47"/>
  <c r="Z20" i="47"/>
  <c r="Y18" i="47"/>
  <c r="Y20" i="47"/>
  <c r="X18" i="47"/>
  <c r="X20" i="47"/>
  <c r="W18" i="47"/>
  <c r="W20" i="47"/>
  <c r="V18" i="47"/>
  <c r="V20" i="47"/>
  <c r="U18" i="47"/>
  <c r="U20" i="47"/>
  <c r="T18" i="47"/>
  <c r="T20" i="47"/>
  <c r="S18" i="47"/>
  <c r="S20" i="47"/>
  <c r="R18" i="47"/>
  <c r="R20" i="47"/>
  <c r="Q18" i="47"/>
  <c r="Q20" i="47"/>
  <c r="P18" i="47"/>
  <c r="P20" i="47"/>
  <c r="O18" i="47"/>
  <c r="O20" i="47"/>
  <c r="N18" i="47"/>
  <c r="N20" i="47"/>
  <c r="M18" i="47"/>
  <c r="M20" i="47"/>
  <c r="L18" i="47"/>
  <c r="L20" i="47"/>
  <c r="K18" i="47"/>
  <c r="K20" i="47"/>
  <c r="J18" i="47"/>
  <c r="J20" i="47"/>
  <c r="I18" i="47"/>
  <c r="I20" i="47"/>
  <c r="H18" i="47"/>
  <c r="H20" i="47"/>
  <c r="G18" i="47"/>
  <c r="G20" i="47"/>
  <c r="F18" i="47"/>
  <c r="F20" i="47"/>
  <c r="LD19" i="47"/>
  <c r="LC19" i="47"/>
  <c r="LB19" i="47"/>
  <c r="LA19" i="47"/>
  <c r="KZ19" i="47"/>
  <c r="KY19" i="47"/>
  <c r="KX19" i="47"/>
  <c r="KW19" i="47"/>
  <c r="KV19" i="47"/>
  <c r="KU19" i="47"/>
  <c r="KT19" i="47"/>
  <c r="KS19" i="47"/>
  <c r="KR19" i="47"/>
  <c r="KQ19" i="47"/>
  <c r="KP19" i="47"/>
  <c r="KO19" i="47"/>
  <c r="KN19" i="47"/>
  <c r="KM19" i="47"/>
  <c r="KL19" i="47"/>
  <c r="KK19" i="47"/>
  <c r="KJ19" i="47"/>
  <c r="KI19" i="47"/>
  <c r="KH19" i="47"/>
  <c r="KG19" i="47"/>
  <c r="KF19" i="47"/>
  <c r="KE19" i="47"/>
  <c r="KD19" i="47"/>
  <c r="KC19" i="47"/>
  <c r="KB19" i="47"/>
  <c r="KA19" i="47"/>
  <c r="JZ19" i="47"/>
  <c r="JY19" i="47"/>
  <c r="JX19" i="47"/>
  <c r="JW19" i="47"/>
  <c r="JV19" i="47"/>
  <c r="JU19" i="47"/>
  <c r="JT19" i="47"/>
  <c r="JS19" i="47"/>
  <c r="JR19" i="47"/>
  <c r="JQ19" i="47"/>
  <c r="JP19" i="47"/>
  <c r="JO19" i="47"/>
  <c r="JN19" i="47"/>
  <c r="JM19" i="47"/>
  <c r="JL19" i="47"/>
  <c r="JK19" i="47"/>
  <c r="JJ19" i="47"/>
  <c r="JI19" i="47"/>
  <c r="JH19" i="47"/>
  <c r="JG19" i="47"/>
  <c r="JF19" i="47"/>
  <c r="JE19" i="47"/>
  <c r="JD19" i="47"/>
  <c r="JC19" i="47"/>
  <c r="JB19" i="47"/>
  <c r="JA19" i="47"/>
  <c r="IZ19" i="47"/>
  <c r="IY19" i="47"/>
  <c r="IX19" i="47"/>
  <c r="IW19" i="47"/>
  <c r="IV19" i="47"/>
  <c r="IU19" i="47"/>
  <c r="IT19" i="47"/>
  <c r="IS19" i="47"/>
  <c r="IR19" i="47"/>
  <c r="IQ19" i="47"/>
  <c r="IP19" i="47"/>
  <c r="IO19" i="47"/>
  <c r="IN19" i="47"/>
  <c r="IM19" i="47"/>
  <c r="IL19" i="47"/>
  <c r="IK19" i="47"/>
  <c r="IJ19" i="47"/>
  <c r="II19" i="47"/>
  <c r="IH19" i="47"/>
  <c r="IG19" i="47"/>
  <c r="IF19" i="47"/>
  <c r="IE19" i="47"/>
  <c r="ID19" i="47"/>
  <c r="IC19" i="47"/>
  <c r="IB19" i="47"/>
  <c r="IA19" i="47"/>
  <c r="HZ19" i="47"/>
  <c r="HY19" i="47"/>
  <c r="HX19" i="47"/>
  <c r="HW19" i="47"/>
  <c r="HV19" i="47"/>
  <c r="HU19" i="47"/>
  <c r="HT19" i="47"/>
  <c r="HS19" i="47"/>
  <c r="HR19" i="47"/>
  <c r="HQ19" i="47"/>
  <c r="HP19" i="47"/>
  <c r="HO19" i="47"/>
  <c r="HN19" i="47"/>
  <c r="HM19" i="47"/>
  <c r="HL19" i="47"/>
  <c r="HK19" i="47"/>
  <c r="HJ19" i="47"/>
  <c r="HI19" i="47"/>
  <c r="HH19" i="47"/>
  <c r="HG19" i="47"/>
  <c r="HF19" i="47"/>
  <c r="HE19" i="47"/>
  <c r="HD19" i="47"/>
  <c r="HC19" i="47"/>
  <c r="HB19" i="47"/>
  <c r="HA19" i="47"/>
  <c r="GZ19" i="47"/>
  <c r="GY19" i="47"/>
  <c r="GX19" i="47"/>
  <c r="GW19" i="47"/>
  <c r="GV19" i="47"/>
  <c r="GU19" i="47"/>
  <c r="GT19" i="47"/>
  <c r="GS19" i="47"/>
  <c r="GR19" i="47"/>
  <c r="GQ19" i="47"/>
  <c r="GP19" i="47"/>
  <c r="GO19" i="47"/>
  <c r="GN19" i="47"/>
  <c r="GM19" i="47"/>
  <c r="GL19" i="47"/>
  <c r="GK19" i="47"/>
  <c r="GJ19" i="47"/>
  <c r="GI19" i="47"/>
  <c r="GH19" i="47"/>
  <c r="GG19" i="47"/>
  <c r="GF19" i="47"/>
  <c r="GE19" i="47"/>
  <c r="GD19" i="47"/>
  <c r="GC19" i="47"/>
  <c r="GB19" i="47"/>
  <c r="GA19" i="47"/>
  <c r="FZ19" i="47"/>
  <c r="FY19" i="47"/>
  <c r="FX19" i="47"/>
  <c r="FW19" i="47"/>
  <c r="FV19" i="47"/>
  <c r="FU19" i="47"/>
  <c r="FT19" i="47"/>
  <c r="FS19" i="47"/>
  <c r="FR19" i="47"/>
  <c r="FQ19" i="47"/>
  <c r="FP19" i="47"/>
  <c r="FO19" i="47"/>
  <c r="FN19" i="47"/>
  <c r="FM19" i="47"/>
  <c r="FL19" i="47"/>
  <c r="FK19" i="47"/>
  <c r="FJ19" i="47"/>
  <c r="FI19" i="47"/>
  <c r="FH19" i="47"/>
  <c r="FG19" i="47"/>
  <c r="FF19" i="47"/>
  <c r="FE19" i="47"/>
  <c r="FD19" i="47"/>
  <c r="FC19" i="47"/>
  <c r="FB19" i="47"/>
  <c r="FA19" i="47"/>
  <c r="EZ19" i="47"/>
  <c r="EY19" i="47"/>
  <c r="EX19" i="47"/>
  <c r="EW19" i="47"/>
  <c r="EV19" i="47"/>
  <c r="EU19" i="47"/>
  <c r="ET19" i="47"/>
  <c r="ES19" i="47"/>
  <c r="ER19" i="47"/>
  <c r="EQ19" i="47"/>
  <c r="EP19" i="47"/>
  <c r="EO19" i="47"/>
  <c r="EN19" i="47"/>
  <c r="EM19" i="47"/>
  <c r="EL19" i="47"/>
  <c r="EK19" i="47"/>
  <c r="EJ19" i="47"/>
  <c r="EI19" i="47"/>
  <c r="EH19" i="47"/>
  <c r="EG19" i="47"/>
  <c r="EF19" i="47"/>
  <c r="EE19" i="47"/>
  <c r="ED19" i="47"/>
  <c r="EC19" i="47"/>
  <c r="EB19" i="47"/>
  <c r="EA19" i="47"/>
  <c r="DZ19" i="47"/>
  <c r="DY19" i="47"/>
  <c r="DX19" i="47"/>
  <c r="DW19" i="47"/>
  <c r="DV19" i="47"/>
  <c r="DU19" i="47"/>
  <c r="DT19" i="47"/>
  <c r="DS19" i="47"/>
  <c r="DR19" i="47"/>
  <c r="DQ19" i="47"/>
  <c r="DP19" i="47"/>
  <c r="DO19" i="47"/>
  <c r="DN19" i="47"/>
  <c r="DM19" i="47"/>
  <c r="DL19" i="47"/>
  <c r="DK19" i="47"/>
  <c r="DJ19" i="47"/>
  <c r="DI19" i="47"/>
  <c r="DH19" i="47"/>
  <c r="DG19" i="47"/>
  <c r="DF19" i="47"/>
  <c r="DE19" i="47"/>
  <c r="DD19" i="47"/>
  <c r="DC19" i="47"/>
  <c r="DB19" i="47"/>
  <c r="DA19" i="47"/>
  <c r="CZ19" i="47"/>
  <c r="CY19" i="47"/>
  <c r="CX19" i="47"/>
  <c r="CW19" i="47"/>
  <c r="CV19" i="47"/>
  <c r="CU19" i="47"/>
  <c r="CT19" i="47"/>
  <c r="CS19" i="47"/>
  <c r="CR19" i="47"/>
  <c r="CQ19" i="47"/>
  <c r="CP19" i="47"/>
  <c r="CO19" i="47"/>
  <c r="CN19" i="47"/>
  <c r="CM19" i="47"/>
  <c r="CL19" i="47"/>
  <c r="CK19" i="47"/>
  <c r="CJ19" i="47"/>
  <c r="CI19" i="47"/>
  <c r="CH19" i="47"/>
  <c r="CG19" i="47"/>
  <c r="CF19" i="47"/>
  <c r="CE19" i="47"/>
  <c r="CD19" i="47"/>
  <c r="CC19" i="47"/>
  <c r="CB19" i="47"/>
  <c r="CA19" i="47"/>
  <c r="BZ19" i="47"/>
  <c r="BY19" i="47"/>
  <c r="BX19" i="47"/>
  <c r="BW19" i="47"/>
  <c r="BV19" i="47"/>
  <c r="BU19" i="47"/>
  <c r="BT19" i="47"/>
  <c r="BS19" i="47"/>
  <c r="BR19" i="47"/>
  <c r="BQ19" i="47"/>
  <c r="BP19" i="47"/>
  <c r="BO19" i="47"/>
  <c r="BN19" i="47"/>
  <c r="BM19" i="47"/>
  <c r="BL19" i="47"/>
  <c r="BK19" i="47"/>
  <c r="BJ19" i="47"/>
  <c r="BI19" i="47"/>
  <c r="BH19" i="47"/>
  <c r="BG19" i="47"/>
  <c r="BF19" i="47"/>
  <c r="BE19" i="47"/>
  <c r="BD19" i="47"/>
  <c r="BC19" i="47"/>
  <c r="BB19" i="47"/>
  <c r="BA19" i="47"/>
  <c r="AZ19" i="47"/>
  <c r="AY19" i="47"/>
  <c r="AX19" i="47"/>
  <c r="AW19" i="47"/>
  <c r="AV19" i="47"/>
  <c r="AU19" i="47"/>
  <c r="AT19" i="47"/>
  <c r="AS19" i="47"/>
  <c r="AR19" i="47"/>
  <c r="AQ19" i="47"/>
  <c r="AP19" i="47"/>
  <c r="AO19" i="47"/>
  <c r="AN19" i="47"/>
  <c r="AM19" i="47"/>
  <c r="AL19" i="47"/>
  <c r="AK19" i="47"/>
  <c r="AJ19" i="47"/>
  <c r="AI19" i="47"/>
  <c r="AH19" i="47"/>
  <c r="AG19" i="47"/>
  <c r="AF19" i="47"/>
  <c r="AE19" i="47"/>
  <c r="AD19" i="47"/>
  <c r="AC19" i="47"/>
  <c r="AB19" i="47"/>
  <c r="AA19" i="47"/>
  <c r="Z19" i="47"/>
  <c r="Y19" i="47"/>
  <c r="X19" i="47"/>
  <c r="W19" i="47"/>
  <c r="V19" i="47"/>
  <c r="U19" i="47"/>
  <c r="T19" i="47"/>
  <c r="S19" i="47"/>
  <c r="R19" i="47"/>
  <c r="Q19" i="47"/>
  <c r="P19" i="47"/>
  <c r="O19" i="47"/>
  <c r="N19" i="47"/>
  <c r="M19" i="47"/>
  <c r="L19" i="47"/>
  <c r="K19" i="47"/>
  <c r="J19" i="47"/>
  <c r="I19" i="47"/>
  <c r="H19" i="47"/>
  <c r="G19" i="47"/>
  <c r="F19" i="47"/>
  <c r="E19" i="47"/>
  <c r="E18" i="47"/>
  <c r="RP12" i="47"/>
  <c r="RP9" i="47"/>
  <c r="RP10" i="47"/>
  <c r="RP13" i="47"/>
  <c r="RO12" i="47"/>
  <c r="RO9" i="47"/>
  <c r="RO10" i="47"/>
  <c r="RO13" i="47"/>
  <c r="RP15" i="47"/>
  <c r="RN12" i="47"/>
  <c r="RN9" i="47"/>
  <c r="RN10" i="47"/>
  <c r="RN13" i="47"/>
  <c r="RO15" i="47"/>
  <c r="RP23" i="47"/>
  <c r="RM12" i="47"/>
  <c r="RM9" i="47"/>
  <c r="RM10" i="47"/>
  <c r="RM13" i="47"/>
  <c r="RN15" i="47"/>
  <c r="RO23" i="47"/>
  <c r="RL12" i="47"/>
  <c r="RL9" i="47"/>
  <c r="RL10" i="47"/>
  <c r="RL13" i="47"/>
  <c r="RM15" i="47"/>
  <c r="RN23" i="47"/>
  <c r="RK12" i="47"/>
  <c r="RK9" i="47"/>
  <c r="RK10" i="47"/>
  <c r="RK13" i="47"/>
  <c r="RL15" i="47"/>
  <c r="RM23" i="47"/>
  <c r="RJ12" i="47"/>
  <c r="RJ9" i="47"/>
  <c r="RJ10" i="47"/>
  <c r="RJ13" i="47"/>
  <c r="RK15" i="47"/>
  <c r="RL23" i="47"/>
  <c r="RI12" i="47"/>
  <c r="RI9" i="47"/>
  <c r="RI10" i="47"/>
  <c r="RI13" i="47"/>
  <c r="RJ15" i="47"/>
  <c r="RK23" i="47"/>
  <c r="RH12" i="47"/>
  <c r="RH9" i="47"/>
  <c r="RH10" i="47"/>
  <c r="RH13" i="47"/>
  <c r="RI15" i="47"/>
  <c r="RJ23" i="47"/>
  <c r="RG12" i="47"/>
  <c r="RG9" i="47"/>
  <c r="RG10" i="47"/>
  <c r="RG13" i="47"/>
  <c r="RH15" i="47"/>
  <c r="RI23" i="47"/>
  <c r="RF12" i="47"/>
  <c r="RF9" i="47"/>
  <c r="RF10" i="47"/>
  <c r="RF13" i="47"/>
  <c r="RG15" i="47"/>
  <c r="RH23" i="47"/>
  <c r="RE12" i="47"/>
  <c r="RE9" i="47"/>
  <c r="RE10" i="47"/>
  <c r="RE13" i="47"/>
  <c r="RF15" i="47"/>
  <c r="RG23" i="47"/>
  <c r="RD12" i="47"/>
  <c r="RD9" i="47"/>
  <c r="RD10" i="47"/>
  <c r="RD13" i="47"/>
  <c r="RE15" i="47"/>
  <c r="RF23" i="47"/>
  <c r="RC12" i="47"/>
  <c r="RC9" i="47"/>
  <c r="RC10" i="47"/>
  <c r="RC13" i="47"/>
  <c r="RD15" i="47"/>
  <c r="RE23" i="47"/>
  <c r="RB12" i="47"/>
  <c r="RB9" i="47"/>
  <c r="RB10" i="47"/>
  <c r="RB13" i="47"/>
  <c r="RC15" i="47"/>
  <c r="RD23" i="47"/>
  <c r="RA12" i="47"/>
  <c r="RA9" i="47"/>
  <c r="RA10" i="47"/>
  <c r="RA13" i="47"/>
  <c r="RB15" i="47"/>
  <c r="RC23" i="47"/>
  <c r="QZ12" i="47"/>
  <c r="QZ9" i="47"/>
  <c r="QZ10" i="47"/>
  <c r="QZ13" i="47"/>
  <c r="RA15" i="47"/>
  <c r="RB23" i="47"/>
  <c r="QY12" i="47"/>
  <c r="QY9" i="47"/>
  <c r="QY10" i="47"/>
  <c r="QY13" i="47"/>
  <c r="QZ15" i="47"/>
  <c r="RA23" i="47"/>
  <c r="QX12" i="47"/>
  <c r="QX9" i="47"/>
  <c r="QX10" i="47"/>
  <c r="QX13" i="47"/>
  <c r="QY15" i="47"/>
  <c r="QZ23" i="47"/>
  <c r="QW12" i="47"/>
  <c r="QW9" i="47"/>
  <c r="QW10" i="47"/>
  <c r="QW13" i="47"/>
  <c r="QX15" i="47"/>
  <c r="QY23" i="47"/>
  <c r="QV12" i="47"/>
  <c r="QV9" i="47"/>
  <c r="QV10" i="47"/>
  <c r="QV13" i="47"/>
  <c r="QW15" i="47"/>
  <c r="QX23" i="47"/>
  <c r="QU12" i="47"/>
  <c r="QU9" i="47"/>
  <c r="QU10" i="47"/>
  <c r="QU13" i="47"/>
  <c r="QV15" i="47"/>
  <c r="QW23" i="47"/>
  <c r="QT12" i="47"/>
  <c r="QT9" i="47"/>
  <c r="QT10" i="47"/>
  <c r="QT13" i="47"/>
  <c r="QU15" i="47"/>
  <c r="QV23" i="47"/>
  <c r="QS12" i="47"/>
  <c r="QS9" i="47"/>
  <c r="QS10" i="47"/>
  <c r="QS13" i="47"/>
  <c r="QT15" i="47"/>
  <c r="QU23" i="47"/>
  <c r="QR12" i="47"/>
  <c r="QR9" i="47"/>
  <c r="QR10" i="47"/>
  <c r="QR13" i="47"/>
  <c r="QS15" i="47"/>
  <c r="QT23" i="47"/>
  <c r="QQ12" i="47"/>
  <c r="QQ9" i="47"/>
  <c r="QQ10" i="47"/>
  <c r="QQ13" i="47"/>
  <c r="QR15" i="47"/>
  <c r="QS23" i="47"/>
  <c r="QP12" i="47"/>
  <c r="QP9" i="47"/>
  <c r="QP10" i="47"/>
  <c r="QP13" i="47"/>
  <c r="QQ15" i="47"/>
  <c r="QR23" i="47"/>
  <c r="QO12" i="47"/>
  <c r="QO9" i="47"/>
  <c r="QO10" i="47"/>
  <c r="QO13" i="47"/>
  <c r="QP15" i="47"/>
  <c r="QQ23" i="47"/>
  <c r="QN12" i="47"/>
  <c r="QN9" i="47"/>
  <c r="QN10" i="47"/>
  <c r="QN13" i="47"/>
  <c r="QO15" i="47"/>
  <c r="QP23" i="47"/>
  <c r="QM12" i="47"/>
  <c r="QM9" i="47"/>
  <c r="QM10" i="47"/>
  <c r="QM13" i="47"/>
  <c r="QN15" i="47"/>
  <c r="QO23" i="47"/>
  <c r="QL12" i="47"/>
  <c r="QL9" i="47"/>
  <c r="QL10" i="47"/>
  <c r="QL13" i="47"/>
  <c r="QM15" i="47"/>
  <c r="QN23" i="47"/>
  <c r="QK12" i="47"/>
  <c r="QK9" i="47"/>
  <c r="QK10" i="47"/>
  <c r="QK13" i="47"/>
  <c r="QL15" i="47"/>
  <c r="QM23" i="47"/>
  <c r="QJ12" i="47"/>
  <c r="QJ9" i="47"/>
  <c r="QJ10" i="47"/>
  <c r="QJ13" i="47"/>
  <c r="QK15" i="47"/>
  <c r="QL23" i="47"/>
  <c r="QI12" i="47"/>
  <c r="QI9" i="47"/>
  <c r="QI10" i="47"/>
  <c r="QI13" i="47"/>
  <c r="QJ15" i="47"/>
  <c r="QK23" i="47"/>
  <c r="QH12" i="47"/>
  <c r="QH9" i="47"/>
  <c r="QH10" i="47"/>
  <c r="QH13" i="47"/>
  <c r="QI15" i="47"/>
  <c r="QJ23" i="47"/>
  <c r="QG12" i="47"/>
  <c r="QG9" i="47"/>
  <c r="QG10" i="47"/>
  <c r="QG13" i="47"/>
  <c r="QH15" i="47"/>
  <c r="QI23" i="47"/>
  <c r="QF12" i="47"/>
  <c r="QF9" i="47"/>
  <c r="QF10" i="47"/>
  <c r="QF13" i="47"/>
  <c r="QG15" i="47"/>
  <c r="QH23" i="47"/>
  <c r="QE12" i="47"/>
  <c r="QE9" i="47"/>
  <c r="QE10" i="47"/>
  <c r="QE13" i="47"/>
  <c r="QF15" i="47"/>
  <c r="QG23" i="47"/>
  <c r="QD12" i="47"/>
  <c r="QD9" i="47"/>
  <c r="QD10" i="47"/>
  <c r="QD13" i="47"/>
  <c r="QE15" i="47"/>
  <c r="QF23" i="47"/>
  <c r="QC12" i="47"/>
  <c r="QC9" i="47"/>
  <c r="QC10" i="47"/>
  <c r="QC13" i="47"/>
  <c r="QD15" i="47"/>
  <c r="QE23" i="47"/>
  <c r="QB12" i="47"/>
  <c r="QB9" i="47"/>
  <c r="QB10" i="47"/>
  <c r="QB13" i="47"/>
  <c r="QC15" i="47"/>
  <c r="QD23" i="47"/>
  <c r="QA12" i="47"/>
  <c r="QA9" i="47"/>
  <c r="QA10" i="47"/>
  <c r="QA13" i="47"/>
  <c r="QB15" i="47"/>
  <c r="QC23" i="47"/>
  <c r="PZ12" i="47"/>
  <c r="PZ9" i="47"/>
  <c r="PZ10" i="47"/>
  <c r="PZ13" i="47"/>
  <c r="QA15" i="47"/>
  <c r="QB23" i="47"/>
  <c r="PY12" i="47"/>
  <c r="PY9" i="47"/>
  <c r="PY10" i="47"/>
  <c r="PY13" i="47"/>
  <c r="PZ15" i="47"/>
  <c r="QA23" i="47"/>
  <c r="PX12" i="47"/>
  <c r="PX9" i="47"/>
  <c r="PX10" i="47"/>
  <c r="PX13" i="47"/>
  <c r="PY15" i="47"/>
  <c r="PZ23" i="47"/>
  <c r="PW12" i="47"/>
  <c r="PW9" i="47"/>
  <c r="PW10" i="47"/>
  <c r="PW13" i="47"/>
  <c r="PX15" i="47"/>
  <c r="PY23" i="47"/>
  <c r="PV12" i="47"/>
  <c r="PV9" i="47"/>
  <c r="PV10" i="47"/>
  <c r="PV13" i="47"/>
  <c r="PW15" i="47"/>
  <c r="PX23" i="47"/>
  <c r="PU12" i="47"/>
  <c r="PU9" i="47"/>
  <c r="PU10" i="47"/>
  <c r="PU13" i="47"/>
  <c r="PV15" i="47"/>
  <c r="PW23" i="47"/>
  <c r="PT12" i="47"/>
  <c r="PT9" i="47"/>
  <c r="PT10" i="47"/>
  <c r="PT13" i="47"/>
  <c r="PU15" i="47"/>
  <c r="PV23" i="47"/>
  <c r="PS12" i="47"/>
  <c r="PS9" i="47"/>
  <c r="PS10" i="47"/>
  <c r="PS13" i="47"/>
  <c r="PT15" i="47"/>
  <c r="PU23" i="47"/>
  <c r="PR12" i="47"/>
  <c r="PR9" i="47"/>
  <c r="PR10" i="47"/>
  <c r="PR13" i="47"/>
  <c r="PS15" i="47"/>
  <c r="PT23" i="47"/>
  <c r="PQ12" i="47"/>
  <c r="PQ9" i="47"/>
  <c r="PQ10" i="47"/>
  <c r="PQ13" i="47"/>
  <c r="PR15" i="47"/>
  <c r="PS23" i="47"/>
  <c r="PP12" i="47"/>
  <c r="PP9" i="47"/>
  <c r="PP10" i="47"/>
  <c r="PP13" i="47"/>
  <c r="PQ15" i="47"/>
  <c r="PR23" i="47"/>
  <c r="PO12" i="47"/>
  <c r="PO9" i="47"/>
  <c r="PO10" i="47"/>
  <c r="PO13" i="47"/>
  <c r="PP15" i="47"/>
  <c r="PQ23" i="47"/>
  <c r="PN12" i="47"/>
  <c r="PN9" i="47"/>
  <c r="PN10" i="47"/>
  <c r="PN13" i="47"/>
  <c r="PO15" i="47"/>
  <c r="PP23" i="47"/>
  <c r="PM12" i="47"/>
  <c r="PM9" i="47"/>
  <c r="PM10" i="47"/>
  <c r="PM13" i="47"/>
  <c r="PN15" i="47"/>
  <c r="PO23" i="47"/>
  <c r="PL12" i="47"/>
  <c r="PL9" i="47"/>
  <c r="PL10" i="47"/>
  <c r="PL13" i="47"/>
  <c r="PM15" i="47"/>
  <c r="PN23" i="47"/>
  <c r="PK12" i="47"/>
  <c r="PK9" i="47"/>
  <c r="PK10" i="47"/>
  <c r="PK13" i="47"/>
  <c r="PL15" i="47"/>
  <c r="PM23" i="47"/>
  <c r="PJ12" i="47"/>
  <c r="PJ9" i="47"/>
  <c r="PJ10" i="47"/>
  <c r="PJ13" i="47"/>
  <c r="PK15" i="47"/>
  <c r="PL23" i="47"/>
  <c r="PI12" i="47"/>
  <c r="PI9" i="47"/>
  <c r="PI10" i="47"/>
  <c r="PI13" i="47"/>
  <c r="PJ15" i="47"/>
  <c r="PK23" i="47"/>
  <c r="PH12" i="47"/>
  <c r="PH9" i="47"/>
  <c r="PH10" i="47"/>
  <c r="PH13" i="47"/>
  <c r="PI15" i="47"/>
  <c r="PJ23" i="47"/>
  <c r="PG12" i="47"/>
  <c r="PG9" i="47"/>
  <c r="PG10" i="47"/>
  <c r="PG13" i="47"/>
  <c r="PH15" i="47"/>
  <c r="PI23" i="47"/>
  <c r="PF12" i="47"/>
  <c r="PF9" i="47"/>
  <c r="PF10" i="47"/>
  <c r="PF13" i="47"/>
  <c r="PG15" i="47"/>
  <c r="PH23" i="47"/>
  <c r="PE12" i="47"/>
  <c r="PE9" i="47"/>
  <c r="PE10" i="47"/>
  <c r="PE13" i="47"/>
  <c r="PF15" i="47"/>
  <c r="PG23" i="47"/>
  <c r="PD12" i="47"/>
  <c r="PD9" i="47"/>
  <c r="PD10" i="47"/>
  <c r="PD13" i="47"/>
  <c r="PE15" i="47"/>
  <c r="PF23" i="47"/>
  <c r="PC12" i="47"/>
  <c r="PC9" i="47"/>
  <c r="PC10" i="47"/>
  <c r="PC13" i="47"/>
  <c r="PD15" i="47"/>
  <c r="PE23" i="47"/>
  <c r="PB12" i="47"/>
  <c r="PB9" i="47"/>
  <c r="PB10" i="47"/>
  <c r="PB13" i="47"/>
  <c r="PC15" i="47"/>
  <c r="PD23" i="47"/>
  <c r="PA12" i="47"/>
  <c r="PA9" i="47"/>
  <c r="PA10" i="47"/>
  <c r="PA13" i="47"/>
  <c r="PB15" i="47"/>
  <c r="PC23" i="47"/>
  <c r="OZ12" i="47"/>
  <c r="OZ9" i="47"/>
  <c r="OZ10" i="47"/>
  <c r="OZ13" i="47"/>
  <c r="PA15" i="47"/>
  <c r="PB23" i="47"/>
  <c r="OY12" i="47"/>
  <c r="OY9" i="47"/>
  <c r="OY10" i="47"/>
  <c r="OY13" i="47"/>
  <c r="OZ15" i="47"/>
  <c r="PA23" i="47"/>
  <c r="OX12" i="47"/>
  <c r="OX9" i="47"/>
  <c r="OX10" i="47"/>
  <c r="OX13" i="47"/>
  <c r="OY15" i="47"/>
  <c r="OZ23" i="47"/>
  <c r="OW12" i="47"/>
  <c r="OW9" i="47"/>
  <c r="OW10" i="47"/>
  <c r="OW13" i="47"/>
  <c r="OX15" i="47"/>
  <c r="OY23" i="47"/>
  <c r="OV12" i="47"/>
  <c r="OV9" i="47"/>
  <c r="OV10" i="47"/>
  <c r="OV13" i="47"/>
  <c r="OW15" i="47"/>
  <c r="OX23" i="47"/>
  <c r="OU12" i="47"/>
  <c r="OU9" i="47"/>
  <c r="OU10" i="47"/>
  <c r="OU13" i="47"/>
  <c r="OV15" i="47"/>
  <c r="OW23" i="47"/>
  <c r="OT12" i="47"/>
  <c r="OT9" i="47"/>
  <c r="OT10" i="47"/>
  <c r="OT13" i="47"/>
  <c r="OU15" i="47"/>
  <c r="OV23" i="47"/>
  <c r="OS12" i="47"/>
  <c r="OS9" i="47"/>
  <c r="OS10" i="47"/>
  <c r="OS13" i="47"/>
  <c r="OT15" i="47"/>
  <c r="OU23" i="47"/>
  <c r="OR12" i="47"/>
  <c r="OR9" i="47"/>
  <c r="OR10" i="47"/>
  <c r="OR13" i="47"/>
  <c r="OS15" i="47"/>
  <c r="OT23" i="47"/>
  <c r="OQ12" i="47"/>
  <c r="OQ9" i="47"/>
  <c r="OQ10" i="47"/>
  <c r="OQ13" i="47"/>
  <c r="OR15" i="47"/>
  <c r="OS23" i="47"/>
  <c r="OP12" i="47"/>
  <c r="OP9" i="47"/>
  <c r="OP10" i="47"/>
  <c r="OP13" i="47"/>
  <c r="OQ15" i="47"/>
  <c r="OR23" i="47"/>
  <c r="OO12" i="47"/>
  <c r="OO9" i="47"/>
  <c r="OO10" i="47"/>
  <c r="OO13" i="47"/>
  <c r="OP15" i="47"/>
  <c r="OQ23" i="47"/>
  <c r="ON12" i="47"/>
  <c r="ON9" i="47"/>
  <c r="ON10" i="47"/>
  <c r="ON13" i="47"/>
  <c r="OO15" i="47"/>
  <c r="OP23" i="47"/>
  <c r="OM12" i="47"/>
  <c r="OM9" i="47"/>
  <c r="OM10" i="47"/>
  <c r="OM13" i="47"/>
  <c r="ON15" i="47"/>
  <c r="OO23" i="47"/>
  <c r="OL12" i="47"/>
  <c r="OL9" i="47"/>
  <c r="OL10" i="47"/>
  <c r="OL13" i="47"/>
  <c r="OM15" i="47"/>
  <c r="ON23" i="47"/>
  <c r="OK12" i="47"/>
  <c r="OK9" i="47"/>
  <c r="OK10" i="47"/>
  <c r="OK13" i="47"/>
  <c r="OL15" i="47"/>
  <c r="OM23" i="47"/>
  <c r="OJ12" i="47"/>
  <c r="OJ9" i="47"/>
  <c r="OJ10" i="47"/>
  <c r="OJ13" i="47"/>
  <c r="OK15" i="47"/>
  <c r="OL23" i="47"/>
  <c r="OI12" i="47"/>
  <c r="OI9" i="47"/>
  <c r="OI10" i="47"/>
  <c r="OI13" i="47"/>
  <c r="OJ15" i="47"/>
  <c r="OK23" i="47"/>
  <c r="OH12" i="47"/>
  <c r="OH9" i="47"/>
  <c r="OH10" i="47"/>
  <c r="OH13" i="47"/>
  <c r="OI15" i="47"/>
  <c r="OJ23" i="47"/>
  <c r="OG12" i="47"/>
  <c r="OG9" i="47"/>
  <c r="OG10" i="47"/>
  <c r="OG13" i="47"/>
  <c r="OH15" i="47"/>
  <c r="OI23" i="47"/>
  <c r="OF12" i="47"/>
  <c r="OF9" i="47"/>
  <c r="OF10" i="47"/>
  <c r="OF13" i="47"/>
  <c r="OG15" i="47"/>
  <c r="OH23" i="47"/>
  <c r="OE12" i="47"/>
  <c r="OE9" i="47"/>
  <c r="OE10" i="47"/>
  <c r="OE13" i="47"/>
  <c r="OF15" i="47"/>
  <c r="OG23" i="47"/>
  <c r="OD12" i="47"/>
  <c r="OD9" i="47"/>
  <c r="OD10" i="47"/>
  <c r="OD13" i="47"/>
  <c r="OE15" i="47"/>
  <c r="OF23" i="47"/>
  <c r="OC12" i="47"/>
  <c r="OC9" i="47"/>
  <c r="OC10" i="47"/>
  <c r="OC13" i="47"/>
  <c r="OD15" i="47"/>
  <c r="OE23" i="47"/>
  <c r="OB12" i="47"/>
  <c r="OB9" i="47"/>
  <c r="OB10" i="47"/>
  <c r="OB13" i="47"/>
  <c r="OC15" i="47"/>
  <c r="OD23" i="47"/>
  <c r="OA12" i="47"/>
  <c r="OA9" i="47"/>
  <c r="OA10" i="47"/>
  <c r="OA13" i="47"/>
  <c r="OB15" i="47"/>
  <c r="OC23" i="47"/>
  <c r="NZ12" i="47"/>
  <c r="NZ9" i="47"/>
  <c r="NZ10" i="47"/>
  <c r="NZ13" i="47"/>
  <c r="OA15" i="47"/>
  <c r="OB23" i="47"/>
  <c r="NY12" i="47"/>
  <c r="NY9" i="47"/>
  <c r="NY10" i="47"/>
  <c r="NY13" i="47"/>
  <c r="NZ15" i="47"/>
  <c r="OA23" i="47"/>
  <c r="NX12" i="47"/>
  <c r="NX9" i="47"/>
  <c r="NX10" i="47"/>
  <c r="NX13" i="47"/>
  <c r="NY15" i="47"/>
  <c r="NZ23" i="47"/>
  <c r="NW12" i="47"/>
  <c r="NW9" i="47"/>
  <c r="NW10" i="47"/>
  <c r="NW13" i="47"/>
  <c r="NX15" i="47"/>
  <c r="NY23" i="47"/>
  <c r="NV12" i="47"/>
  <c r="NV9" i="47"/>
  <c r="NV10" i="47"/>
  <c r="NV13" i="47"/>
  <c r="NW15" i="47"/>
  <c r="NX23" i="47"/>
  <c r="NU12" i="47"/>
  <c r="NU9" i="47"/>
  <c r="NU10" i="47"/>
  <c r="NU13" i="47"/>
  <c r="NV15" i="47"/>
  <c r="NW23" i="47"/>
  <c r="NT12" i="47"/>
  <c r="NT9" i="47"/>
  <c r="NT10" i="47"/>
  <c r="NT13" i="47"/>
  <c r="NU15" i="47"/>
  <c r="NV23" i="47"/>
  <c r="NS12" i="47"/>
  <c r="NS9" i="47"/>
  <c r="NS10" i="47"/>
  <c r="NS13" i="47"/>
  <c r="NT15" i="47"/>
  <c r="NU23" i="47"/>
  <c r="NR12" i="47"/>
  <c r="NR9" i="47"/>
  <c r="NR10" i="47"/>
  <c r="NR13" i="47"/>
  <c r="NS15" i="47"/>
  <c r="NT23" i="47"/>
  <c r="NQ12" i="47"/>
  <c r="NQ9" i="47"/>
  <c r="NQ10" i="47"/>
  <c r="NQ13" i="47"/>
  <c r="NR15" i="47"/>
  <c r="NS23" i="47"/>
  <c r="NP12" i="47"/>
  <c r="NP9" i="47"/>
  <c r="NP10" i="47"/>
  <c r="NP13" i="47"/>
  <c r="NQ15" i="47"/>
  <c r="NR23" i="47"/>
  <c r="NO12" i="47"/>
  <c r="NO9" i="47"/>
  <c r="NO10" i="47"/>
  <c r="NO13" i="47"/>
  <c r="NP15" i="47"/>
  <c r="NQ23" i="47"/>
  <c r="NN12" i="47"/>
  <c r="NN9" i="47"/>
  <c r="NN10" i="47"/>
  <c r="NN13" i="47"/>
  <c r="NO15" i="47"/>
  <c r="NP23" i="47"/>
  <c r="NM12" i="47"/>
  <c r="NM9" i="47"/>
  <c r="NM10" i="47"/>
  <c r="NM13" i="47"/>
  <c r="NN15" i="47"/>
  <c r="NO23" i="47"/>
  <c r="NL12" i="47"/>
  <c r="NL9" i="47"/>
  <c r="NL10" i="47"/>
  <c r="NL13" i="47"/>
  <c r="NM15" i="47"/>
  <c r="NN23" i="47"/>
  <c r="NK12" i="47"/>
  <c r="NK9" i="47"/>
  <c r="NK10" i="47"/>
  <c r="NK13" i="47"/>
  <c r="NL15" i="47"/>
  <c r="NM23" i="47"/>
  <c r="NJ12" i="47"/>
  <c r="NJ9" i="47"/>
  <c r="NJ10" i="47"/>
  <c r="NJ13" i="47"/>
  <c r="NK15" i="47"/>
  <c r="NL23" i="47"/>
  <c r="NI12" i="47"/>
  <c r="NI9" i="47"/>
  <c r="NI10" i="47"/>
  <c r="NI13" i="47"/>
  <c r="NJ15" i="47"/>
  <c r="NK23" i="47"/>
  <c r="NH12" i="47"/>
  <c r="NH9" i="47"/>
  <c r="NH10" i="47"/>
  <c r="NH13" i="47"/>
  <c r="NI15" i="47"/>
  <c r="NJ23" i="47"/>
  <c r="NG12" i="47"/>
  <c r="NG9" i="47"/>
  <c r="NG10" i="47"/>
  <c r="NG13" i="47"/>
  <c r="NH15" i="47"/>
  <c r="NI23" i="47"/>
  <c r="NF12" i="47"/>
  <c r="NF9" i="47"/>
  <c r="NF10" i="47"/>
  <c r="NF13" i="47"/>
  <c r="NG15" i="47"/>
  <c r="NH23" i="47"/>
  <c r="NE12" i="47"/>
  <c r="NE9" i="47"/>
  <c r="NE10" i="47"/>
  <c r="NE13" i="47"/>
  <c r="NF15" i="47"/>
  <c r="NG23" i="47"/>
  <c r="ND12" i="47"/>
  <c r="ND9" i="47"/>
  <c r="ND10" i="47"/>
  <c r="ND13" i="47"/>
  <c r="NE15" i="47"/>
  <c r="NF23" i="47"/>
  <c r="NC12" i="47"/>
  <c r="NC9" i="47"/>
  <c r="NC10" i="47"/>
  <c r="NC13" i="47"/>
  <c r="ND15" i="47"/>
  <c r="NE23" i="47"/>
  <c r="NB12" i="47"/>
  <c r="NB9" i="47"/>
  <c r="NB10" i="47"/>
  <c r="NB13" i="47"/>
  <c r="NC15" i="47"/>
  <c r="ND23" i="47"/>
  <c r="NA12" i="47"/>
  <c r="NA9" i="47"/>
  <c r="NA10" i="47"/>
  <c r="NA13" i="47"/>
  <c r="NB15" i="47"/>
  <c r="NC23" i="47"/>
  <c r="MZ12" i="47"/>
  <c r="MZ9" i="47"/>
  <c r="MZ10" i="47"/>
  <c r="MZ13" i="47"/>
  <c r="NA15" i="47"/>
  <c r="NB23" i="47"/>
  <c r="MY12" i="47"/>
  <c r="MY9" i="47"/>
  <c r="MY10" i="47"/>
  <c r="MY13" i="47"/>
  <c r="MZ15" i="47"/>
  <c r="NA23" i="47"/>
  <c r="MX12" i="47"/>
  <c r="MX9" i="47"/>
  <c r="MX10" i="47"/>
  <c r="MX13" i="47"/>
  <c r="MY15" i="47"/>
  <c r="MZ23" i="47"/>
  <c r="MW12" i="47"/>
  <c r="MW9" i="47"/>
  <c r="MW10" i="47"/>
  <c r="MW13" i="47"/>
  <c r="MX15" i="47"/>
  <c r="MY23" i="47"/>
  <c r="MV12" i="47"/>
  <c r="MV9" i="47"/>
  <c r="MV10" i="47"/>
  <c r="MV13" i="47"/>
  <c r="MW15" i="47"/>
  <c r="MX23" i="47"/>
  <c r="MU12" i="47"/>
  <c r="MU9" i="47"/>
  <c r="MU10" i="47"/>
  <c r="MU13" i="47"/>
  <c r="MV15" i="47"/>
  <c r="MW23" i="47"/>
  <c r="MT12" i="47"/>
  <c r="MT9" i="47"/>
  <c r="MT10" i="47"/>
  <c r="MT13" i="47"/>
  <c r="MU15" i="47"/>
  <c r="MV23" i="47"/>
  <c r="MS12" i="47"/>
  <c r="MS9" i="47"/>
  <c r="MS10" i="47"/>
  <c r="MS13" i="47"/>
  <c r="MT15" i="47"/>
  <c r="MU23" i="47"/>
  <c r="MR12" i="47"/>
  <c r="MR9" i="47"/>
  <c r="MR10" i="47"/>
  <c r="MR13" i="47"/>
  <c r="MS15" i="47"/>
  <c r="MT23" i="47"/>
  <c r="MQ12" i="47"/>
  <c r="MQ9" i="47"/>
  <c r="MQ10" i="47"/>
  <c r="MQ13" i="47"/>
  <c r="MR15" i="47"/>
  <c r="MS23" i="47"/>
  <c r="MP12" i="47"/>
  <c r="MP9" i="47"/>
  <c r="MP10" i="47"/>
  <c r="MP13" i="47"/>
  <c r="MQ15" i="47"/>
  <c r="MR23" i="47"/>
  <c r="MO12" i="47"/>
  <c r="MO9" i="47"/>
  <c r="MO10" i="47"/>
  <c r="MO13" i="47"/>
  <c r="MP15" i="47"/>
  <c r="MQ23" i="47"/>
  <c r="MN12" i="47"/>
  <c r="MN9" i="47"/>
  <c r="MN10" i="47"/>
  <c r="MN13" i="47"/>
  <c r="MO15" i="47"/>
  <c r="MP23" i="47"/>
  <c r="MM12" i="47"/>
  <c r="MM9" i="47"/>
  <c r="MM10" i="47"/>
  <c r="MM13" i="47"/>
  <c r="MN15" i="47"/>
  <c r="MO23" i="47"/>
  <c r="ML12" i="47"/>
  <c r="ML9" i="47"/>
  <c r="ML10" i="47"/>
  <c r="ML13" i="47"/>
  <c r="MM15" i="47"/>
  <c r="MN23" i="47"/>
  <c r="MK12" i="47"/>
  <c r="MK9" i="47"/>
  <c r="MK10" i="47"/>
  <c r="MK13" i="47"/>
  <c r="ML15" i="47"/>
  <c r="MM23" i="47"/>
  <c r="MJ12" i="47"/>
  <c r="MJ9" i="47"/>
  <c r="MJ10" i="47"/>
  <c r="MJ13" i="47"/>
  <c r="MK15" i="47"/>
  <c r="ML23" i="47"/>
  <c r="MI12" i="47"/>
  <c r="MI9" i="47"/>
  <c r="MI10" i="47"/>
  <c r="MI13" i="47"/>
  <c r="MJ15" i="47"/>
  <c r="MK23" i="47"/>
  <c r="MH12" i="47"/>
  <c r="MH9" i="47"/>
  <c r="MH10" i="47"/>
  <c r="MH13" i="47"/>
  <c r="MI15" i="47"/>
  <c r="MJ23" i="47"/>
  <c r="MG12" i="47"/>
  <c r="MG9" i="47"/>
  <c r="MG10" i="47"/>
  <c r="MG13" i="47"/>
  <c r="MH15" i="47"/>
  <c r="MI23" i="47"/>
  <c r="MF12" i="47"/>
  <c r="MF9" i="47"/>
  <c r="MF10" i="47"/>
  <c r="MF13" i="47"/>
  <c r="MG15" i="47"/>
  <c r="MH23" i="47"/>
  <c r="ME12" i="47"/>
  <c r="ME9" i="47"/>
  <c r="ME10" i="47"/>
  <c r="ME13" i="47"/>
  <c r="MF15" i="47"/>
  <c r="MG23" i="47"/>
  <c r="MD12" i="47"/>
  <c r="MD9" i="47"/>
  <c r="MD10" i="47"/>
  <c r="MD13" i="47"/>
  <c r="ME15" i="47"/>
  <c r="MF23" i="47"/>
  <c r="MC12" i="47"/>
  <c r="MC9" i="47"/>
  <c r="MC10" i="47"/>
  <c r="MC13" i="47"/>
  <c r="MD15" i="47"/>
  <c r="ME23" i="47"/>
  <c r="MC15" i="47"/>
  <c r="MD23" i="47"/>
  <c r="MB15" i="47"/>
  <c r="MC23" i="47"/>
  <c r="MA15" i="47"/>
  <c r="MB23" i="47"/>
  <c r="LZ15" i="47"/>
  <c r="MA23" i="47"/>
  <c r="LY15" i="47"/>
  <c r="LZ23" i="47"/>
  <c r="LX15" i="47"/>
  <c r="LY23" i="47"/>
  <c r="LW15" i="47"/>
  <c r="LX23" i="47"/>
  <c r="LV15" i="47"/>
  <c r="LW23" i="47"/>
  <c r="LU15" i="47"/>
  <c r="LV23" i="47"/>
  <c r="LT15" i="47"/>
  <c r="LU23" i="47"/>
  <c r="LS15" i="47"/>
  <c r="LT23" i="47"/>
  <c r="LR15" i="47"/>
  <c r="LS23" i="47"/>
  <c r="LQ15" i="47"/>
  <c r="LR23" i="47"/>
  <c r="LP15" i="47"/>
  <c r="LQ23" i="47"/>
  <c r="LO15" i="47"/>
  <c r="LP23" i="47"/>
  <c r="LN15" i="47"/>
  <c r="LO23" i="47"/>
  <c r="LM15" i="47"/>
  <c r="LN23" i="47"/>
  <c r="LL15" i="47"/>
  <c r="LM23" i="47"/>
  <c r="LK15" i="47"/>
  <c r="LL23" i="47"/>
  <c r="LJ15" i="47"/>
  <c r="LK23" i="47"/>
  <c r="LI15" i="47"/>
  <c r="LJ23" i="47"/>
  <c r="LH15" i="47"/>
  <c r="LI23" i="47"/>
  <c r="LG15" i="47"/>
  <c r="LH23" i="47"/>
  <c r="LF15" i="47"/>
  <c r="LG23" i="47"/>
  <c r="LE15" i="47"/>
  <c r="LF23" i="47"/>
  <c r="LD15" i="47"/>
  <c r="LE23" i="47"/>
  <c r="LC15" i="47"/>
  <c r="LD23" i="47"/>
  <c r="LB15" i="47"/>
  <c r="LC23" i="47"/>
  <c r="LA15" i="47"/>
  <c r="LB23" i="47"/>
  <c r="KZ15" i="47"/>
  <c r="LA23" i="47"/>
  <c r="KY15" i="47"/>
  <c r="KZ23" i="47"/>
  <c r="KX15" i="47"/>
  <c r="KY23" i="47"/>
  <c r="KW15" i="47"/>
  <c r="KX23" i="47"/>
  <c r="KV15" i="47"/>
  <c r="KW23" i="47"/>
  <c r="KU15" i="47"/>
  <c r="KV23" i="47"/>
  <c r="KT15" i="47"/>
  <c r="KU23" i="47"/>
  <c r="KS15" i="47"/>
  <c r="KT23" i="47"/>
  <c r="KR15" i="47"/>
  <c r="KS23" i="47"/>
  <c r="KQ15" i="47"/>
  <c r="KR23" i="47"/>
  <c r="KP15" i="47"/>
  <c r="KQ23" i="47"/>
  <c r="KO15" i="47"/>
  <c r="KP23" i="47"/>
  <c r="KN15" i="47"/>
  <c r="KO23" i="47"/>
  <c r="KM15" i="47"/>
  <c r="KN23" i="47"/>
  <c r="KL15" i="47"/>
  <c r="KM23" i="47"/>
  <c r="KK15" i="47"/>
  <c r="KL23" i="47"/>
  <c r="KJ15" i="47"/>
  <c r="KK23" i="47"/>
  <c r="KI15" i="47"/>
  <c r="KJ23" i="47"/>
  <c r="KH15" i="47"/>
  <c r="KI23" i="47"/>
  <c r="KG15" i="47"/>
  <c r="KH23" i="47"/>
  <c r="KF15" i="47"/>
  <c r="KG23" i="47"/>
  <c r="KE15" i="47"/>
  <c r="KF23" i="47"/>
  <c r="KD15" i="47"/>
  <c r="KE23" i="47"/>
  <c r="KC15" i="47"/>
  <c r="KD23" i="47"/>
  <c r="KB15" i="47"/>
  <c r="KC23" i="47"/>
  <c r="KA15" i="47"/>
  <c r="KB23" i="47"/>
  <c r="JZ15" i="47"/>
  <c r="KA23" i="47"/>
  <c r="JY15" i="47"/>
  <c r="JZ23" i="47"/>
  <c r="JX15" i="47"/>
  <c r="JY23" i="47"/>
  <c r="JW15" i="47"/>
  <c r="JX23" i="47"/>
  <c r="JV15" i="47"/>
  <c r="JW23" i="47"/>
  <c r="JU15" i="47"/>
  <c r="JV23" i="47"/>
  <c r="JT15" i="47"/>
  <c r="JU23" i="47"/>
  <c r="JS15" i="47"/>
  <c r="JT23" i="47"/>
  <c r="JR15" i="47"/>
  <c r="JS23" i="47"/>
  <c r="JQ15" i="47"/>
  <c r="JR23" i="47"/>
  <c r="JP15" i="47"/>
  <c r="JQ23" i="47"/>
  <c r="JO15" i="47"/>
  <c r="JP23" i="47"/>
  <c r="JN15" i="47"/>
  <c r="JO23" i="47"/>
  <c r="JM15" i="47"/>
  <c r="JN23" i="47"/>
  <c r="JL15" i="47"/>
  <c r="JM23" i="47"/>
  <c r="JK15" i="47"/>
  <c r="JL23" i="47"/>
  <c r="JJ15" i="47"/>
  <c r="JK23" i="47"/>
  <c r="JI15" i="47"/>
  <c r="JJ23" i="47"/>
  <c r="JH15" i="47"/>
  <c r="JI23" i="47"/>
  <c r="JG15" i="47"/>
  <c r="JH23" i="47"/>
  <c r="JF15" i="47"/>
  <c r="JG23" i="47"/>
  <c r="JE15" i="47"/>
  <c r="JF23" i="47"/>
  <c r="JD15" i="47"/>
  <c r="JE23" i="47"/>
  <c r="JC15" i="47"/>
  <c r="JD23" i="47"/>
  <c r="JB15" i="47"/>
  <c r="JC23" i="47"/>
  <c r="JA15" i="47"/>
  <c r="JB23" i="47"/>
  <c r="IZ15" i="47"/>
  <c r="JA23" i="47"/>
  <c r="IY15" i="47"/>
  <c r="IZ23" i="47"/>
  <c r="IX15" i="47"/>
  <c r="IY23" i="47"/>
  <c r="IW15" i="47"/>
  <c r="IX23" i="47"/>
  <c r="IV15" i="47"/>
  <c r="IW23" i="47"/>
  <c r="IU15" i="47"/>
  <c r="IV23" i="47"/>
  <c r="IT15" i="47"/>
  <c r="IU23" i="47"/>
  <c r="IS15" i="47"/>
  <c r="IT23" i="47"/>
  <c r="IR15" i="47"/>
  <c r="IS23" i="47"/>
  <c r="IQ15" i="47"/>
  <c r="IR23" i="47"/>
  <c r="IP15" i="47"/>
  <c r="IQ23" i="47"/>
  <c r="IO15" i="47"/>
  <c r="IP23" i="47"/>
  <c r="IN15" i="47"/>
  <c r="IO23" i="47"/>
  <c r="IM15" i="47"/>
  <c r="IN23" i="47"/>
  <c r="IL15" i="47"/>
  <c r="IM23" i="47"/>
  <c r="IK15" i="47"/>
  <c r="IL23" i="47"/>
  <c r="IJ15" i="47"/>
  <c r="IK23" i="47"/>
  <c r="II15" i="47"/>
  <c r="IJ23" i="47"/>
  <c r="IH15" i="47"/>
  <c r="II23" i="47"/>
  <c r="IG15" i="47"/>
  <c r="IH23" i="47"/>
  <c r="IF15" i="47"/>
  <c r="IG23" i="47"/>
  <c r="IE15" i="47"/>
  <c r="IF23" i="47"/>
  <c r="ID15" i="47"/>
  <c r="IE23" i="47"/>
  <c r="IC15" i="47"/>
  <c r="ID23" i="47"/>
  <c r="IB15" i="47"/>
  <c r="IC23" i="47"/>
  <c r="IA15" i="47"/>
  <c r="IB23" i="47"/>
  <c r="HZ15" i="47"/>
  <c r="IA23" i="47"/>
  <c r="HY15" i="47"/>
  <c r="HZ23" i="47"/>
  <c r="HX15" i="47"/>
  <c r="HY23" i="47"/>
  <c r="HW15" i="47"/>
  <c r="HX23" i="47"/>
  <c r="HV15" i="47"/>
  <c r="HW23" i="47"/>
  <c r="HU15" i="47"/>
  <c r="HV23" i="47"/>
  <c r="HT15" i="47"/>
  <c r="HU23" i="47"/>
  <c r="HS15" i="47"/>
  <c r="HT23" i="47"/>
  <c r="HR15" i="47"/>
  <c r="HS23" i="47"/>
  <c r="HQ15" i="47"/>
  <c r="HR23" i="47"/>
  <c r="HP15" i="47"/>
  <c r="HQ23" i="47"/>
  <c r="HO15" i="47"/>
  <c r="HP23" i="47"/>
  <c r="HN15" i="47"/>
  <c r="HO23" i="47"/>
  <c r="HM15" i="47"/>
  <c r="HN23" i="47"/>
  <c r="HL15" i="47"/>
  <c r="HM23" i="47"/>
  <c r="HK15" i="47"/>
  <c r="HL23" i="47"/>
  <c r="HJ15" i="47"/>
  <c r="HK23" i="47"/>
  <c r="HI15" i="47"/>
  <c r="HJ23" i="47"/>
  <c r="HH15" i="47"/>
  <c r="HI23" i="47"/>
  <c r="HG15" i="47"/>
  <c r="HH23" i="47"/>
  <c r="HF15" i="47"/>
  <c r="HG23" i="47"/>
  <c r="HE15" i="47"/>
  <c r="HF23" i="47"/>
  <c r="HD15" i="47"/>
  <c r="HE23" i="47"/>
  <c r="HC15" i="47"/>
  <c r="HD23" i="47"/>
  <c r="HB15" i="47"/>
  <c r="HC23" i="47"/>
  <c r="HA15" i="47"/>
  <c r="HB23" i="47"/>
  <c r="GZ15" i="47"/>
  <c r="HA23" i="47"/>
  <c r="GY15" i="47"/>
  <c r="GZ23" i="47"/>
  <c r="GX15" i="47"/>
  <c r="GY23" i="47"/>
  <c r="GW15" i="47"/>
  <c r="GX23" i="47"/>
  <c r="GV15" i="47"/>
  <c r="GW23" i="47"/>
  <c r="GU15" i="47"/>
  <c r="GV23" i="47"/>
  <c r="GT15" i="47"/>
  <c r="GU23" i="47"/>
  <c r="GS15" i="47"/>
  <c r="GT23" i="47"/>
  <c r="GR15" i="47"/>
  <c r="GS23" i="47"/>
  <c r="GQ15" i="47"/>
  <c r="GR23" i="47"/>
  <c r="GP15" i="47"/>
  <c r="GQ23" i="47"/>
  <c r="GO15" i="47"/>
  <c r="GP23" i="47"/>
  <c r="GN15" i="47"/>
  <c r="GO23" i="47"/>
  <c r="GM15" i="47"/>
  <c r="GN23" i="47"/>
  <c r="GL15" i="47"/>
  <c r="GM23" i="47"/>
  <c r="GK15" i="47"/>
  <c r="GL23" i="47"/>
  <c r="GJ15" i="47"/>
  <c r="GK23" i="47"/>
  <c r="GI15" i="47"/>
  <c r="GJ23" i="47"/>
  <c r="GH15" i="47"/>
  <c r="GI23" i="47"/>
  <c r="GG15" i="47"/>
  <c r="GH23" i="47"/>
  <c r="GF15" i="47"/>
  <c r="GG23" i="47"/>
  <c r="GE15" i="47"/>
  <c r="GF23" i="47"/>
  <c r="GD15" i="47"/>
  <c r="GE23" i="47"/>
  <c r="GD23" i="47"/>
  <c r="GB15" i="47"/>
  <c r="GA15" i="47"/>
  <c r="GB23" i="47"/>
  <c r="FZ15" i="47"/>
  <c r="GA23" i="47"/>
  <c r="FY15" i="47"/>
  <c r="FZ23" i="47"/>
  <c r="FX15" i="47"/>
  <c r="FY23" i="47"/>
  <c r="FW15" i="47"/>
  <c r="FX23" i="47"/>
  <c r="FV15" i="47"/>
  <c r="FW23" i="47"/>
  <c r="FU15" i="47"/>
  <c r="FV23" i="47"/>
  <c r="FT15" i="47"/>
  <c r="FU23" i="47"/>
  <c r="FS15" i="47"/>
  <c r="FT23" i="47"/>
  <c r="FR15" i="47"/>
  <c r="FS23" i="47"/>
  <c r="FQ15" i="47"/>
  <c r="FR23" i="47"/>
  <c r="FP15" i="47"/>
  <c r="FQ23" i="47"/>
  <c r="FO15" i="47"/>
  <c r="FP23" i="47"/>
  <c r="FN15" i="47"/>
  <c r="FO23" i="47"/>
  <c r="FM15" i="47"/>
  <c r="FN23" i="47"/>
  <c r="FL15" i="47"/>
  <c r="FM23" i="47"/>
  <c r="FK15" i="47"/>
  <c r="FL23" i="47"/>
  <c r="FJ15" i="47"/>
  <c r="FK23" i="47"/>
  <c r="FI15" i="47"/>
  <c r="FJ23" i="47"/>
  <c r="FH15" i="47"/>
  <c r="FI23" i="47"/>
  <c r="FG15" i="47"/>
  <c r="FH23" i="47"/>
  <c r="FF15" i="47"/>
  <c r="FG23" i="47"/>
  <c r="FE15" i="47"/>
  <c r="FF23" i="47"/>
  <c r="FD15" i="47"/>
  <c r="FE23" i="47"/>
  <c r="FC15" i="47"/>
  <c r="FD23" i="47"/>
  <c r="FB15" i="47"/>
  <c r="FC23" i="47"/>
  <c r="FA15" i="47"/>
  <c r="FB23" i="47"/>
  <c r="EZ15" i="47"/>
  <c r="FA23" i="47"/>
  <c r="EY15" i="47"/>
  <c r="EZ23" i="47"/>
  <c r="EX15" i="47"/>
  <c r="EY23" i="47"/>
  <c r="EW15" i="47"/>
  <c r="EX23" i="47"/>
  <c r="EV15" i="47"/>
  <c r="EW23" i="47"/>
  <c r="EU15" i="47"/>
  <c r="EV23" i="47"/>
  <c r="ET15" i="47"/>
  <c r="EU23" i="47"/>
  <c r="ES15" i="47"/>
  <c r="ET23" i="47"/>
  <c r="ER15" i="47"/>
  <c r="ES23" i="47"/>
  <c r="EQ15" i="47"/>
  <c r="ER23" i="47"/>
  <c r="EP15" i="47"/>
  <c r="EQ23" i="47"/>
  <c r="EO15" i="47"/>
  <c r="EP23" i="47"/>
  <c r="EN15" i="47"/>
  <c r="EO23" i="47"/>
  <c r="EM15" i="47"/>
  <c r="EN23" i="47"/>
  <c r="EL15" i="47"/>
  <c r="EM23" i="47"/>
  <c r="EK15" i="47"/>
  <c r="EL23" i="47"/>
  <c r="EJ15" i="47"/>
  <c r="EK23" i="47"/>
  <c r="EI15" i="47"/>
  <c r="EJ23" i="47"/>
  <c r="EH15" i="47"/>
  <c r="EI23" i="47"/>
  <c r="EG15" i="47"/>
  <c r="EH23" i="47"/>
  <c r="EF15" i="47"/>
  <c r="EG23" i="47"/>
  <c r="EE15" i="47"/>
  <c r="EF23" i="47"/>
  <c r="ED15" i="47"/>
  <c r="EE23" i="47"/>
  <c r="EC15" i="47"/>
  <c r="ED23" i="47"/>
  <c r="EB15" i="47"/>
  <c r="EC23" i="47"/>
  <c r="EA15" i="47"/>
  <c r="EB23" i="47"/>
  <c r="DZ15" i="47"/>
  <c r="EA23" i="47"/>
  <c r="DY15" i="47"/>
  <c r="DZ23" i="47"/>
  <c r="DX15" i="47"/>
  <c r="DY23" i="47"/>
  <c r="DW15" i="47"/>
  <c r="DX23" i="47"/>
  <c r="DV15" i="47"/>
  <c r="DW23" i="47"/>
  <c r="DU15" i="47"/>
  <c r="DV23" i="47"/>
  <c r="DT15" i="47"/>
  <c r="DU23" i="47"/>
  <c r="DS15" i="47"/>
  <c r="DT23" i="47"/>
  <c r="DR15" i="47"/>
  <c r="DS23" i="47"/>
  <c r="DQ15" i="47"/>
  <c r="DR23" i="47"/>
  <c r="DP15" i="47"/>
  <c r="DQ23" i="47"/>
  <c r="DO15" i="47"/>
  <c r="DP23" i="47"/>
  <c r="DN15" i="47"/>
  <c r="DO23" i="47"/>
  <c r="DM15" i="47"/>
  <c r="DN23" i="47"/>
  <c r="DL15" i="47"/>
  <c r="DM23" i="47"/>
  <c r="DK15" i="47"/>
  <c r="DL23" i="47"/>
  <c r="DJ15" i="47"/>
  <c r="DK23" i="47"/>
  <c r="DI15" i="47"/>
  <c r="DJ23" i="47"/>
  <c r="DH15" i="47"/>
  <c r="DI23" i="47"/>
  <c r="DG15" i="47"/>
  <c r="DH23" i="47"/>
  <c r="DF15" i="47"/>
  <c r="DG23" i="47"/>
  <c r="DE15" i="47"/>
  <c r="DF23" i="47"/>
  <c r="DD15" i="47"/>
  <c r="DE23" i="47"/>
  <c r="DC15" i="47"/>
  <c r="DD23" i="47"/>
  <c r="DB15" i="47"/>
  <c r="DC23" i="47"/>
  <c r="DA15" i="47"/>
  <c r="DB23" i="47"/>
  <c r="CZ15" i="47"/>
  <c r="DA23" i="47"/>
  <c r="CY15" i="47"/>
  <c r="CZ23" i="47"/>
  <c r="CX15" i="47"/>
  <c r="CY23" i="47"/>
  <c r="CW15" i="47"/>
  <c r="CX23" i="47"/>
  <c r="CV15" i="47"/>
  <c r="CW23" i="47"/>
  <c r="CU15" i="47"/>
  <c r="CV23" i="47"/>
  <c r="CT15" i="47"/>
  <c r="CU23" i="47"/>
  <c r="CS15" i="47"/>
  <c r="CT23" i="47"/>
  <c r="CR15" i="47"/>
  <c r="CS23" i="47"/>
  <c r="CQ15" i="47"/>
  <c r="CR23" i="47"/>
  <c r="CP15" i="47"/>
  <c r="CQ23" i="47"/>
  <c r="CO15" i="47"/>
  <c r="CP23" i="47"/>
  <c r="CN15" i="47"/>
  <c r="CO23" i="47"/>
  <c r="CM15" i="47"/>
  <c r="CN23" i="47"/>
  <c r="CL15" i="47"/>
  <c r="CM23" i="47"/>
  <c r="CK15" i="47"/>
  <c r="CL23" i="47"/>
  <c r="CJ15" i="47"/>
  <c r="CK23" i="47"/>
  <c r="CI15" i="47"/>
  <c r="CJ23" i="47"/>
  <c r="CH15" i="47"/>
  <c r="CI23" i="47"/>
  <c r="CG15" i="47"/>
  <c r="CH23" i="47"/>
  <c r="CF15" i="47"/>
  <c r="CG23" i="47"/>
  <c r="CE15" i="47"/>
  <c r="CF23" i="47"/>
  <c r="CD15" i="47"/>
  <c r="CE23" i="47"/>
  <c r="CC15" i="47"/>
  <c r="CD23" i="47"/>
  <c r="CB15" i="47"/>
  <c r="CC23" i="47"/>
  <c r="CA15" i="47"/>
  <c r="CB23" i="47"/>
  <c r="BZ15" i="47"/>
  <c r="CA23" i="47"/>
  <c r="BY15" i="47"/>
  <c r="BZ23" i="47"/>
  <c r="BX15" i="47"/>
  <c r="BY23" i="47"/>
  <c r="BW15" i="47"/>
  <c r="BX23" i="47"/>
  <c r="BV15" i="47"/>
  <c r="BW23" i="47"/>
  <c r="BU15" i="47"/>
  <c r="BV23" i="47"/>
  <c r="BT15" i="47"/>
  <c r="BU23" i="47"/>
  <c r="BS15" i="47"/>
  <c r="BT23" i="47"/>
  <c r="BR15" i="47"/>
  <c r="BS23" i="47"/>
  <c r="BQ15" i="47"/>
  <c r="BR23" i="47"/>
  <c r="BP15" i="47"/>
  <c r="BQ23" i="47"/>
  <c r="BO15" i="47"/>
  <c r="BP23" i="47"/>
  <c r="BN15" i="47"/>
  <c r="BO23" i="47"/>
  <c r="BM15" i="47"/>
  <c r="BN23" i="47"/>
  <c r="BL15" i="47"/>
  <c r="BM23" i="47"/>
  <c r="BK15" i="47"/>
  <c r="BL23" i="47"/>
  <c r="BJ15" i="47"/>
  <c r="BK23" i="47"/>
  <c r="BI15" i="47"/>
  <c r="BJ23" i="47"/>
  <c r="BH15" i="47"/>
  <c r="BI23" i="47"/>
  <c r="BG15" i="47"/>
  <c r="BH23" i="47"/>
  <c r="BF15" i="47"/>
  <c r="BG23" i="47"/>
  <c r="BE15" i="47"/>
  <c r="BF23" i="47"/>
  <c r="BD15" i="47"/>
  <c r="BE23" i="47"/>
  <c r="BC15" i="47"/>
  <c r="BD23" i="47"/>
  <c r="BB15" i="47"/>
  <c r="BC23" i="47"/>
  <c r="BA15" i="47"/>
  <c r="BB23" i="47"/>
  <c r="AZ15" i="47"/>
  <c r="BA23" i="47"/>
  <c r="AY15" i="47"/>
  <c r="AZ23" i="47"/>
  <c r="AX15" i="47"/>
  <c r="AY23" i="47"/>
  <c r="AW15" i="47"/>
  <c r="AX23" i="47"/>
  <c r="AV15" i="47"/>
  <c r="AW23" i="47"/>
  <c r="AU15" i="47"/>
  <c r="AV23" i="47"/>
  <c r="AT15" i="47"/>
  <c r="AU23" i="47"/>
  <c r="AS15" i="47"/>
  <c r="AT23" i="47"/>
  <c r="AR15" i="47"/>
  <c r="AS23" i="47"/>
  <c r="AQ15" i="47"/>
  <c r="AR23" i="47"/>
  <c r="AP15" i="47"/>
  <c r="AQ23" i="47"/>
  <c r="AO15" i="47"/>
  <c r="AP23" i="47"/>
  <c r="AN15" i="47"/>
  <c r="AO23" i="47"/>
  <c r="AM15" i="47"/>
  <c r="AN23" i="47"/>
  <c r="AL15" i="47"/>
  <c r="AM23" i="47"/>
  <c r="AK15" i="47"/>
  <c r="AL23" i="47"/>
  <c r="AJ15" i="47"/>
  <c r="AK23" i="47"/>
  <c r="AI15" i="47"/>
  <c r="AJ23" i="47"/>
  <c r="AH15" i="47"/>
  <c r="AI23" i="47"/>
  <c r="AG15" i="47"/>
  <c r="AH23" i="47"/>
  <c r="AF15" i="47"/>
  <c r="AG23" i="47"/>
  <c r="AE15" i="47"/>
  <c r="AF23" i="47"/>
  <c r="AD15" i="47"/>
  <c r="AE23" i="47"/>
  <c r="AC15" i="47"/>
  <c r="AD23" i="47"/>
  <c r="AB15" i="47"/>
  <c r="AC23" i="47"/>
  <c r="AA15" i="47"/>
  <c r="AB23" i="47"/>
  <c r="Z15" i="47"/>
  <c r="AA23" i="47"/>
  <c r="Y15" i="47"/>
  <c r="Z23" i="47"/>
  <c r="X15" i="47"/>
  <c r="Y23" i="47"/>
  <c r="W15" i="47"/>
  <c r="X23" i="47"/>
  <c r="V15" i="47"/>
  <c r="W23" i="47"/>
  <c r="U15" i="47"/>
  <c r="V23" i="47"/>
  <c r="T15" i="47"/>
  <c r="U23" i="47"/>
  <c r="S15" i="47"/>
  <c r="T23" i="47"/>
  <c r="R15" i="47"/>
  <c r="S23" i="47"/>
  <c r="Q15" i="47"/>
  <c r="R23" i="47"/>
  <c r="P15" i="47"/>
  <c r="Q23" i="47"/>
  <c r="O15" i="47"/>
  <c r="P23" i="47"/>
  <c r="N15" i="47"/>
  <c r="O23" i="47"/>
  <c r="M15" i="47"/>
  <c r="N23" i="47"/>
  <c r="L15" i="47"/>
  <c r="M23" i="47"/>
  <c r="K15" i="47"/>
  <c r="L23" i="47"/>
  <c r="J15" i="47"/>
  <c r="K23" i="47"/>
  <c r="I15" i="47"/>
  <c r="J23" i="47"/>
  <c r="H15" i="47"/>
  <c r="I23" i="47"/>
  <c r="G15" i="47"/>
  <c r="H23" i="47"/>
  <c r="F15" i="47"/>
  <c r="G23" i="47"/>
  <c r="F23" i="47"/>
  <c r="RP22" i="47"/>
  <c r="RO22" i="47"/>
  <c r="RN22" i="47"/>
  <c r="RM22" i="47"/>
  <c r="RL22" i="47"/>
  <c r="RK22" i="47"/>
  <c r="RJ22" i="47"/>
  <c r="RI22" i="47"/>
  <c r="RH22" i="47"/>
  <c r="RG22" i="47"/>
  <c r="RF22" i="47"/>
  <c r="RE22" i="47"/>
  <c r="RD22" i="47"/>
  <c r="RC22" i="47"/>
  <c r="RB22" i="47"/>
  <c r="RA22" i="47"/>
  <c r="QZ22" i="47"/>
  <c r="QY22" i="47"/>
  <c r="QX22" i="47"/>
  <c r="QW22" i="47"/>
  <c r="QV22" i="47"/>
  <c r="QU22" i="47"/>
  <c r="QT22" i="47"/>
  <c r="QS22" i="47"/>
  <c r="QR22" i="47"/>
  <c r="QQ22" i="47"/>
  <c r="QP22" i="47"/>
  <c r="QO22" i="47"/>
  <c r="QN22" i="47"/>
  <c r="QM22" i="47"/>
  <c r="QL22" i="47"/>
  <c r="QK22" i="47"/>
  <c r="QJ22" i="47"/>
  <c r="QI22" i="47"/>
  <c r="QH22" i="47"/>
  <c r="QG22" i="47"/>
  <c r="QF22" i="47"/>
  <c r="QE22" i="47"/>
  <c r="QD22" i="47"/>
  <c r="QC22" i="47"/>
  <c r="QB22" i="47"/>
  <c r="QA22" i="47"/>
  <c r="PZ22" i="47"/>
  <c r="PY22" i="47"/>
  <c r="PX22" i="47"/>
  <c r="PW22" i="47"/>
  <c r="PV22" i="47"/>
  <c r="PU22" i="47"/>
  <c r="PT22" i="47"/>
  <c r="PS22" i="47"/>
  <c r="PR22" i="47"/>
  <c r="PQ22" i="47"/>
  <c r="PP22" i="47"/>
  <c r="PO22" i="47"/>
  <c r="PN22" i="47"/>
  <c r="PM22" i="47"/>
  <c r="PL22" i="47"/>
  <c r="PK22" i="47"/>
  <c r="PJ22" i="47"/>
  <c r="PI22" i="47"/>
  <c r="PH22" i="47"/>
  <c r="PG22" i="47"/>
  <c r="PF22" i="47"/>
  <c r="PE22" i="47"/>
  <c r="PD22" i="47"/>
  <c r="PC22" i="47"/>
  <c r="PB22" i="47"/>
  <c r="PA22" i="47"/>
  <c r="OZ22" i="47"/>
  <c r="OY22" i="47"/>
  <c r="OX22" i="47"/>
  <c r="OW22" i="47"/>
  <c r="OV22" i="47"/>
  <c r="OU22" i="47"/>
  <c r="OT22" i="47"/>
  <c r="OS22" i="47"/>
  <c r="OR22" i="47"/>
  <c r="OQ22" i="47"/>
  <c r="OP22" i="47"/>
  <c r="OO22" i="47"/>
  <c r="ON22" i="47"/>
  <c r="OM22" i="47"/>
  <c r="OL22" i="47"/>
  <c r="OK22" i="47"/>
  <c r="OJ22" i="47"/>
  <c r="OI22" i="47"/>
  <c r="OH22" i="47"/>
  <c r="OG22" i="47"/>
  <c r="OF22" i="47"/>
  <c r="OE22" i="47"/>
  <c r="OD22" i="47"/>
  <c r="OC22" i="47"/>
  <c r="OB22" i="47"/>
  <c r="OA22" i="47"/>
  <c r="NZ22" i="47"/>
  <c r="NY22" i="47"/>
  <c r="NX22" i="47"/>
  <c r="NW22" i="47"/>
  <c r="NV22" i="47"/>
  <c r="NU22" i="47"/>
  <c r="NT22" i="47"/>
  <c r="NS22" i="47"/>
  <c r="NR22" i="47"/>
  <c r="NQ22" i="47"/>
  <c r="NP22" i="47"/>
  <c r="NO22" i="47"/>
  <c r="NN22" i="47"/>
  <c r="NM22" i="47"/>
  <c r="NL22" i="47"/>
  <c r="NK22" i="47"/>
  <c r="NJ22" i="47"/>
  <c r="NI22" i="47"/>
  <c r="NH22" i="47"/>
  <c r="NG22" i="47"/>
  <c r="NF22" i="47"/>
  <c r="NE22" i="47"/>
  <c r="ND22" i="47"/>
  <c r="NC22" i="47"/>
  <c r="NB22" i="47"/>
  <c r="NA22" i="47"/>
  <c r="MZ22" i="47"/>
  <c r="MY22" i="47"/>
  <c r="MX22" i="47"/>
  <c r="MW22" i="47"/>
  <c r="MV22" i="47"/>
  <c r="MU22" i="47"/>
  <c r="MT22" i="47"/>
  <c r="MS22" i="47"/>
  <c r="MR22" i="47"/>
  <c r="MQ22" i="47"/>
  <c r="MP22" i="47"/>
  <c r="MO22" i="47"/>
  <c r="MN22" i="47"/>
  <c r="MM22" i="47"/>
  <c r="ML22" i="47"/>
  <c r="MK22" i="47"/>
  <c r="MJ22" i="47"/>
  <c r="MI22" i="47"/>
  <c r="MH22" i="47"/>
  <c r="MG22" i="47"/>
  <c r="MF22" i="47"/>
  <c r="ME22" i="47"/>
  <c r="MD22" i="47"/>
  <c r="MC22" i="47"/>
  <c r="MB22" i="47"/>
  <c r="MA22" i="47"/>
  <c r="LZ22" i="47"/>
  <c r="LY22" i="47"/>
  <c r="LX22" i="47"/>
  <c r="LW22" i="47"/>
  <c r="LV22" i="47"/>
  <c r="LU22" i="47"/>
  <c r="LT22" i="47"/>
  <c r="LS22" i="47"/>
  <c r="LR22" i="47"/>
  <c r="LQ22" i="47"/>
  <c r="LP22" i="47"/>
  <c r="LO22" i="47"/>
  <c r="LN22" i="47"/>
  <c r="LM22" i="47"/>
  <c r="LL22" i="47"/>
  <c r="LK22" i="47"/>
  <c r="LJ22" i="47"/>
  <c r="LI22" i="47"/>
  <c r="LH22" i="47"/>
  <c r="LG22" i="47"/>
  <c r="LF22" i="47"/>
  <c r="LE22" i="47"/>
  <c r="LD22" i="47"/>
  <c r="LC22" i="47"/>
  <c r="LB22" i="47"/>
  <c r="LA22" i="47"/>
  <c r="KZ22" i="47"/>
  <c r="KY22" i="47"/>
  <c r="KX22" i="47"/>
  <c r="KW22" i="47"/>
  <c r="KV22" i="47"/>
  <c r="KU22" i="47"/>
  <c r="KT22" i="47"/>
  <c r="KS22" i="47"/>
  <c r="KR22" i="47"/>
  <c r="KQ22" i="47"/>
  <c r="KP22" i="47"/>
  <c r="KO22" i="47"/>
  <c r="KN22" i="47"/>
  <c r="KM22" i="47"/>
  <c r="KL22" i="47"/>
  <c r="KK22" i="47"/>
  <c r="KJ22" i="47"/>
  <c r="KI22" i="47"/>
  <c r="KH22" i="47"/>
  <c r="KG22" i="47"/>
  <c r="KF22" i="47"/>
  <c r="KE22" i="47"/>
  <c r="KD22" i="47"/>
  <c r="KC22" i="47"/>
  <c r="KB22" i="47"/>
  <c r="KA22" i="47"/>
  <c r="JZ22" i="47"/>
  <c r="JY22" i="47"/>
  <c r="JX22" i="47"/>
  <c r="JW22" i="47"/>
  <c r="JV22" i="47"/>
  <c r="JU22" i="47"/>
  <c r="JT22" i="47"/>
  <c r="JS22" i="47"/>
  <c r="JR22" i="47"/>
  <c r="JQ22" i="47"/>
  <c r="JP22" i="47"/>
  <c r="JO22" i="47"/>
  <c r="JN22" i="47"/>
  <c r="JM22" i="47"/>
  <c r="JL22" i="47"/>
  <c r="JK22" i="47"/>
  <c r="JJ22" i="47"/>
  <c r="JI22" i="47"/>
  <c r="JH22" i="47"/>
  <c r="JG22" i="47"/>
  <c r="JF22" i="47"/>
  <c r="JE22" i="47"/>
  <c r="JD22" i="47"/>
  <c r="JC22" i="47"/>
  <c r="JB22" i="47"/>
  <c r="JA22" i="47"/>
  <c r="IZ22" i="47"/>
  <c r="IY22" i="47"/>
  <c r="IX22" i="47"/>
  <c r="IW22" i="47"/>
  <c r="IV22" i="47"/>
  <c r="IU22" i="47"/>
  <c r="IT22" i="47"/>
  <c r="IS22" i="47"/>
  <c r="IR22" i="47"/>
  <c r="IQ22" i="47"/>
  <c r="IP22" i="47"/>
  <c r="IO22" i="47"/>
  <c r="IN22" i="47"/>
  <c r="IM22" i="47"/>
  <c r="IL22" i="47"/>
  <c r="IK22" i="47"/>
  <c r="IJ22" i="47"/>
  <c r="II22" i="47"/>
  <c r="IH22" i="47"/>
  <c r="IG22" i="47"/>
  <c r="IF22" i="47"/>
  <c r="IE22" i="47"/>
  <c r="ID22" i="47"/>
  <c r="IC22" i="47"/>
  <c r="IB22" i="47"/>
  <c r="IA22" i="47"/>
  <c r="HZ22" i="47"/>
  <c r="HY22" i="47"/>
  <c r="HX22" i="47"/>
  <c r="HW22" i="47"/>
  <c r="HV22" i="47"/>
  <c r="HU22" i="47"/>
  <c r="HT22" i="47"/>
  <c r="HS22" i="47"/>
  <c r="HR22" i="47"/>
  <c r="HQ22" i="47"/>
  <c r="HP22" i="47"/>
  <c r="HO22" i="47"/>
  <c r="HN22" i="47"/>
  <c r="HM22" i="47"/>
  <c r="HL22" i="47"/>
  <c r="HK22" i="47"/>
  <c r="HJ22" i="47"/>
  <c r="HI22" i="47"/>
  <c r="HH22" i="47"/>
  <c r="HG22" i="47"/>
  <c r="HF22" i="47"/>
  <c r="HE22" i="47"/>
  <c r="HD22" i="47"/>
  <c r="HC22" i="47"/>
  <c r="HB22" i="47"/>
  <c r="HA22" i="47"/>
  <c r="GZ22" i="47"/>
  <c r="GY22" i="47"/>
  <c r="GX22" i="47"/>
  <c r="GW22" i="47"/>
  <c r="GV22" i="47"/>
  <c r="GU22" i="47"/>
  <c r="GT22" i="47"/>
  <c r="GS22" i="47"/>
  <c r="GR22" i="47"/>
  <c r="GQ22" i="47"/>
  <c r="GP22" i="47"/>
  <c r="GO22" i="47"/>
  <c r="GN22" i="47"/>
  <c r="GM22" i="47"/>
  <c r="GL22" i="47"/>
  <c r="GK22" i="47"/>
  <c r="GJ22" i="47"/>
  <c r="GI22" i="47"/>
  <c r="GH22" i="47"/>
  <c r="GG22" i="47"/>
  <c r="GF22" i="47"/>
  <c r="GE22" i="47"/>
  <c r="GD22" i="47"/>
  <c r="GC22" i="47"/>
  <c r="GB22" i="47"/>
  <c r="GA22" i="47"/>
  <c r="FZ22" i="47"/>
  <c r="FY22" i="47"/>
  <c r="FX22" i="47"/>
  <c r="FW22" i="47"/>
  <c r="FV22" i="47"/>
  <c r="FU22" i="47"/>
  <c r="FT22" i="47"/>
  <c r="FS22" i="47"/>
  <c r="FR22" i="47"/>
  <c r="FQ22" i="47"/>
  <c r="FP22" i="47"/>
  <c r="FO22" i="47"/>
  <c r="FN22" i="47"/>
  <c r="FM22" i="47"/>
  <c r="FL22" i="47"/>
  <c r="FK22" i="47"/>
  <c r="FJ22" i="47"/>
  <c r="FI22" i="47"/>
  <c r="FH22" i="47"/>
  <c r="FG22" i="47"/>
  <c r="FF22" i="47"/>
  <c r="FE22" i="47"/>
  <c r="FD22" i="47"/>
  <c r="FC22" i="47"/>
  <c r="FB22" i="47"/>
  <c r="FA22" i="47"/>
  <c r="EZ22" i="47"/>
  <c r="EY22" i="47"/>
  <c r="EX22" i="47"/>
  <c r="EW22" i="47"/>
  <c r="EV22" i="47"/>
  <c r="EU22" i="47"/>
  <c r="ET22" i="47"/>
  <c r="ES22" i="47"/>
  <c r="ER22" i="47"/>
  <c r="EQ22" i="47"/>
  <c r="EP22" i="47"/>
  <c r="EO22" i="47"/>
  <c r="EN22" i="47"/>
  <c r="EM22" i="47"/>
  <c r="EL22" i="47"/>
  <c r="EK22" i="47"/>
  <c r="EJ22" i="47"/>
  <c r="EI22" i="47"/>
  <c r="EH22" i="47"/>
  <c r="EG22" i="47"/>
  <c r="EF22" i="47"/>
  <c r="EE22" i="47"/>
  <c r="ED22" i="47"/>
  <c r="EC22" i="47"/>
  <c r="EB22" i="47"/>
  <c r="EA22" i="47"/>
  <c r="DZ22" i="47"/>
  <c r="DY22" i="47"/>
  <c r="DX22" i="47"/>
  <c r="DW22" i="47"/>
  <c r="DV22" i="47"/>
  <c r="DU22" i="47"/>
  <c r="DT22" i="47"/>
  <c r="DS22" i="47"/>
  <c r="DR22" i="47"/>
  <c r="DQ22" i="47"/>
  <c r="DP22" i="47"/>
  <c r="DO22" i="47"/>
  <c r="DN22" i="47"/>
  <c r="DM22" i="47"/>
  <c r="DL22" i="47"/>
  <c r="DK22" i="47"/>
  <c r="DJ22" i="47"/>
  <c r="DI22" i="47"/>
  <c r="DH22" i="47"/>
  <c r="DG22" i="47"/>
  <c r="DF22" i="47"/>
  <c r="DE22" i="47"/>
  <c r="DD22" i="47"/>
  <c r="DC22" i="47"/>
  <c r="DB22" i="47"/>
  <c r="DA22" i="47"/>
  <c r="CZ22" i="47"/>
  <c r="CY22" i="47"/>
  <c r="CX22" i="47"/>
  <c r="CW22" i="47"/>
  <c r="CV22" i="47"/>
  <c r="CU22" i="47"/>
  <c r="CT22" i="47"/>
  <c r="CS22" i="47"/>
  <c r="CR22" i="47"/>
  <c r="CQ22" i="47"/>
  <c r="CP22" i="47"/>
  <c r="CO22" i="47"/>
  <c r="CN22" i="47"/>
  <c r="CM22" i="47"/>
  <c r="CL22" i="47"/>
  <c r="CK22" i="47"/>
  <c r="CJ22" i="47"/>
  <c r="CI22" i="47"/>
  <c r="CH22" i="47"/>
  <c r="CG22" i="47"/>
  <c r="CF22" i="47"/>
  <c r="CE22" i="47"/>
  <c r="CD22" i="47"/>
  <c r="CC22" i="47"/>
  <c r="CB22" i="47"/>
  <c r="CA22" i="47"/>
  <c r="BZ22" i="47"/>
  <c r="BY22" i="47"/>
  <c r="BX22" i="47"/>
  <c r="BW22" i="47"/>
  <c r="BV22" i="47"/>
  <c r="BU22" i="47"/>
  <c r="BT22" i="47"/>
  <c r="BS22" i="47"/>
  <c r="BR22" i="47"/>
  <c r="BQ22" i="47"/>
  <c r="BP22" i="47"/>
  <c r="BO22" i="47"/>
  <c r="BN22" i="47"/>
  <c r="BM22" i="47"/>
  <c r="BL22" i="47"/>
  <c r="BK22" i="47"/>
  <c r="BJ22" i="47"/>
  <c r="BI22" i="47"/>
  <c r="BH22" i="47"/>
  <c r="BG22" i="47"/>
  <c r="BF22" i="47"/>
  <c r="BE22" i="47"/>
  <c r="BD22" i="47"/>
  <c r="BC22" i="47"/>
  <c r="BB22" i="47"/>
  <c r="BA22" i="47"/>
  <c r="AZ22" i="47"/>
  <c r="AY22" i="47"/>
  <c r="AX22" i="47"/>
  <c r="AW22" i="47"/>
  <c r="AV22" i="47"/>
  <c r="AU22" i="47"/>
  <c r="AT22" i="47"/>
  <c r="AS22" i="47"/>
  <c r="AR22" i="47"/>
  <c r="AQ22" i="47"/>
  <c r="AP22" i="47"/>
  <c r="AO22" i="47"/>
  <c r="AN22" i="47"/>
  <c r="AM22" i="47"/>
  <c r="AL22" i="47"/>
  <c r="AK22" i="47"/>
  <c r="AJ22" i="47"/>
  <c r="AI22" i="47"/>
  <c r="AH22" i="47"/>
  <c r="AG22" i="47"/>
  <c r="AF22" i="47"/>
  <c r="AE22" i="47"/>
  <c r="AD22" i="47"/>
  <c r="AC22" i="47"/>
  <c r="AB22" i="47"/>
  <c r="AA22" i="47"/>
  <c r="Z22" i="47"/>
  <c r="Y22" i="47"/>
  <c r="X22" i="47"/>
  <c r="W22" i="47"/>
  <c r="V22" i="47"/>
  <c r="U22" i="47"/>
  <c r="T22" i="47"/>
  <c r="S22" i="47"/>
  <c r="R22" i="47"/>
  <c r="Q22" i="47"/>
  <c r="P22" i="47"/>
  <c r="O22" i="47"/>
  <c r="N22" i="47"/>
  <c r="M22" i="47"/>
  <c r="L22" i="47"/>
  <c r="K22" i="47"/>
  <c r="J22" i="47"/>
  <c r="I22" i="47"/>
  <c r="H22" i="47"/>
  <c r="G22" i="47"/>
  <c r="F22" i="47"/>
  <c r="GC27" i="47"/>
  <c r="GN29" i="47"/>
  <c r="RP14" i="47"/>
  <c r="RO14" i="47"/>
  <c r="RN14" i="47"/>
  <c r="RM14" i="47"/>
  <c r="RL14" i="47"/>
  <c r="RK14" i="47"/>
  <c r="RJ14" i="47"/>
  <c r="RI14" i="47"/>
  <c r="RH14" i="47"/>
  <c r="RG14" i="47"/>
  <c r="RF14" i="47"/>
  <c r="RE14" i="47"/>
  <c r="RD14" i="47"/>
  <c r="RC14" i="47"/>
  <c r="RB14" i="47"/>
  <c r="RA14" i="47"/>
  <c r="QZ14" i="47"/>
  <c r="QY14" i="47"/>
  <c r="QX14" i="47"/>
  <c r="QW14" i="47"/>
  <c r="QV14" i="47"/>
  <c r="QU14" i="47"/>
  <c r="QT14" i="47"/>
  <c r="QS14" i="47"/>
  <c r="QR14" i="47"/>
  <c r="QQ14" i="47"/>
  <c r="QP14" i="47"/>
  <c r="QO14" i="47"/>
  <c r="QN14" i="47"/>
  <c r="QM14" i="47"/>
  <c r="QL14" i="47"/>
  <c r="QK14" i="47"/>
  <c r="QJ14" i="47"/>
  <c r="QI14" i="47"/>
  <c r="QH14" i="47"/>
  <c r="QG14" i="47"/>
  <c r="QF14" i="47"/>
  <c r="QE14" i="47"/>
  <c r="QD14" i="47"/>
  <c r="QC14" i="47"/>
  <c r="QB14" i="47"/>
  <c r="QA14" i="47"/>
  <c r="PZ14" i="47"/>
  <c r="PY14" i="47"/>
  <c r="PX14" i="47"/>
  <c r="PW14" i="47"/>
  <c r="PV14" i="47"/>
  <c r="PU14" i="47"/>
  <c r="PT14" i="47"/>
  <c r="PS14" i="47"/>
  <c r="PR14" i="47"/>
  <c r="PQ14" i="47"/>
  <c r="PP14" i="47"/>
  <c r="PO14" i="47"/>
  <c r="PN14" i="47"/>
  <c r="PM14" i="47"/>
  <c r="PL14" i="47"/>
  <c r="PK14" i="47"/>
  <c r="PJ14" i="47"/>
  <c r="PI14" i="47"/>
  <c r="PH14" i="47"/>
  <c r="PG14" i="47"/>
  <c r="PF14" i="47"/>
  <c r="PE14" i="47"/>
  <c r="PD14" i="47"/>
  <c r="PC14" i="47"/>
  <c r="PB14" i="47"/>
  <c r="PA14" i="47"/>
  <c r="OZ14" i="47"/>
  <c r="OY14" i="47"/>
  <c r="OX14" i="47"/>
  <c r="OW14" i="47"/>
  <c r="OV14" i="47"/>
  <c r="OU14" i="47"/>
  <c r="OT14" i="47"/>
  <c r="OS14" i="47"/>
  <c r="OR14" i="47"/>
  <c r="OQ14" i="47"/>
  <c r="OP14" i="47"/>
  <c r="OO14" i="47"/>
  <c r="ON14" i="47"/>
  <c r="OM14" i="47"/>
  <c r="OL14" i="47"/>
  <c r="OK14" i="47"/>
  <c r="OJ14" i="47"/>
  <c r="OI14" i="47"/>
  <c r="OH14" i="47"/>
  <c r="OG14" i="47"/>
  <c r="OF14" i="47"/>
  <c r="OE14" i="47"/>
  <c r="OD14" i="47"/>
  <c r="OC14" i="47"/>
  <c r="OB14" i="47"/>
  <c r="OA14" i="47"/>
  <c r="NZ14" i="47"/>
  <c r="NY14" i="47"/>
  <c r="NX14" i="47"/>
  <c r="NW14" i="47"/>
  <c r="NV14" i="47"/>
  <c r="NU14" i="47"/>
  <c r="NT14" i="47"/>
  <c r="NS14" i="47"/>
  <c r="NR14" i="47"/>
  <c r="NQ14" i="47"/>
  <c r="NP14" i="47"/>
  <c r="NO14" i="47"/>
  <c r="NN14" i="47"/>
  <c r="NM14" i="47"/>
  <c r="NL14" i="47"/>
  <c r="NK14" i="47"/>
  <c r="NJ14" i="47"/>
  <c r="NI14" i="47"/>
  <c r="NH14" i="47"/>
  <c r="NG14" i="47"/>
  <c r="NF14" i="47"/>
  <c r="NE14" i="47"/>
  <c r="ND14" i="47"/>
  <c r="NC14" i="47"/>
  <c r="NB14" i="47"/>
  <c r="NA14" i="47"/>
  <c r="MZ14" i="47"/>
  <c r="MY14" i="47"/>
  <c r="MX14" i="47"/>
  <c r="MW14" i="47"/>
  <c r="MV14" i="47"/>
  <c r="MU14" i="47"/>
  <c r="MT14" i="47"/>
  <c r="MS14" i="47"/>
  <c r="MR14" i="47"/>
  <c r="MQ14" i="47"/>
  <c r="MP14" i="47"/>
  <c r="MO14" i="47"/>
  <c r="MN14" i="47"/>
  <c r="MM14" i="47"/>
  <c r="ML14" i="47"/>
  <c r="MK14" i="47"/>
  <c r="MJ14" i="47"/>
  <c r="MI14" i="47"/>
  <c r="MH14" i="47"/>
  <c r="MG14" i="47"/>
  <c r="MF14" i="47"/>
  <c r="ME14" i="47"/>
  <c r="MD14" i="47"/>
  <c r="MC14" i="47"/>
  <c r="MB14" i="47"/>
  <c r="MA14" i="47"/>
  <c r="LZ14" i="47"/>
  <c r="LY14" i="47"/>
  <c r="LX14" i="47"/>
  <c r="LW14" i="47"/>
  <c r="LV14" i="47"/>
  <c r="LU14" i="47"/>
  <c r="LT14" i="47"/>
  <c r="LS14" i="47"/>
  <c r="LR14" i="47"/>
  <c r="LQ14" i="47"/>
  <c r="LP14" i="47"/>
  <c r="LO14" i="47"/>
  <c r="LN14" i="47"/>
  <c r="LM14" i="47"/>
  <c r="LL14" i="47"/>
  <c r="LK14" i="47"/>
  <c r="LJ14" i="47"/>
  <c r="LI14" i="47"/>
  <c r="LH14" i="47"/>
  <c r="LG14" i="47"/>
  <c r="LF14" i="47"/>
  <c r="LE14" i="47"/>
  <c r="LD14" i="47"/>
  <c r="LC14" i="47"/>
  <c r="LB14" i="47"/>
  <c r="LA14" i="47"/>
  <c r="KZ14" i="47"/>
  <c r="KY14" i="47"/>
  <c r="KX14" i="47"/>
  <c r="KW14" i="47"/>
  <c r="KV14" i="47"/>
  <c r="KU14" i="47"/>
  <c r="KT14" i="47"/>
  <c r="KS14" i="47"/>
  <c r="KR14" i="47"/>
  <c r="KQ14" i="47"/>
  <c r="KP14" i="47"/>
  <c r="KO14" i="47"/>
  <c r="KN14" i="47"/>
  <c r="KM14" i="47"/>
  <c r="KL14" i="47"/>
  <c r="KK14" i="47"/>
  <c r="KJ14" i="47"/>
  <c r="KI14" i="47"/>
  <c r="KH14" i="47"/>
  <c r="KG14" i="47"/>
  <c r="KF14" i="47"/>
  <c r="KE14" i="47"/>
  <c r="KD14" i="47"/>
  <c r="KC14" i="47"/>
  <c r="KB14" i="47"/>
  <c r="KA14" i="47"/>
  <c r="JZ14" i="47"/>
  <c r="JY14" i="47"/>
  <c r="JX14" i="47"/>
  <c r="JW14" i="47"/>
  <c r="JV14" i="47"/>
  <c r="JU14" i="47"/>
  <c r="JT14" i="47"/>
  <c r="JS14" i="47"/>
  <c r="JR14" i="47"/>
  <c r="JQ14" i="47"/>
  <c r="JP14" i="47"/>
  <c r="JO14" i="47"/>
  <c r="JN14" i="47"/>
  <c r="JM14" i="47"/>
  <c r="JL14" i="47"/>
  <c r="JK14" i="47"/>
  <c r="JJ14" i="47"/>
  <c r="JI14" i="47"/>
  <c r="JH14" i="47"/>
  <c r="JG14" i="47"/>
  <c r="JF14" i="47"/>
  <c r="JE14" i="47"/>
  <c r="JD14" i="47"/>
  <c r="JC14" i="47"/>
  <c r="JB14" i="47"/>
  <c r="JA14" i="47"/>
  <c r="IZ14" i="47"/>
  <c r="IY14" i="47"/>
  <c r="IX14" i="47"/>
  <c r="IW14" i="47"/>
  <c r="IV14" i="47"/>
  <c r="IU14" i="47"/>
  <c r="IT14" i="47"/>
  <c r="IS14" i="47"/>
  <c r="IR14" i="47"/>
  <c r="IQ14" i="47"/>
  <c r="IP14" i="47"/>
  <c r="IO14" i="47"/>
  <c r="IN14" i="47"/>
  <c r="IM14" i="47"/>
  <c r="IL14" i="47"/>
  <c r="IK14" i="47"/>
  <c r="IJ14" i="47"/>
  <c r="II14" i="47"/>
  <c r="IH14" i="47"/>
  <c r="IG14" i="47"/>
  <c r="IF14" i="47"/>
  <c r="IE14" i="47"/>
  <c r="ID14" i="47"/>
  <c r="IC14" i="47"/>
  <c r="IB14" i="47"/>
  <c r="IA14" i="47"/>
  <c r="HZ14" i="47"/>
  <c r="HY14" i="47"/>
  <c r="HX14" i="47"/>
  <c r="HW14" i="47"/>
  <c r="HV14" i="47"/>
  <c r="HU14" i="47"/>
  <c r="HT14" i="47"/>
  <c r="HS14" i="47"/>
  <c r="HR14" i="47"/>
  <c r="HQ14" i="47"/>
  <c r="HP14" i="47"/>
  <c r="HO14" i="47"/>
  <c r="HN14" i="47"/>
  <c r="HM14" i="47"/>
  <c r="HL14" i="47"/>
  <c r="HK14" i="47"/>
  <c r="HJ14" i="47"/>
  <c r="HI14" i="47"/>
  <c r="HH14" i="47"/>
  <c r="HG14" i="47"/>
  <c r="HF14" i="47"/>
  <c r="HE14" i="47"/>
  <c r="HD14" i="47"/>
  <c r="HC14" i="47"/>
  <c r="HB14" i="47"/>
  <c r="HA14" i="47"/>
  <c r="GZ14" i="47"/>
  <c r="GY14" i="47"/>
  <c r="GX14" i="47"/>
  <c r="GW14" i="47"/>
  <c r="GV14" i="47"/>
  <c r="GU14" i="47"/>
  <c r="GT14" i="47"/>
  <c r="GS14" i="47"/>
  <c r="GR14" i="47"/>
  <c r="GQ14" i="47"/>
  <c r="GP14" i="47"/>
  <c r="GO14" i="47"/>
  <c r="GN14" i="47"/>
  <c r="GM14" i="47"/>
  <c r="GL14" i="47"/>
  <c r="GK14" i="47"/>
  <c r="GJ14" i="47"/>
  <c r="GI14" i="47"/>
  <c r="GH14" i="47"/>
  <c r="GG14" i="47"/>
  <c r="GF14" i="47"/>
  <c r="GE14" i="47"/>
  <c r="GD14" i="47"/>
  <c r="GC14" i="47"/>
  <c r="GB14" i="47"/>
  <c r="GA14" i="47"/>
  <c r="FZ14" i="47"/>
  <c r="FY14" i="47"/>
  <c r="FX14" i="47"/>
  <c r="FW14" i="47"/>
  <c r="FV14" i="47"/>
  <c r="FU14" i="47"/>
  <c r="FT14" i="47"/>
  <c r="FS14" i="47"/>
  <c r="FR14" i="47"/>
  <c r="FQ14" i="47"/>
  <c r="FP14" i="47"/>
  <c r="FO14" i="47"/>
  <c r="FN14" i="47"/>
  <c r="FM14" i="47"/>
  <c r="FL14" i="47"/>
  <c r="FK14" i="47"/>
  <c r="FJ14" i="47"/>
  <c r="FI14" i="47"/>
  <c r="FH14" i="47"/>
  <c r="FG14" i="47"/>
  <c r="FF14" i="47"/>
  <c r="FE14" i="47"/>
  <c r="FD14" i="47"/>
  <c r="FC14" i="47"/>
  <c r="FB14" i="47"/>
  <c r="FA14" i="47"/>
  <c r="EZ14" i="47"/>
  <c r="EY14" i="47"/>
  <c r="EX14" i="47"/>
  <c r="EW14" i="47"/>
  <c r="EV14" i="47"/>
  <c r="EU14" i="47"/>
  <c r="ET14" i="47"/>
  <c r="ES14" i="47"/>
  <c r="ER14" i="47"/>
  <c r="EQ14" i="47"/>
  <c r="EP14" i="47"/>
  <c r="EO14" i="47"/>
  <c r="EN14" i="47"/>
  <c r="EM14" i="47"/>
  <c r="EL14" i="47"/>
  <c r="EK14" i="47"/>
  <c r="EJ14" i="47"/>
  <c r="EI14" i="47"/>
  <c r="EH14" i="47"/>
  <c r="EG14" i="47"/>
  <c r="EF14" i="47"/>
  <c r="EE14" i="47"/>
  <c r="ED14" i="47"/>
  <c r="EC14" i="47"/>
  <c r="EB14" i="47"/>
  <c r="EA14" i="47"/>
  <c r="DZ14" i="47"/>
  <c r="DY14" i="47"/>
  <c r="DX14" i="47"/>
  <c r="DW14" i="47"/>
  <c r="DV14" i="47"/>
  <c r="DU14" i="47"/>
  <c r="DT14" i="47"/>
  <c r="DS14" i="47"/>
  <c r="DR14" i="47"/>
  <c r="DQ14" i="47"/>
  <c r="DP14" i="47"/>
  <c r="DO14" i="47"/>
  <c r="DN14" i="47"/>
  <c r="DM14" i="47"/>
  <c r="DL14" i="47"/>
  <c r="DK14" i="47"/>
  <c r="DJ14" i="47"/>
  <c r="DI14" i="47"/>
  <c r="DH14" i="47"/>
  <c r="DG14" i="47"/>
  <c r="DF14" i="47"/>
  <c r="DE14" i="47"/>
  <c r="DD14" i="47"/>
  <c r="DC14" i="47"/>
  <c r="DB14" i="47"/>
  <c r="DA14" i="47"/>
  <c r="CZ14" i="47"/>
  <c r="CY14" i="47"/>
  <c r="CX14" i="47"/>
  <c r="CW14" i="47"/>
  <c r="CV14" i="47"/>
  <c r="CU14" i="47"/>
  <c r="CT14" i="47"/>
  <c r="CS14" i="47"/>
  <c r="CR14" i="47"/>
  <c r="CQ14" i="47"/>
  <c r="CP14" i="47"/>
  <c r="CO14" i="47"/>
  <c r="CN14" i="47"/>
  <c r="CM14" i="47"/>
  <c r="CL14" i="47"/>
  <c r="CK14" i="47"/>
  <c r="CJ14" i="47"/>
  <c r="CI14" i="47"/>
  <c r="CH14" i="47"/>
  <c r="CG14" i="47"/>
  <c r="CF14" i="47"/>
  <c r="CE14" i="47"/>
  <c r="CD14" i="47"/>
  <c r="CC14" i="47"/>
  <c r="CB14" i="47"/>
  <c r="CA14" i="47"/>
  <c r="BZ14" i="47"/>
  <c r="BY14" i="47"/>
  <c r="BX14" i="47"/>
  <c r="BW14" i="47"/>
  <c r="BV14" i="47"/>
  <c r="BU14" i="47"/>
  <c r="BT14" i="47"/>
  <c r="BS14" i="47"/>
  <c r="BR14" i="47"/>
  <c r="BQ14" i="47"/>
  <c r="BP14" i="47"/>
  <c r="BO14" i="47"/>
  <c r="BN14" i="47"/>
  <c r="BM14" i="47"/>
  <c r="BL14" i="47"/>
  <c r="BK14" i="47"/>
  <c r="BJ14" i="47"/>
  <c r="BI14" i="47"/>
  <c r="BH14" i="47"/>
  <c r="BG14" i="47"/>
  <c r="BF14" i="47"/>
  <c r="BE14" i="47"/>
  <c r="BD14" i="47"/>
  <c r="BC14" i="47"/>
  <c r="BB14" i="47"/>
  <c r="BA14" i="47"/>
  <c r="AZ14" i="47"/>
  <c r="AY14" i="47"/>
  <c r="AX14" i="47"/>
  <c r="AW14" i="47"/>
  <c r="AV14" i="47"/>
  <c r="AU14" i="47"/>
  <c r="AT14" i="47"/>
  <c r="AS14" i="47"/>
  <c r="AR14" i="47"/>
  <c r="AQ14" i="47"/>
  <c r="AP14" i="47"/>
  <c r="AO14" i="47"/>
  <c r="AN14" i="47"/>
  <c r="AM14" i="47"/>
  <c r="AL14" i="47"/>
  <c r="AK14" i="47"/>
  <c r="AJ14" i="47"/>
  <c r="AI14" i="47"/>
  <c r="AH14" i="47"/>
  <c r="AG14" i="47"/>
  <c r="AF14" i="47"/>
  <c r="AE14" i="47"/>
  <c r="AD14" i="47"/>
  <c r="AC14" i="47"/>
  <c r="AB14" i="47"/>
  <c r="AA14" i="47"/>
  <c r="Z14" i="47"/>
  <c r="Y14" i="47"/>
  <c r="X14" i="47"/>
  <c r="W14" i="47"/>
  <c r="V14" i="47"/>
  <c r="U14" i="47"/>
  <c r="T14" i="47"/>
  <c r="S14" i="47"/>
  <c r="R14" i="47"/>
  <c r="Q14" i="47"/>
  <c r="P14" i="47"/>
  <c r="O14" i="47"/>
  <c r="N14" i="47"/>
  <c r="M14" i="47"/>
  <c r="L14" i="47"/>
  <c r="K14" i="47"/>
  <c r="J14" i="47"/>
  <c r="I14" i="47"/>
  <c r="H14" i="47"/>
  <c r="G14" i="47"/>
  <c r="F14" i="47"/>
  <c r="AR2" i="47"/>
  <c r="GZ30" i="25"/>
  <c r="GZ8" i="25"/>
  <c r="GY30" i="25"/>
  <c r="GY8" i="25"/>
  <c r="GX30" i="25"/>
  <c r="GX8" i="25"/>
  <c r="GW30" i="25"/>
  <c r="GW8" i="25"/>
  <c r="GV30" i="25"/>
  <c r="GV8" i="25"/>
  <c r="GU30" i="25"/>
  <c r="GU8" i="25"/>
  <c r="GT30" i="25"/>
  <c r="GT8" i="25"/>
  <c r="GS30" i="25"/>
  <c r="GS8" i="25"/>
  <c r="GR30" i="25"/>
  <c r="GR8" i="25"/>
  <c r="GQ30" i="25"/>
  <c r="GQ8" i="25"/>
  <c r="GP30" i="25"/>
  <c r="GP8" i="25"/>
  <c r="GO30" i="25"/>
  <c r="GO8" i="25"/>
  <c r="GN30" i="25"/>
  <c r="GN8" i="25"/>
  <c r="GM30" i="25"/>
  <c r="GM8" i="25"/>
  <c r="GL30" i="25"/>
  <c r="GL8" i="25"/>
  <c r="GK30" i="25"/>
  <c r="GK8" i="25"/>
  <c r="GJ30" i="25"/>
  <c r="GJ8" i="25"/>
  <c r="GI30" i="25"/>
  <c r="GI8" i="25"/>
  <c r="GH30" i="25"/>
  <c r="GH8" i="25"/>
  <c r="GG30" i="25"/>
  <c r="GG8" i="25"/>
  <c r="GF30" i="25"/>
  <c r="GF8" i="25"/>
  <c r="GE30" i="25"/>
  <c r="GE8" i="25"/>
  <c r="GD30" i="25"/>
  <c r="GD8" i="25"/>
  <c r="GC30" i="25"/>
  <c r="GC8" i="25"/>
  <c r="GB30" i="25"/>
  <c r="GB8" i="25"/>
  <c r="GA30" i="25"/>
  <c r="GA8" i="25"/>
  <c r="FZ30" i="25"/>
  <c r="FZ8" i="25"/>
  <c r="FY30" i="25"/>
  <c r="FY8" i="25"/>
  <c r="FX30" i="25"/>
  <c r="FX8" i="25"/>
  <c r="FW30" i="25"/>
  <c r="FW8" i="25"/>
  <c r="FV30" i="25"/>
  <c r="FV8" i="25"/>
  <c r="FU30" i="25"/>
  <c r="FU8" i="25"/>
  <c r="FT30" i="25"/>
  <c r="FT8" i="25"/>
  <c r="FS30" i="25"/>
  <c r="FS8" i="25"/>
  <c r="FR30" i="25"/>
  <c r="FR8" i="25"/>
  <c r="FQ30" i="25"/>
  <c r="FQ8" i="25"/>
  <c r="FP30" i="25"/>
  <c r="FP8" i="25"/>
  <c r="FO30" i="25"/>
  <c r="FO8" i="25"/>
  <c r="FN30" i="25"/>
  <c r="FN8" i="25"/>
  <c r="FM30" i="25"/>
  <c r="FM8" i="25"/>
  <c r="FL30" i="25"/>
  <c r="FL8" i="25"/>
  <c r="FK30" i="25"/>
  <c r="FK8" i="25"/>
  <c r="FJ30" i="25"/>
  <c r="FJ8" i="25"/>
  <c r="FI30" i="25"/>
  <c r="FI8" i="25"/>
  <c r="FH30" i="25"/>
  <c r="FH8" i="25"/>
  <c r="FG30" i="25"/>
  <c r="FG8" i="25"/>
  <c r="FF30" i="25"/>
  <c r="FF8" i="25"/>
  <c r="FE30" i="25"/>
  <c r="FE8" i="25"/>
  <c r="FD30" i="25"/>
  <c r="FD8" i="25"/>
  <c r="FC30" i="25"/>
  <c r="FC8" i="25"/>
  <c r="FB30" i="25"/>
  <c r="FB8" i="25"/>
  <c r="FA30" i="25"/>
  <c r="FA8" i="25"/>
  <c r="EZ30" i="25"/>
  <c r="EZ8" i="25"/>
  <c r="EY30" i="25"/>
  <c r="EY8" i="25"/>
  <c r="EX30" i="25"/>
  <c r="EX8" i="25"/>
  <c r="EW30" i="25"/>
  <c r="EW8" i="25"/>
  <c r="EV30" i="25"/>
  <c r="EV8" i="25"/>
  <c r="EU30" i="25"/>
  <c r="EU8" i="25"/>
  <c r="ET30" i="25"/>
  <c r="ET8" i="25"/>
  <c r="ES30" i="25"/>
  <c r="ES8" i="25"/>
  <c r="ER30" i="25"/>
  <c r="ER8" i="25"/>
  <c r="EQ30" i="25"/>
  <c r="EQ8" i="25"/>
  <c r="EP30" i="25"/>
  <c r="EP8" i="25"/>
  <c r="EO30" i="25"/>
  <c r="EO8" i="25"/>
  <c r="EN30" i="25"/>
  <c r="EN8" i="25"/>
  <c r="EM30" i="25"/>
  <c r="EM8" i="25"/>
  <c r="EL30" i="25"/>
  <c r="EL8" i="25"/>
  <c r="EK30" i="25"/>
  <c r="EK8" i="25"/>
  <c r="EJ30" i="25"/>
  <c r="EJ8" i="25"/>
  <c r="EI30" i="25"/>
  <c r="EI8" i="25"/>
  <c r="EH30" i="25"/>
  <c r="EH8" i="25"/>
  <c r="EG30" i="25"/>
  <c r="EG8" i="25"/>
  <c r="EF30" i="25"/>
  <c r="EF8" i="25"/>
  <c r="EE30" i="25"/>
  <c r="EE8" i="25"/>
  <c r="ED30" i="25"/>
  <c r="ED8" i="25"/>
  <c r="EC30" i="25"/>
  <c r="EC8" i="25"/>
  <c r="EB30" i="25"/>
  <c r="EB8" i="25"/>
  <c r="EA30" i="25"/>
  <c r="EA8" i="25"/>
  <c r="DZ30" i="25"/>
  <c r="DZ8" i="25"/>
  <c r="DY30" i="25"/>
  <c r="DY8" i="25"/>
  <c r="DX30" i="25"/>
  <c r="DX8" i="25"/>
  <c r="DW30" i="25"/>
  <c r="DW8" i="25"/>
  <c r="DV30" i="25"/>
  <c r="DV8" i="25"/>
  <c r="DU30" i="25"/>
  <c r="DU8" i="25"/>
  <c r="DT30" i="25"/>
  <c r="DT8" i="25"/>
  <c r="DS30" i="25"/>
  <c r="DS8" i="25"/>
  <c r="DR30" i="25"/>
  <c r="DR8" i="25"/>
  <c r="DQ30" i="25"/>
  <c r="DQ8" i="25"/>
  <c r="DP30" i="25"/>
  <c r="DP8" i="25"/>
  <c r="DO30" i="25"/>
  <c r="DO8" i="25"/>
  <c r="DN30" i="25"/>
  <c r="DN8" i="25"/>
  <c r="DM30" i="25"/>
  <c r="DM8" i="25"/>
  <c r="DL30" i="25"/>
  <c r="DL8" i="25"/>
  <c r="DK30" i="25"/>
  <c r="DK8" i="25"/>
  <c r="DJ30" i="25"/>
  <c r="DJ8" i="25"/>
  <c r="DI8" i="25"/>
  <c r="DH8" i="25"/>
  <c r="DG8" i="25"/>
  <c r="DF8" i="25"/>
  <c r="DE8" i="25"/>
  <c r="DD8" i="25"/>
  <c r="DC8" i="25"/>
  <c r="DB8" i="25"/>
  <c r="DA8" i="25"/>
  <c r="CZ8" i="25"/>
  <c r="CY8" i="25"/>
  <c r="CX8" i="25"/>
  <c r="CW8" i="25"/>
  <c r="CV8" i="25"/>
  <c r="CU8" i="25"/>
  <c r="CT8" i="25"/>
  <c r="CS8" i="25"/>
  <c r="CR8" i="25"/>
  <c r="CQ8" i="25"/>
  <c r="CP8" i="25"/>
  <c r="CO8" i="25"/>
  <c r="CN8" i="25"/>
  <c r="CM8" i="25"/>
  <c r="CL8" i="25"/>
  <c r="CK8" i="25"/>
  <c r="CJ8" i="25"/>
  <c r="CI8" i="25"/>
  <c r="CH8" i="25"/>
  <c r="CG8" i="25"/>
  <c r="CF8" i="25"/>
  <c r="CE8" i="25"/>
  <c r="CD8" i="25"/>
  <c r="CC8" i="25"/>
  <c r="CB8" i="25"/>
  <c r="CA8" i="25"/>
  <c r="BZ8" i="25"/>
  <c r="BY8" i="25"/>
  <c r="BX8" i="25"/>
  <c r="BW8" i="25"/>
  <c r="BV8" i="25"/>
  <c r="BU8" i="25"/>
  <c r="BT8" i="25"/>
  <c r="BS8" i="25"/>
  <c r="BR8" i="25"/>
  <c r="BQ8" i="25"/>
  <c r="BP8" i="25"/>
  <c r="BO8" i="25"/>
  <c r="BN8" i="25"/>
  <c r="BM8" i="25"/>
  <c r="BL8" i="25"/>
  <c r="F22" i="44"/>
  <c r="F19" i="44"/>
  <c r="J11" i="43"/>
  <c r="I11" i="43"/>
  <c r="G11" i="43"/>
  <c r="J10" i="43"/>
  <c r="I10" i="43"/>
  <c r="H10" i="43"/>
  <c r="G10" i="43"/>
  <c r="J9" i="43"/>
  <c r="I9" i="43"/>
  <c r="H9" i="43"/>
  <c r="G9" i="43"/>
  <c r="F16" i="43"/>
  <c r="DX7" i="25"/>
  <c r="DX13" i="37"/>
  <c r="DX14" i="37"/>
  <c r="DX15" i="37"/>
  <c r="DW7" i="25"/>
  <c r="DW13" i="37"/>
  <c r="DW14" i="37"/>
  <c r="DW15" i="37"/>
  <c r="DV7" i="25"/>
  <c r="DV13" i="37"/>
  <c r="DV14" i="37"/>
  <c r="DV15" i="37"/>
  <c r="DU7" i="25"/>
  <c r="DU13" i="37"/>
  <c r="DU14" i="37"/>
  <c r="DU15" i="37"/>
  <c r="DT7" i="25"/>
  <c r="DT13" i="37"/>
  <c r="DT14" i="37"/>
  <c r="DT15" i="37"/>
  <c r="DS7" i="25"/>
  <c r="DS13" i="37"/>
  <c r="DS14" i="37"/>
  <c r="DS15" i="37"/>
  <c r="DR7" i="25"/>
  <c r="DR13" i="37"/>
  <c r="DR14" i="37"/>
  <c r="DR15" i="37"/>
  <c r="DQ7" i="25"/>
  <c r="DQ13" i="37"/>
  <c r="DQ14" i="37"/>
  <c r="DQ15" i="37"/>
  <c r="DP7" i="25"/>
  <c r="DP13" i="37"/>
  <c r="DP14" i="37"/>
  <c r="DP15" i="37"/>
  <c r="DO7" i="25"/>
  <c r="DO13" i="37"/>
  <c r="DO14" i="37"/>
  <c r="DO15" i="37"/>
  <c r="DN7" i="25"/>
  <c r="DN13" i="37"/>
  <c r="DN14" i="37"/>
  <c r="DN15" i="37"/>
  <c r="DM7" i="25"/>
  <c r="DM13" i="37"/>
  <c r="DM14" i="37"/>
  <c r="DM15" i="37"/>
  <c r="DL7" i="25"/>
  <c r="DL13" i="37"/>
  <c r="DL14" i="37"/>
  <c r="DL15" i="37"/>
  <c r="DK7" i="25"/>
  <c r="DK13" i="37"/>
  <c r="DK14" i="37"/>
  <c r="DK15" i="37"/>
  <c r="DJ7" i="25"/>
  <c r="DJ13" i="37"/>
  <c r="DJ14" i="37"/>
  <c r="DJ15" i="37"/>
  <c r="DX19" i="37"/>
  <c r="DW19" i="37"/>
  <c r="DV19" i="37"/>
  <c r="DU19" i="37"/>
  <c r="DT19" i="37"/>
  <c r="DS19" i="37"/>
  <c r="DR19" i="37"/>
  <c r="DQ19" i="37"/>
  <c r="DP19" i="37"/>
  <c r="DO19" i="37"/>
  <c r="DN19" i="37"/>
  <c r="DM19" i="37"/>
  <c r="DL19" i="37"/>
  <c r="DK19" i="37"/>
  <c r="DJ19" i="37"/>
  <c r="DX10" i="37"/>
  <c r="DW10" i="37"/>
  <c r="DV10" i="37"/>
  <c r="DU10" i="37"/>
  <c r="DT10" i="37"/>
  <c r="DS10" i="37"/>
  <c r="DR10" i="37"/>
  <c r="DQ10" i="37"/>
  <c r="DP10" i="37"/>
  <c r="DO10" i="37"/>
  <c r="DN10" i="37"/>
  <c r="DM10" i="37"/>
  <c r="DL10" i="37"/>
  <c r="DK10" i="37"/>
  <c r="DJ10" i="37"/>
  <c r="GZ7" i="25"/>
  <c r="GY7" i="25"/>
  <c r="GX7" i="25"/>
  <c r="GW7" i="25"/>
  <c r="GV7" i="25"/>
  <c r="GU7" i="25"/>
  <c r="GT7" i="25"/>
  <c r="GS7" i="25"/>
  <c r="GR7" i="25"/>
  <c r="GQ7" i="25"/>
  <c r="GP7" i="25"/>
  <c r="GO7" i="25"/>
  <c r="GN7" i="25"/>
  <c r="GM7" i="25"/>
  <c r="GL7" i="25"/>
  <c r="GK7" i="25"/>
  <c r="GJ7" i="25"/>
  <c r="GI7" i="25"/>
  <c r="GH7" i="25"/>
  <c r="GG7" i="25"/>
  <c r="GF7" i="25"/>
  <c r="GE7" i="25"/>
  <c r="GD7" i="25"/>
  <c r="GC7" i="25"/>
  <c r="GB7" i="25"/>
  <c r="GA7" i="25"/>
  <c r="FZ7" i="25"/>
  <c r="FY7" i="25"/>
  <c r="FX7" i="25"/>
  <c r="FW7" i="25"/>
  <c r="FV7" i="25"/>
  <c r="FU7" i="25"/>
  <c r="FT7" i="25"/>
  <c r="FS7" i="25"/>
  <c r="FR7" i="25"/>
  <c r="FQ7" i="25"/>
  <c r="FP7" i="25"/>
  <c r="FO7" i="25"/>
  <c r="FN7" i="25"/>
  <c r="FM7" i="25"/>
  <c r="FL7" i="25"/>
  <c r="FK7" i="25"/>
  <c r="FJ7" i="25"/>
  <c r="FI7" i="25"/>
  <c r="FH7" i="25"/>
  <c r="FG7" i="25"/>
  <c r="FF7" i="25"/>
  <c r="FE7" i="25"/>
  <c r="FD7" i="25"/>
  <c r="FC7" i="25"/>
  <c r="FB7" i="25"/>
  <c r="FA7" i="25"/>
  <c r="EZ7" i="25"/>
  <c r="EY7" i="25"/>
  <c r="EX7" i="25"/>
  <c r="EW7" i="25"/>
  <c r="EV7" i="25"/>
  <c r="EU7" i="25"/>
  <c r="ET7" i="25"/>
  <c r="ES7" i="25"/>
  <c r="ER7" i="25"/>
  <c r="EQ7" i="25"/>
  <c r="EP7" i="25"/>
  <c r="EO7" i="25"/>
  <c r="EN7" i="25"/>
  <c r="EM7" i="25"/>
  <c r="EL7" i="25"/>
  <c r="EK7" i="25"/>
  <c r="EJ7" i="25"/>
  <c r="EI7" i="25"/>
  <c r="EH7" i="25"/>
  <c r="EG7" i="25"/>
  <c r="EF7" i="25"/>
  <c r="EE7" i="25"/>
  <c r="ED7" i="25"/>
  <c r="EC7" i="25"/>
  <c r="EB7" i="25"/>
  <c r="EA7" i="25"/>
  <c r="DZ7" i="25"/>
  <c r="DY7" i="25"/>
  <c r="H22" i="25"/>
  <c r="I23" i="25"/>
  <c r="I31" i="25"/>
  <c r="J23" i="25"/>
  <c r="J31" i="25"/>
  <c r="K23" i="25"/>
  <c r="K31" i="25"/>
  <c r="L23" i="25"/>
  <c r="L31" i="25"/>
  <c r="M23" i="25"/>
  <c r="M31" i="25"/>
  <c r="M22" i="25"/>
  <c r="N23" i="25"/>
  <c r="N31" i="25"/>
  <c r="O23" i="25"/>
  <c r="O31" i="25"/>
  <c r="P23" i="25"/>
  <c r="P31" i="25"/>
  <c r="Q23" i="25"/>
  <c r="Q31" i="25"/>
  <c r="R23" i="25"/>
  <c r="R31" i="25"/>
  <c r="R22" i="25"/>
  <c r="S23" i="25"/>
  <c r="S31" i="25"/>
  <c r="T23" i="25"/>
  <c r="T31" i="25"/>
  <c r="U23" i="25"/>
  <c r="U31" i="25"/>
  <c r="V23" i="25"/>
  <c r="V31" i="25"/>
  <c r="W23" i="25"/>
  <c r="W31" i="25"/>
  <c r="W22" i="25"/>
  <c r="X23" i="25"/>
  <c r="X31" i="25"/>
  <c r="Y23" i="25"/>
  <c r="Y31" i="25"/>
  <c r="Z23" i="25"/>
  <c r="Z31" i="25"/>
  <c r="AA23" i="25"/>
  <c r="AA31" i="25"/>
  <c r="AB23" i="25"/>
  <c r="AB31" i="25"/>
  <c r="AB22" i="25"/>
  <c r="AC23" i="25"/>
  <c r="AC31" i="25"/>
  <c r="AD23" i="25"/>
  <c r="AD31" i="25"/>
  <c r="AE23" i="25"/>
  <c r="AE31" i="25"/>
  <c r="AF23" i="25"/>
  <c r="AF31" i="25"/>
  <c r="AG23" i="25"/>
  <c r="AG31" i="25"/>
  <c r="AG22" i="25"/>
  <c r="AH23" i="25"/>
  <c r="AH31" i="25"/>
  <c r="AI23" i="25"/>
  <c r="AI31" i="25"/>
  <c r="AJ23" i="25"/>
  <c r="AJ31" i="25"/>
  <c r="AK23" i="25"/>
  <c r="AK31" i="25"/>
  <c r="AL23" i="25"/>
  <c r="AL31" i="25"/>
  <c r="AL22" i="25"/>
  <c r="AM23" i="25"/>
  <c r="AM31" i="25"/>
  <c r="AN23" i="25"/>
  <c r="AN31" i="25"/>
  <c r="AO23" i="25"/>
  <c r="AO31" i="25"/>
  <c r="AP23" i="25"/>
  <c r="AP31" i="25"/>
  <c r="AQ23" i="25"/>
  <c r="AQ31" i="25"/>
  <c r="AQ22" i="25"/>
  <c r="AR23" i="25"/>
  <c r="AR31" i="25"/>
  <c r="AS23" i="25"/>
  <c r="AS31" i="25"/>
  <c r="AT23" i="25"/>
  <c r="AT31" i="25"/>
  <c r="AU23" i="25"/>
  <c r="AU31" i="25"/>
  <c r="AV23" i="25"/>
  <c r="AV31" i="25"/>
  <c r="AV22" i="25"/>
  <c r="AW23" i="25"/>
  <c r="AW31" i="25"/>
  <c r="AX23" i="25"/>
  <c r="AX31" i="25"/>
  <c r="AY23" i="25"/>
  <c r="AY31" i="25"/>
  <c r="AZ23" i="25"/>
  <c r="AZ31" i="25"/>
  <c r="BA23" i="25"/>
  <c r="BA31" i="25"/>
  <c r="BA22" i="25"/>
  <c r="BB23" i="25"/>
  <c r="BB31" i="25"/>
  <c r="BC23" i="25"/>
  <c r="BC31" i="25"/>
  <c r="BD23" i="25"/>
  <c r="BD31" i="25"/>
  <c r="BE23" i="25"/>
  <c r="BE31" i="25"/>
  <c r="BF23" i="25"/>
  <c r="BF31" i="25"/>
  <c r="BF22" i="25"/>
  <c r="BG23" i="25"/>
  <c r="BG31" i="25"/>
  <c r="BH23" i="25"/>
  <c r="BH31" i="25"/>
  <c r="BI23" i="25"/>
  <c r="BI31" i="25"/>
  <c r="BJ23" i="25"/>
  <c r="BJ31" i="25"/>
  <c r="BK23" i="25"/>
  <c r="BK31" i="25"/>
  <c r="BK22" i="25"/>
  <c r="BL23" i="25"/>
  <c r="BL31" i="25"/>
  <c r="BM23" i="25"/>
  <c r="BM31" i="25"/>
  <c r="BN23" i="25"/>
  <c r="BN31" i="25"/>
  <c r="BO23" i="25"/>
  <c r="BO31" i="25"/>
  <c r="BP23" i="25"/>
  <c r="BP31" i="25"/>
  <c r="BP22" i="25"/>
  <c r="BQ23" i="25"/>
  <c r="BQ31" i="25"/>
  <c r="BR23" i="25"/>
  <c r="BR31" i="25"/>
  <c r="BS23" i="25"/>
  <c r="BS31" i="25"/>
  <c r="BT23" i="25"/>
  <c r="BT31" i="25"/>
  <c r="BU23" i="25"/>
  <c r="BU31" i="25"/>
  <c r="BU22" i="25"/>
  <c r="BV23" i="25"/>
  <c r="BV31" i="25"/>
  <c r="BW23" i="25"/>
  <c r="BW31" i="25"/>
  <c r="BX23" i="25"/>
  <c r="BX31" i="25"/>
  <c r="BY23" i="25"/>
  <c r="BY31" i="25"/>
  <c r="BZ23" i="25"/>
  <c r="BZ31" i="25"/>
  <c r="BZ22" i="25"/>
  <c r="CA23" i="25"/>
  <c r="CA31" i="25"/>
  <c r="CB23" i="25"/>
  <c r="CB31" i="25"/>
  <c r="CC23" i="25"/>
  <c r="CC31" i="25"/>
  <c r="CD23" i="25"/>
  <c r="CD31" i="25"/>
  <c r="CE23" i="25"/>
  <c r="CE31" i="25"/>
  <c r="CE22" i="25"/>
  <c r="CF23" i="25"/>
  <c r="CF31" i="25"/>
  <c r="CG23" i="25"/>
  <c r="CG31" i="25"/>
  <c r="CH23" i="25"/>
  <c r="CH31" i="25"/>
  <c r="CI23" i="25"/>
  <c r="CI31" i="25"/>
  <c r="CJ23" i="25"/>
  <c r="CJ31" i="25"/>
  <c r="CJ22" i="25"/>
  <c r="CK23" i="25"/>
  <c r="CK31" i="25"/>
  <c r="CL23" i="25"/>
  <c r="CL31" i="25"/>
  <c r="CM23" i="25"/>
  <c r="CM31" i="25"/>
  <c r="CN23" i="25"/>
  <c r="CN31" i="25"/>
  <c r="CO23" i="25"/>
  <c r="CO31" i="25"/>
  <c r="CO22" i="25"/>
  <c r="CP23" i="25"/>
  <c r="CP31" i="25"/>
  <c r="CQ23" i="25"/>
  <c r="CQ31" i="25"/>
  <c r="CR23" i="25"/>
  <c r="CR31" i="25"/>
  <c r="CS23" i="25"/>
  <c r="CS31" i="25"/>
  <c r="CT23" i="25"/>
  <c r="CT31" i="25"/>
  <c r="CU23" i="25"/>
  <c r="CU31" i="25"/>
  <c r="CV23" i="25"/>
  <c r="CV31" i="25"/>
  <c r="CW23" i="25"/>
  <c r="CW31" i="25"/>
  <c r="CX23" i="25"/>
  <c r="CX31" i="25"/>
  <c r="CY23" i="25"/>
  <c r="CY31" i="25"/>
  <c r="CZ23" i="25"/>
  <c r="CZ31" i="25"/>
  <c r="DA23" i="25"/>
  <c r="DA31" i="25"/>
  <c r="DB23" i="25"/>
  <c r="DB31" i="25"/>
  <c r="DC23" i="25"/>
  <c r="DC31" i="25"/>
  <c r="DD23" i="25"/>
  <c r="DD31" i="25"/>
  <c r="DE23" i="25"/>
  <c r="DE31" i="25"/>
  <c r="DF23" i="25"/>
  <c r="DF31" i="25"/>
  <c r="DG23" i="25"/>
  <c r="DG31" i="25"/>
  <c r="DH23" i="25"/>
  <c r="DH31" i="25"/>
  <c r="DI23" i="25"/>
  <c r="DI31" i="25"/>
  <c r="DJ23" i="25"/>
  <c r="DJ31" i="25"/>
  <c r="DK23" i="25"/>
  <c r="DK31" i="25"/>
  <c r="DL23" i="25"/>
  <c r="DL31" i="25"/>
  <c r="DM23" i="25"/>
  <c r="DM31" i="25"/>
  <c r="DN23" i="25"/>
  <c r="DN31" i="25"/>
  <c r="DO23" i="25"/>
  <c r="DO31" i="25"/>
  <c r="DP23" i="25"/>
  <c r="DP31" i="25"/>
  <c r="DQ23" i="25"/>
  <c r="DQ31" i="25"/>
  <c r="DR23" i="25"/>
  <c r="DR31" i="25"/>
  <c r="DS23" i="25"/>
  <c r="DS31" i="25"/>
  <c r="DT23" i="25"/>
  <c r="DT31" i="25"/>
  <c r="DU23" i="25"/>
  <c r="DU31" i="25"/>
  <c r="DV23" i="25"/>
  <c r="DV31" i="25"/>
  <c r="DW23" i="25"/>
  <c r="DW31" i="25"/>
  <c r="DX23" i="25"/>
  <c r="DX31" i="25"/>
  <c r="DY23" i="25"/>
  <c r="DY31" i="25"/>
  <c r="DZ23" i="25"/>
  <c r="DZ31" i="25"/>
  <c r="EA23" i="25"/>
  <c r="EA31" i="25"/>
  <c r="EB23" i="25"/>
  <c r="EB31" i="25"/>
  <c r="EC23" i="25"/>
  <c r="EC31" i="25"/>
  <c r="ED23" i="25"/>
  <c r="ED31" i="25"/>
  <c r="EE23" i="25"/>
  <c r="EE31" i="25"/>
  <c r="EF23" i="25"/>
  <c r="EF31" i="25"/>
  <c r="EG23" i="25"/>
  <c r="EG31" i="25"/>
  <c r="EH23" i="25"/>
  <c r="EH31" i="25"/>
  <c r="EI23" i="25"/>
  <c r="EI31" i="25"/>
  <c r="EJ23" i="25"/>
  <c r="EJ31" i="25"/>
  <c r="EK23" i="25"/>
  <c r="EK31" i="25"/>
  <c r="EL23" i="25"/>
  <c r="EL31" i="25"/>
  <c r="EM23" i="25"/>
  <c r="EM31" i="25"/>
  <c r="EN23" i="25"/>
  <c r="EN31" i="25"/>
  <c r="EO23" i="25"/>
  <c r="EO31" i="25"/>
  <c r="EP23" i="25"/>
  <c r="EP31" i="25"/>
  <c r="EQ23" i="25"/>
  <c r="EQ31" i="25"/>
  <c r="ER23" i="25"/>
  <c r="ER31" i="25"/>
  <c r="ES23" i="25"/>
  <c r="ES31" i="25"/>
  <c r="ET23" i="25"/>
  <c r="ET31" i="25"/>
  <c r="EU23" i="25"/>
  <c r="EU31" i="25"/>
  <c r="EV23" i="25"/>
  <c r="EV31" i="25"/>
  <c r="EW23" i="25"/>
  <c r="EW31" i="25"/>
  <c r="EX23" i="25"/>
  <c r="EX31" i="25"/>
  <c r="EY23" i="25"/>
  <c r="EY31" i="25"/>
  <c r="EZ23" i="25"/>
  <c r="EZ31" i="25"/>
  <c r="FA23" i="25"/>
  <c r="FA31" i="25"/>
  <c r="FB23" i="25"/>
  <c r="FB31" i="25"/>
  <c r="FC23" i="25"/>
  <c r="FC31" i="25"/>
  <c r="FD23" i="25"/>
  <c r="FD31" i="25"/>
  <c r="FE23" i="25"/>
  <c r="FE31" i="25"/>
  <c r="FF23" i="25"/>
  <c r="FF31" i="25"/>
  <c r="FG23" i="25"/>
  <c r="FG31" i="25"/>
  <c r="FH23" i="25"/>
  <c r="FH31" i="25"/>
  <c r="FI23" i="25"/>
  <c r="FI31" i="25"/>
  <c r="FJ23" i="25"/>
  <c r="FJ31" i="25"/>
  <c r="FK23" i="25"/>
  <c r="FK31" i="25"/>
  <c r="FL23" i="25"/>
  <c r="FL31" i="25"/>
  <c r="FM23" i="25"/>
  <c r="FM31" i="25"/>
  <c r="FN23" i="25"/>
  <c r="FN31" i="25"/>
  <c r="FO23" i="25"/>
  <c r="FO31" i="25"/>
  <c r="FP23" i="25"/>
  <c r="FP31" i="25"/>
  <c r="FQ23" i="25"/>
  <c r="FQ31" i="25"/>
  <c r="FR23" i="25"/>
  <c r="FR31" i="25"/>
  <c r="FS23" i="25"/>
  <c r="FS31" i="25"/>
  <c r="FT23" i="25"/>
  <c r="FT31" i="25"/>
  <c r="FU23" i="25"/>
  <c r="FU31" i="25"/>
  <c r="FV23" i="25"/>
  <c r="FV31" i="25"/>
  <c r="FW23" i="25"/>
  <c r="FW31" i="25"/>
  <c r="FX23" i="25"/>
  <c r="FX31" i="25"/>
  <c r="FY23" i="25"/>
  <c r="FY31" i="25"/>
  <c r="FZ23" i="25"/>
  <c r="FZ31" i="25"/>
  <c r="GA23" i="25"/>
  <c r="GA31" i="25"/>
  <c r="GB23" i="25"/>
  <c r="GB31" i="25"/>
  <c r="GC23" i="25"/>
  <c r="GC31" i="25"/>
  <c r="GD23" i="25"/>
  <c r="GD31" i="25"/>
  <c r="GE23" i="25"/>
  <c r="GE31" i="25"/>
  <c r="GF23" i="25"/>
  <c r="GF31" i="25"/>
  <c r="GG23" i="25"/>
  <c r="GG31" i="25"/>
  <c r="GH23" i="25"/>
  <c r="GH31" i="25"/>
  <c r="GI23" i="25"/>
  <c r="GI31" i="25"/>
  <c r="GJ23" i="25"/>
  <c r="GJ31" i="25"/>
  <c r="GK23" i="25"/>
  <c r="GK31" i="25"/>
  <c r="GL23" i="25"/>
  <c r="GL31" i="25"/>
  <c r="GM23" i="25"/>
  <c r="GM31" i="25"/>
  <c r="GN23" i="25"/>
  <c r="GN31" i="25"/>
  <c r="GO23" i="25"/>
  <c r="GO31" i="25"/>
  <c r="GP23" i="25"/>
  <c r="GP31" i="25"/>
  <c r="GQ23" i="25"/>
  <c r="GQ31" i="25"/>
  <c r="GR23" i="25"/>
  <c r="GR31" i="25"/>
  <c r="GS23" i="25"/>
  <c r="GS31" i="25"/>
  <c r="GT23" i="25"/>
  <c r="GT31" i="25"/>
  <c r="GU23" i="25"/>
  <c r="GU31" i="25"/>
  <c r="GV23" i="25"/>
  <c r="GV31" i="25"/>
  <c r="GW23" i="25"/>
  <c r="GW31" i="25"/>
  <c r="GX23" i="25"/>
  <c r="GX31" i="25"/>
  <c r="GY23" i="25"/>
  <c r="GY31" i="25"/>
  <c r="GZ23" i="25"/>
  <c r="GZ31" i="25"/>
  <c r="H23" i="25"/>
  <c r="H31" i="25"/>
  <c r="E31" i="25"/>
  <c r="F173" i="20"/>
  <c r="F174" i="20"/>
  <c r="F169" i="20"/>
  <c r="F170" i="20"/>
  <c r="F212" i="20"/>
  <c r="F213" i="20"/>
  <c r="F214" i="20"/>
  <c r="H11" i="41"/>
  <c r="F205" i="20"/>
  <c r="F206" i="20"/>
  <c r="F207" i="20"/>
  <c r="H10" i="41"/>
  <c r="F196" i="20"/>
  <c r="F197" i="20"/>
  <c r="F198" i="20"/>
  <c r="H9" i="41"/>
  <c r="H8" i="41"/>
  <c r="G11" i="41"/>
  <c r="G10" i="41"/>
  <c r="G9" i="41"/>
  <c r="G8" i="41"/>
  <c r="F264" i="20"/>
  <c r="F265" i="20"/>
  <c r="K12" i="40"/>
  <c r="F303" i="20"/>
  <c r="K11" i="40"/>
  <c r="K9" i="40"/>
  <c r="K8" i="40"/>
  <c r="I12" i="40"/>
  <c r="I11" i="40"/>
  <c r="F300" i="20"/>
  <c r="H11" i="40"/>
  <c r="F11" i="40"/>
  <c r="H10" i="40"/>
  <c r="I9" i="40"/>
  <c r="H9" i="40"/>
  <c r="F9" i="40"/>
  <c r="H8" i="40"/>
  <c r="F8" i="40"/>
  <c r="F311" i="20"/>
  <c r="F312" i="20"/>
  <c r="F287" i="20"/>
  <c r="E127" i="3"/>
  <c r="DX20" i="37"/>
  <c r="DW20" i="37"/>
  <c r="DV20" i="37"/>
  <c r="DU20" i="37"/>
  <c r="DT20" i="37"/>
  <c r="DS20" i="37"/>
  <c r="DR20" i="37"/>
  <c r="DQ20" i="37"/>
  <c r="DP20" i="37"/>
  <c r="DO20" i="37"/>
  <c r="DN20" i="37"/>
  <c r="DM20" i="37"/>
  <c r="DL20" i="37"/>
  <c r="DK20" i="37"/>
  <c r="DJ20" i="37"/>
  <c r="DX21" i="37"/>
  <c r="DW21" i="37"/>
  <c r="DV21" i="37"/>
  <c r="DU21" i="37"/>
  <c r="DT21" i="37"/>
  <c r="DS21" i="37"/>
  <c r="DR21" i="37"/>
  <c r="DQ21" i="37"/>
  <c r="DP21" i="37"/>
  <c r="DO21" i="37"/>
  <c r="DN21" i="37"/>
  <c r="DM21" i="37"/>
  <c r="DL21" i="37"/>
  <c r="DK21" i="37"/>
  <c r="DJ21" i="37"/>
  <c r="DX22" i="37"/>
  <c r="DX16" i="37"/>
  <c r="DW22" i="37"/>
  <c r="DW16" i="37"/>
  <c r="DV22" i="37"/>
  <c r="DV16" i="37"/>
  <c r="DU22" i="37"/>
  <c r="DU16" i="37"/>
  <c r="DT22" i="37"/>
  <c r="DT16" i="37"/>
  <c r="DS22" i="37"/>
  <c r="DS16" i="37"/>
  <c r="DR22" i="37"/>
  <c r="DR16" i="37"/>
  <c r="DQ22" i="37"/>
  <c r="DQ16" i="37"/>
  <c r="DP22" i="37"/>
  <c r="DP16" i="37"/>
  <c r="DO22" i="37"/>
  <c r="DO16" i="37"/>
  <c r="DN22" i="37"/>
  <c r="DN16" i="37"/>
  <c r="DM22" i="37"/>
  <c r="DM16" i="37"/>
  <c r="DL22" i="37"/>
  <c r="DL16" i="37"/>
  <c r="DK22" i="37"/>
  <c r="DK16" i="37"/>
  <c r="DJ22" i="37"/>
  <c r="DJ16" i="37"/>
  <c r="E24" i="3"/>
  <c r="E57" i="3"/>
  <c r="E223" i="3"/>
  <c r="E11" i="3"/>
  <c r="E220" i="3"/>
  <c r="E112" i="3"/>
  <c r="E216" i="3"/>
  <c r="E217" i="3"/>
  <c r="E213" i="3"/>
  <c r="E207" i="3"/>
  <c r="E210" i="3"/>
  <c r="E208" i="3"/>
  <c r="E212" i="3"/>
  <c r="E209" i="3"/>
  <c r="E211" i="3"/>
  <c r="E204" i="3"/>
  <c r="E18" i="3"/>
  <c r="E203" i="3"/>
  <c r="E125" i="3"/>
  <c r="E202" i="3"/>
  <c r="E201" i="3"/>
  <c r="E200" i="3"/>
  <c r="E193" i="3"/>
  <c r="E199" i="3"/>
  <c r="E171" i="3"/>
  <c r="E192" i="3"/>
  <c r="E198" i="3"/>
  <c r="E197" i="3"/>
  <c r="E196" i="3"/>
  <c r="E195" i="3"/>
  <c r="E194" i="3"/>
  <c r="E189" i="3"/>
  <c r="E188" i="3"/>
  <c r="E184" i="3"/>
  <c r="E187" i="3"/>
  <c r="E186" i="3"/>
  <c r="E185" i="3"/>
  <c r="E180" i="3"/>
  <c r="E181" i="3"/>
  <c r="E37" i="3"/>
  <c r="E176" i="3"/>
  <c r="E161" i="3"/>
  <c r="E152" i="3"/>
  <c r="E175" i="3"/>
  <c r="E166" i="3"/>
  <c r="E173" i="3"/>
  <c r="E172" i="3"/>
  <c r="E169" i="3"/>
  <c r="E168" i="3"/>
  <c r="E116" i="3"/>
  <c r="E162" i="3"/>
  <c r="E160" i="3"/>
  <c r="E129" i="3"/>
  <c r="E123" i="3"/>
  <c r="E124" i="3"/>
  <c r="E138" i="3"/>
  <c r="E156" i="3"/>
  <c r="E158" i="3"/>
  <c r="E157" i="3"/>
  <c r="E155" i="3"/>
  <c r="E154" i="3"/>
  <c r="E151" i="3"/>
  <c r="E149" i="3"/>
  <c r="E146" i="3"/>
  <c r="E134" i="3"/>
  <c r="E137" i="3"/>
  <c r="E128" i="3"/>
  <c r="E135" i="3"/>
  <c r="E126" i="3"/>
  <c r="E122" i="3"/>
  <c r="E120" i="3"/>
  <c r="E119" i="3"/>
  <c r="E117" i="3"/>
  <c r="E115" i="3"/>
  <c r="E114" i="3"/>
  <c r="E96" i="3"/>
  <c r="E95" i="3"/>
  <c r="E94" i="3"/>
  <c r="E93" i="3"/>
  <c r="E91" i="3"/>
  <c r="E87" i="3"/>
  <c r="E86" i="3"/>
  <c r="E85" i="3"/>
  <c r="E76" i="3"/>
  <c r="E67" i="3"/>
  <c r="E64" i="3"/>
  <c r="E63" i="3"/>
  <c r="E60" i="3"/>
  <c r="E59" i="3"/>
  <c r="E56" i="3"/>
  <c r="E47" i="3"/>
  <c r="E43" i="3"/>
  <c r="E42" i="3"/>
  <c r="E40" i="3"/>
  <c r="E39" i="3"/>
  <c r="E38" i="3"/>
  <c r="E33" i="3"/>
  <c r="E28" i="3"/>
  <c r="E26" i="3"/>
  <c r="E22" i="3"/>
  <c r="E19" i="3"/>
  <c r="E13" i="3"/>
  <c r="E9" i="3"/>
  <c r="E7" i="3"/>
  <c r="GZ46" i="25"/>
  <c r="GZ17" i="25"/>
  <c r="GZ10" i="25"/>
  <c r="GZ9" i="25"/>
  <c r="GZ6" i="25"/>
  <c r="GY46" i="25"/>
  <c r="GY17" i="25"/>
  <c r="GY10" i="25"/>
  <c r="GY9" i="25"/>
  <c r="GY6" i="25"/>
  <c r="GX46" i="25"/>
  <c r="GX17" i="25"/>
  <c r="GX10" i="25"/>
  <c r="GX9" i="25"/>
  <c r="GX6" i="25"/>
  <c r="GW46" i="25"/>
  <c r="GW17" i="25"/>
  <c r="GW10" i="25"/>
  <c r="GW9" i="25"/>
  <c r="GW6" i="25"/>
  <c r="GV46" i="25"/>
  <c r="GV17" i="25"/>
  <c r="GV10" i="25"/>
  <c r="GV9" i="25"/>
  <c r="GV6" i="25"/>
  <c r="GU46" i="25"/>
  <c r="GU17" i="25"/>
  <c r="GU10" i="25"/>
  <c r="GU9" i="25"/>
  <c r="GU6" i="25"/>
  <c r="GT46" i="25"/>
  <c r="GT17" i="25"/>
  <c r="GT10" i="25"/>
  <c r="GT9" i="25"/>
  <c r="GT6" i="25"/>
  <c r="GS46" i="25"/>
  <c r="GS17" i="25"/>
  <c r="GS10" i="25"/>
  <c r="GS9" i="25"/>
  <c r="GS6" i="25"/>
  <c r="GR46" i="25"/>
  <c r="GR17" i="25"/>
  <c r="GR10" i="25"/>
  <c r="GR9" i="25"/>
  <c r="GR6" i="25"/>
  <c r="GQ46" i="25"/>
  <c r="GQ17" i="25"/>
  <c r="GQ10" i="25"/>
  <c r="GQ9" i="25"/>
  <c r="GQ6" i="25"/>
  <c r="GP46" i="25"/>
  <c r="GP17" i="25"/>
  <c r="GP10" i="25"/>
  <c r="GP9" i="25"/>
  <c r="GP6" i="25"/>
  <c r="GO46" i="25"/>
  <c r="GO17" i="25"/>
  <c r="GO10" i="25"/>
  <c r="GO9" i="25"/>
  <c r="GO6" i="25"/>
  <c r="GN46" i="25"/>
  <c r="GN17" i="25"/>
  <c r="GN10" i="25"/>
  <c r="GN9" i="25"/>
  <c r="GN6" i="25"/>
  <c r="GM46" i="25"/>
  <c r="GM17" i="25"/>
  <c r="GM10" i="25"/>
  <c r="GM9" i="25"/>
  <c r="GM6" i="25"/>
  <c r="GL46" i="25"/>
  <c r="GL17" i="25"/>
  <c r="GL10" i="25"/>
  <c r="GL9" i="25"/>
  <c r="GL6" i="25"/>
  <c r="GK46" i="25"/>
  <c r="GK17" i="25"/>
  <c r="GK10" i="25"/>
  <c r="GK9" i="25"/>
  <c r="GK6" i="25"/>
  <c r="GJ46" i="25"/>
  <c r="GJ17" i="25"/>
  <c r="GJ10" i="25"/>
  <c r="GJ9" i="25"/>
  <c r="GJ6" i="25"/>
  <c r="GI46" i="25"/>
  <c r="GI17" i="25"/>
  <c r="GI10" i="25"/>
  <c r="GI9" i="25"/>
  <c r="GI6" i="25"/>
  <c r="GH46" i="25"/>
  <c r="GH17" i="25"/>
  <c r="GH10" i="25"/>
  <c r="GH9" i="25"/>
  <c r="GH6" i="25"/>
  <c r="GG46" i="25"/>
  <c r="GG17" i="25"/>
  <c r="GG10" i="25"/>
  <c r="GG9" i="25"/>
  <c r="GG6" i="25"/>
  <c r="GF46" i="25"/>
  <c r="GF17" i="25"/>
  <c r="GF10" i="25"/>
  <c r="GF9" i="25"/>
  <c r="GF6" i="25"/>
  <c r="GE46" i="25"/>
  <c r="GE17" i="25"/>
  <c r="GE10" i="25"/>
  <c r="GE9" i="25"/>
  <c r="GE6" i="25"/>
  <c r="GD46" i="25"/>
  <c r="GD17" i="25"/>
  <c r="GD10" i="25"/>
  <c r="GD9" i="25"/>
  <c r="GD6" i="25"/>
  <c r="GC46" i="25"/>
  <c r="GC17" i="25"/>
  <c r="GC10" i="25"/>
  <c r="GC9" i="25"/>
  <c r="GC6" i="25"/>
  <c r="GB46" i="25"/>
  <c r="GB17" i="25"/>
  <c r="GB10" i="25"/>
  <c r="GB9" i="25"/>
  <c r="GB6" i="25"/>
  <c r="GA46" i="25"/>
  <c r="GA17" i="25"/>
  <c r="GA10" i="25"/>
  <c r="GA9" i="25"/>
  <c r="GA6" i="25"/>
  <c r="FZ46" i="25"/>
  <c r="FZ17" i="25"/>
  <c r="FZ10" i="25"/>
  <c r="FZ9" i="25"/>
  <c r="FZ6" i="25"/>
  <c r="FY46" i="25"/>
  <c r="FY17" i="25"/>
  <c r="FY10" i="25"/>
  <c r="FY9" i="25"/>
  <c r="FY6" i="25"/>
  <c r="FX46" i="25"/>
  <c r="FX17" i="25"/>
  <c r="FX10" i="25"/>
  <c r="FX9" i="25"/>
  <c r="FX6" i="25"/>
  <c r="FW46" i="25"/>
  <c r="FW17" i="25"/>
  <c r="FW10" i="25"/>
  <c r="FW9" i="25"/>
  <c r="FW6" i="25"/>
  <c r="FV46" i="25"/>
  <c r="FV17" i="25"/>
  <c r="FV10" i="25"/>
  <c r="FV9" i="25"/>
  <c r="FV6" i="25"/>
  <c r="FU46" i="25"/>
  <c r="FU17" i="25"/>
  <c r="FU10" i="25"/>
  <c r="FU9" i="25"/>
  <c r="FU6" i="25"/>
  <c r="FT46" i="25"/>
  <c r="FT17" i="25"/>
  <c r="FT10" i="25"/>
  <c r="FT9" i="25"/>
  <c r="FT6" i="25"/>
  <c r="FS46" i="25"/>
  <c r="FS17" i="25"/>
  <c r="FS10" i="25"/>
  <c r="FS9" i="25"/>
  <c r="FS6" i="25"/>
  <c r="FR46" i="25"/>
  <c r="FR17" i="25"/>
  <c r="FR10" i="25"/>
  <c r="FR9" i="25"/>
  <c r="FR6" i="25"/>
  <c r="FQ46" i="25"/>
  <c r="FQ17" i="25"/>
  <c r="FQ10" i="25"/>
  <c r="FQ9" i="25"/>
  <c r="FQ6" i="25"/>
  <c r="FP46" i="25"/>
  <c r="FP17" i="25"/>
  <c r="FP10" i="25"/>
  <c r="FP9" i="25"/>
  <c r="FP6" i="25"/>
  <c r="FO46" i="25"/>
  <c r="FO17" i="25"/>
  <c r="FO10" i="25"/>
  <c r="FO9" i="25"/>
  <c r="FO6" i="25"/>
  <c r="FN46" i="25"/>
  <c r="FN17" i="25"/>
  <c r="FN10" i="25"/>
  <c r="FN9" i="25"/>
  <c r="FN6" i="25"/>
  <c r="FM46" i="25"/>
  <c r="FM17" i="25"/>
  <c r="FM10" i="25"/>
  <c r="FM9" i="25"/>
  <c r="FM6" i="25"/>
  <c r="FL46" i="25"/>
  <c r="FL17" i="25"/>
  <c r="FL10" i="25"/>
  <c r="FL9" i="25"/>
  <c r="FL6" i="25"/>
  <c r="FK46" i="25"/>
  <c r="FK17" i="25"/>
  <c r="FK10" i="25"/>
  <c r="FK9" i="25"/>
  <c r="FK6" i="25"/>
  <c r="FJ46" i="25"/>
  <c r="FJ17" i="25"/>
  <c r="FJ10" i="25"/>
  <c r="FJ9" i="25"/>
  <c r="FJ6" i="25"/>
  <c r="FI46" i="25"/>
  <c r="FI17" i="25"/>
  <c r="FI10" i="25"/>
  <c r="FI9" i="25"/>
  <c r="FI6" i="25"/>
  <c r="FH46" i="25"/>
  <c r="FH17" i="25"/>
  <c r="FH10" i="25"/>
  <c r="FH9" i="25"/>
  <c r="FH6" i="25"/>
  <c r="FG46" i="25"/>
  <c r="FG17" i="25"/>
  <c r="FG10" i="25"/>
  <c r="FG9" i="25"/>
  <c r="FG6" i="25"/>
  <c r="FF46" i="25"/>
  <c r="FF17" i="25"/>
  <c r="FF10" i="25"/>
  <c r="FF9" i="25"/>
  <c r="FF6" i="25"/>
  <c r="FE46" i="25"/>
  <c r="FE17" i="25"/>
  <c r="FE10" i="25"/>
  <c r="FE9" i="25"/>
  <c r="FE6" i="25"/>
  <c r="FD46" i="25"/>
  <c r="FD17" i="25"/>
  <c r="FD10" i="25"/>
  <c r="FD9" i="25"/>
  <c r="FD6" i="25"/>
  <c r="FC46" i="25"/>
  <c r="FC17" i="25"/>
  <c r="FC10" i="25"/>
  <c r="FC9" i="25"/>
  <c r="FC6" i="25"/>
  <c r="FB46" i="25"/>
  <c r="FB17" i="25"/>
  <c r="FB10" i="25"/>
  <c r="FB9" i="25"/>
  <c r="FB6" i="25"/>
  <c r="FA46" i="25"/>
  <c r="FA17" i="25"/>
  <c r="FA10" i="25"/>
  <c r="FA9" i="25"/>
  <c r="FA6" i="25"/>
  <c r="EZ46" i="25"/>
  <c r="EZ17" i="25"/>
  <c r="EZ10" i="25"/>
  <c r="EZ9" i="25"/>
  <c r="EZ6" i="25"/>
  <c r="EY46" i="25"/>
  <c r="EY17" i="25"/>
  <c r="EY10" i="25"/>
  <c r="EY9" i="25"/>
  <c r="EY6" i="25"/>
  <c r="EX46" i="25"/>
  <c r="EX17" i="25"/>
  <c r="EX10" i="25"/>
  <c r="EX9" i="25"/>
  <c r="EX6" i="25"/>
  <c r="EW46" i="25"/>
  <c r="EW17" i="25"/>
  <c r="EW10" i="25"/>
  <c r="EW9" i="25"/>
  <c r="EW6" i="25"/>
  <c r="EV46" i="25"/>
  <c r="EV17" i="25"/>
  <c r="EV10" i="25"/>
  <c r="EV9" i="25"/>
  <c r="EV6" i="25"/>
  <c r="EU46" i="25"/>
  <c r="EU17" i="25"/>
  <c r="EU10" i="25"/>
  <c r="EU9" i="25"/>
  <c r="EU6" i="25"/>
  <c r="ET46" i="25"/>
  <c r="ET17" i="25"/>
  <c r="ET10" i="25"/>
  <c r="ET9" i="25"/>
  <c r="ET6" i="25"/>
  <c r="ES46" i="25"/>
  <c r="ES17" i="25"/>
  <c r="ES10" i="25"/>
  <c r="ES9" i="25"/>
  <c r="ES6" i="25"/>
  <c r="ER46" i="25"/>
  <c r="ER17" i="25"/>
  <c r="ER10" i="25"/>
  <c r="ER9" i="25"/>
  <c r="ER6" i="25"/>
  <c r="EQ46" i="25"/>
  <c r="EQ17" i="25"/>
  <c r="EQ10" i="25"/>
  <c r="EQ9" i="25"/>
  <c r="EQ6" i="25"/>
  <c r="EP46" i="25"/>
  <c r="EP17" i="25"/>
  <c r="EP10" i="25"/>
  <c r="EP9" i="25"/>
  <c r="EP6" i="25"/>
  <c r="EO46" i="25"/>
  <c r="EO17" i="25"/>
  <c r="EO10" i="25"/>
  <c r="EO9" i="25"/>
  <c r="EO6" i="25"/>
  <c r="EN46" i="25"/>
  <c r="EN17" i="25"/>
  <c r="EN10" i="25"/>
  <c r="EN9" i="25"/>
  <c r="EN6" i="25"/>
  <c r="EM46" i="25"/>
  <c r="EM17" i="25"/>
  <c r="EM10" i="25"/>
  <c r="EM9" i="25"/>
  <c r="EM6" i="25"/>
  <c r="EL46" i="25"/>
  <c r="EL17" i="25"/>
  <c r="EL10" i="25"/>
  <c r="EL9" i="25"/>
  <c r="EL6" i="25"/>
  <c r="EK46" i="25"/>
  <c r="EK17" i="25"/>
  <c r="EK10" i="25"/>
  <c r="EK9" i="25"/>
  <c r="EK6" i="25"/>
  <c r="EJ46" i="25"/>
  <c r="EJ17" i="25"/>
  <c r="EJ10" i="25"/>
  <c r="EJ9" i="25"/>
  <c r="EJ6" i="25"/>
  <c r="EI46" i="25"/>
  <c r="EI17" i="25"/>
  <c r="EI10" i="25"/>
  <c r="EI9" i="25"/>
  <c r="EI6" i="25"/>
  <c r="EH46" i="25"/>
  <c r="EH17" i="25"/>
  <c r="EH10" i="25"/>
  <c r="EH9" i="25"/>
  <c r="EH6" i="25"/>
  <c r="EG46" i="25"/>
  <c r="EG17" i="25"/>
  <c r="EG10" i="25"/>
  <c r="EG9" i="25"/>
  <c r="EG6" i="25"/>
  <c r="EF46" i="25"/>
  <c r="EF17" i="25"/>
  <c r="EF10" i="25"/>
  <c r="EF9" i="25"/>
  <c r="EF6" i="25"/>
  <c r="EE46" i="25"/>
  <c r="EE17" i="25"/>
  <c r="EE10" i="25"/>
  <c r="EE9" i="25"/>
  <c r="EE6" i="25"/>
  <c r="ED46" i="25"/>
  <c r="ED17" i="25"/>
  <c r="ED10" i="25"/>
  <c r="ED9" i="25"/>
  <c r="ED6" i="25"/>
  <c r="EC46" i="25"/>
  <c r="EC17" i="25"/>
  <c r="EC10" i="25"/>
  <c r="EC9" i="25"/>
  <c r="EC6" i="25"/>
  <c r="EB46" i="25"/>
  <c r="EB17" i="25"/>
  <c r="EB10" i="25"/>
  <c r="EB9" i="25"/>
  <c r="EB6" i="25"/>
  <c r="EA46" i="25"/>
  <c r="EA17" i="25"/>
  <c r="EA10" i="25"/>
  <c r="EA9" i="25"/>
  <c r="EA6" i="25"/>
  <c r="DZ46" i="25"/>
  <c r="DZ17" i="25"/>
  <c r="DZ10" i="25"/>
  <c r="DZ9" i="25"/>
  <c r="DZ6" i="25"/>
  <c r="DY46" i="25"/>
  <c r="DY17" i="25"/>
  <c r="DY10" i="25"/>
  <c r="DY9" i="25"/>
  <c r="DY6" i="25"/>
  <c r="DX46" i="25"/>
  <c r="DX17" i="25"/>
  <c r="DX10" i="25"/>
  <c r="DX9" i="25"/>
  <c r="DX6" i="25"/>
  <c r="DW46" i="25"/>
  <c r="DW17" i="25"/>
  <c r="DW10" i="25"/>
  <c r="DW9" i="25"/>
  <c r="DW6" i="25"/>
  <c r="DV46" i="25"/>
  <c r="DV17" i="25"/>
  <c r="DV10" i="25"/>
  <c r="DV9" i="25"/>
  <c r="DV6" i="25"/>
  <c r="DU46" i="25"/>
  <c r="DU17" i="25"/>
  <c r="DU10" i="25"/>
  <c r="DU9" i="25"/>
  <c r="DU6" i="25"/>
  <c r="DT46" i="25"/>
  <c r="DT17" i="25"/>
  <c r="DT10" i="25"/>
  <c r="DT9" i="25"/>
  <c r="DT6" i="25"/>
  <c r="DS46" i="25"/>
  <c r="DS17" i="25"/>
  <c r="DS10" i="25"/>
  <c r="DS9" i="25"/>
  <c r="DS6" i="25"/>
  <c r="DR46" i="25"/>
  <c r="DR17" i="25"/>
  <c r="DR10" i="25"/>
  <c r="DR9" i="25"/>
  <c r="DR6" i="25"/>
  <c r="DQ46" i="25"/>
  <c r="DQ17" i="25"/>
  <c r="DQ10" i="25"/>
  <c r="DQ9" i="25"/>
  <c r="DQ6" i="25"/>
  <c r="DP46" i="25"/>
  <c r="DP17" i="25"/>
  <c r="DP10" i="25"/>
  <c r="DP9" i="25"/>
  <c r="DP6" i="25"/>
  <c r="DO46" i="25"/>
  <c r="DO17" i="25"/>
  <c r="DO10" i="25"/>
  <c r="DO9" i="25"/>
  <c r="DO6" i="25"/>
  <c r="DN46" i="25"/>
  <c r="DN17" i="25"/>
  <c r="DN10" i="25"/>
  <c r="DN9" i="25"/>
  <c r="DN6" i="25"/>
  <c r="DM46" i="25"/>
  <c r="DM17" i="25"/>
  <c r="DM10" i="25"/>
  <c r="DM9" i="25"/>
  <c r="DM6" i="25"/>
  <c r="DL46" i="25"/>
  <c r="DL17" i="25"/>
  <c r="DL10" i="25"/>
  <c r="DL9" i="25"/>
  <c r="DL6" i="25"/>
  <c r="DK46" i="25"/>
  <c r="DK17" i="25"/>
  <c r="DK10" i="25"/>
  <c r="DK9" i="25"/>
  <c r="DK6" i="25"/>
  <c r="DJ46" i="25"/>
  <c r="DJ17" i="25"/>
  <c r="DJ10" i="25"/>
  <c r="DJ9" i="25"/>
  <c r="DJ6" i="25"/>
  <c r="DI46" i="25"/>
  <c r="DI17" i="25"/>
  <c r="DI10" i="25"/>
  <c r="DI9" i="25"/>
  <c r="DI6" i="25"/>
  <c r="DH46" i="25"/>
  <c r="DH17" i="25"/>
  <c r="DH10" i="25"/>
  <c r="DH9" i="25"/>
  <c r="DH6" i="25"/>
  <c r="DG46" i="25"/>
  <c r="DG17" i="25"/>
  <c r="DG10" i="25"/>
  <c r="DG9" i="25"/>
  <c r="DG6" i="25"/>
  <c r="DF46" i="25"/>
  <c r="DF17" i="25"/>
  <c r="DF10" i="25"/>
  <c r="DF9" i="25"/>
  <c r="DF6" i="25"/>
  <c r="DE46" i="25"/>
  <c r="DE17" i="25"/>
  <c r="DE10" i="25"/>
  <c r="DE9" i="25"/>
  <c r="DE6" i="25"/>
  <c r="DD46" i="25"/>
  <c r="DD17" i="25"/>
  <c r="DD10" i="25"/>
  <c r="DD9" i="25"/>
  <c r="DD6" i="25"/>
  <c r="DC46" i="25"/>
  <c r="DC17" i="25"/>
  <c r="DC10" i="25"/>
  <c r="DC9" i="25"/>
  <c r="DC6" i="25"/>
  <c r="DB46" i="25"/>
  <c r="DB17" i="25"/>
  <c r="DB10" i="25"/>
  <c r="DB9" i="25"/>
  <c r="DB6" i="25"/>
  <c r="DA46" i="25"/>
  <c r="DA17" i="25"/>
  <c r="DA10" i="25"/>
  <c r="DA9" i="25"/>
  <c r="DA6" i="25"/>
  <c r="CZ46" i="25"/>
  <c r="CZ17" i="25"/>
  <c r="CZ10" i="25"/>
  <c r="CZ9" i="25"/>
  <c r="CZ6" i="25"/>
  <c r="CY46" i="25"/>
  <c r="CY17" i="25"/>
  <c r="CY10" i="25"/>
  <c r="CY9" i="25"/>
  <c r="CY6" i="25"/>
  <c r="CX46" i="25"/>
  <c r="CX17" i="25"/>
  <c r="CX10" i="25"/>
  <c r="CX9" i="25"/>
  <c r="CX6" i="25"/>
  <c r="CW46" i="25"/>
  <c r="CW17" i="25"/>
  <c r="CW10" i="25"/>
  <c r="CW9" i="25"/>
  <c r="CW6" i="25"/>
  <c r="CV46" i="25"/>
  <c r="CV17" i="25"/>
  <c r="CV10" i="25"/>
  <c r="CV9" i="25"/>
  <c r="CV6" i="25"/>
  <c r="CU46" i="25"/>
  <c r="CU17" i="25"/>
  <c r="CU10" i="25"/>
  <c r="CU9" i="25"/>
  <c r="CU6" i="25"/>
  <c r="CT46" i="25"/>
  <c r="CT17" i="25"/>
  <c r="CT10" i="25"/>
  <c r="CT6" i="25"/>
  <c r="CS46" i="25"/>
  <c r="CS17" i="25"/>
  <c r="CS10" i="25"/>
  <c r="CS6" i="25"/>
  <c r="CR46" i="25"/>
  <c r="CR17" i="25"/>
  <c r="CR10" i="25"/>
  <c r="CR6" i="25"/>
  <c r="CQ46" i="25"/>
  <c r="CQ17" i="25"/>
  <c r="CQ10" i="25"/>
  <c r="CQ6" i="25"/>
  <c r="CP46" i="25"/>
  <c r="CP17" i="25"/>
  <c r="CP10" i="25"/>
  <c r="CP6" i="25"/>
  <c r="CO46" i="25"/>
  <c r="CO17" i="25"/>
  <c r="CO10" i="25"/>
  <c r="CO6" i="25"/>
  <c r="CN46" i="25"/>
  <c r="CN17" i="25"/>
  <c r="CN10" i="25"/>
  <c r="CN6" i="25"/>
  <c r="CM46" i="25"/>
  <c r="CM17" i="25"/>
  <c r="CM10" i="25"/>
  <c r="CM6" i="25"/>
  <c r="CL46" i="25"/>
  <c r="CL17" i="25"/>
  <c r="CL10" i="25"/>
  <c r="CL6" i="25"/>
  <c r="CK46" i="25"/>
  <c r="CK17" i="25"/>
  <c r="CK10" i="25"/>
  <c r="CK6" i="25"/>
  <c r="CJ46" i="25"/>
  <c r="CJ17" i="25"/>
  <c r="CJ10" i="25"/>
  <c r="CJ6" i="25"/>
  <c r="CI46" i="25"/>
  <c r="CI17" i="25"/>
  <c r="CI10" i="25"/>
  <c r="CI6" i="25"/>
  <c r="CH46" i="25"/>
  <c r="CH17" i="25"/>
  <c r="CH10" i="25"/>
  <c r="CH6" i="25"/>
  <c r="CG46" i="25"/>
  <c r="CG17" i="25"/>
  <c r="CG10" i="25"/>
  <c r="CG6" i="25"/>
  <c r="CF46" i="25"/>
  <c r="CF17" i="25"/>
  <c r="CF10" i="25"/>
  <c r="CF6" i="25"/>
  <c r="CE46" i="25"/>
  <c r="CE17" i="25"/>
  <c r="CE10" i="25"/>
  <c r="CE6" i="25"/>
  <c r="CD46" i="25"/>
  <c r="CD17" i="25"/>
  <c r="CD10" i="25"/>
  <c r="CD6" i="25"/>
  <c r="CC46" i="25"/>
  <c r="CC17" i="25"/>
  <c r="CC10" i="25"/>
  <c r="CC6" i="25"/>
  <c r="CB46" i="25"/>
  <c r="CB17" i="25"/>
  <c r="CB10" i="25"/>
  <c r="CB6" i="25"/>
  <c r="CA46" i="25"/>
  <c r="CA17" i="25"/>
  <c r="CA10" i="25"/>
  <c r="CA6" i="25"/>
  <c r="BZ46" i="25"/>
  <c r="BZ17" i="25"/>
  <c r="BZ10" i="25"/>
  <c r="BZ6" i="25"/>
  <c r="BY46" i="25"/>
  <c r="BY17" i="25"/>
  <c r="BY10" i="25"/>
  <c r="BY6" i="25"/>
  <c r="BX46" i="25"/>
  <c r="BX17" i="25"/>
  <c r="BX10" i="25"/>
  <c r="BX6" i="25"/>
  <c r="BW46" i="25"/>
  <c r="BW17" i="25"/>
  <c r="BW10" i="25"/>
  <c r="BW6" i="25"/>
  <c r="BV46" i="25"/>
  <c r="BV17" i="25"/>
  <c r="BV10" i="25"/>
  <c r="BV6" i="25"/>
  <c r="BU46" i="25"/>
  <c r="BU17" i="25"/>
  <c r="BU10" i="25"/>
  <c r="BU6" i="25"/>
  <c r="BT46" i="25"/>
  <c r="BT17" i="25"/>
  <c r="BT10" i="25"/>
  <c r="BT6" i="25"/>
  <c r="BS46" i="25"/>
  <c r="BS17" i="25"/>
  <c r="BS10" i="25"/>
  <c r="BS6" i="25"/>
  <c r="BR46" i="25"/>
  <c r="BR17" i="25"/>
  <c r="BR10" i="25"/>
  <c r="BR6" i="25"/>
  <c r="BQ46" i="25"/>
  <c r="BQ17" i="25"/>
  <c r="BQ10" i="25"/>
  <c r="BQ6" i="25"/>
  <c r="BP46" i="25"/>
  <c r="BP17" i="25"/>
  <c r="BP10" i="25"/>
  <c r="BP6" i="25"/>
  <c r="BO46" i="25"/>
  <c r="BO17" i="25"/>
  <c r="BO10" i="25"/>
  <c r="BO6" i="25"/>
  <c r="BN46" i="25"/>
  <c r="BN17" i="25"/>
  <c r="BN10" i="25"/>
  <c r="BN6" i="25"/>
  <c r="BM46" i="25"/>
  <c r="BM17" i="25"/>
  <c r="BM10" i="25"/>
  <c r="BM6" i="25"/>
  <c r="BL46" i="25"/>
  <c r="BL17" i="25"/>
  <c r="BL10" i="25"/>
  <c r="BL6" i="25"/>
  <c r="BK46" i="25"/>
  <c r="BK17" i="25"/>
  <c r="BK10" i="25"/>
  <c r="BK6" i="25"/>
  <c r="BJ46" i="25"/>
  <c r="BJ17" i="25"/>
  <c r="BJ10" i="25"/>
  <c r="BJ6" i="25"/>
  <c r="BI46" i="25"/>
  <c r="BI17" i="25"/>
  <c r="BI10" i="25"/>
  <c r="BI6" i="25"/>
  <c r="BH46" i="25"/>
  <c r="BH17" i="25"/>
  <c r="BH10" i="25"/>
  <c r="BH6" i="25"/>
  <c r="BG46" i="25"/>
  <c r="BG17" i="25"/>
  <c r="BG10" i="25"/>
  <c r="BG6" i="25"/>
  <c r="BF46" i="25"/>
  <c r="BF17" i="25"/>
  <c r="BF10" i="25"/>
  <c r="BF9" i="25"/>
  <c r="BF6" i="25"/>
  <c r="BE46" i="25"/>
  <c r="BE17" i="25"/>
  <c r="BE10" i="25"/>
  <c r="BE9" i="25"/>
  <c r="BE6" i="25"/>
  <c r="BD46" i="25"/>
  <c r="BD17" i="25"/>
  <c r="BD10" i="25"/>
  <c r="BD9" i="25"/>
  <c r="BD6" i="25"/>
  <c r="BC46" i="25"/>
  <c r="BC17" i="25"/>
  <c r="BC10" i="25"/>
  <c r="BC9" i="25"/>
  <c r="BC6" i="25"/>
  <c r="BB46" i="25"/>
  <c r="BB17" i="25"/>
  <c r="BB10" i="25"/>
  <c r="BB9" i="25"/>
  <c r="BB6" i="25"/>
  <c r="BA46" i="25"/>
  <c r="BA17" i="25"/>
  <c r="BA10" i="25"/>
  <c r="BA9" i="25"/>
  <c r="BA6" i="25"/>
  <c r="AZ46" i="25"/>
  <c r="AZ17" i="25"/>
  <c r="AZ10" i="25"/>
  <c r="AZ9" i="25"/>
  <c r="AZ6" i="25"/>
  <c r="AY46" i="25"/>
  <c r="AY17" i="25"/>
  <c r="AY10" i="25"/>
  <c r="AY9" i="25"/>
  <c r="AY6" i="25"/>
  <c r="AX46" i="25"/>
  <c r="AX17" i="25"/>
  <c r="AX10" i="25"/>
  <c r="AX9" i="25"/>
  <c r="AX6" i="25"/>
  <c r="AW46" i="25"/>
  <c r="AW17" i="25"/>
  <c r="AW10" i="25"/>
  <c r="AW9" i="25"/>
  <c r="AW6" i="25"/>
  <c r="AV46" i="25"/>
  <c r="AV17" i="25"/>
  <c r="AV9" i="25"/>
  <c r="AV6" i="25"/>
  <c r="AU46" i="25"/>
  <c r="AU17" i="25"/>
  <c r="AU9" i="25"/>
  <c r="AU6" i="25"/>
  <c r="AT46" i="25"/>
  <c r="AT17" i="25"/>
  <c r="AT9" i="25"/>
  <c r="AT6" i="25"/>
  <c r="AS46" i="25"/>
  <c r="AS17" i="25"/>
  <c r="AS9" i="25"/>
  <c r="AS6" i="25"/>
  <c r="AR46" i="25"/>
  <c r="AR17" i="25"/>
  <c r="AR9" i="25"/>
  <c r="AR6" i="25"/>
  <c r="AQ46" i="25"/>
  <c r="AQ17" i="25"/>
  <c r="AQ9" i="25"/>
  <c r="AQ6" i="25"/>
  <c r="AP46" i="25"/>
  <c r="AP17" i="25"/>
  <c r="AP9" i="25"/>
  <c r="AP6" i="25"/>
  <c r="AO46" i="25"/>
  <c r="AO17" i="25"/>
  <c r="AO9" i="25"/>
  <c r="AO6" i="25"/>
  <c r="AN46" i="25"/>
  <c r="AN17" i="25"/>
  <c r="AN9" i="25"/>
  <c r="AN6" i="25"/>
  <c r="AM46" i="25"/>
  <c r="AM17" i="25"/>
  <c r="AM9" i="25"/>
  <c r="AM6" i="25"/>
  <c r="AL46" i="25"/>
  <c r="AL17" i="25"/>
  <c r="AL9" i="25"/>
  <c r="AL6" i="25"/>
  <c r="AK46" i="25"/>
  <c r="AK17" i="25"/>
  <c r="AK9" i="25"/>
  <c r="AK6" i="25"/>
  <c r="AJ46" i="25"/>
  <c r="AJ17" i="25"/>
  <c r="AJ9" i="25"/>
  <c r="AJ6" i="25"/>
  <c r="AI46" i="25"/>
  <c r="AI17" i="25"/>
  <c r="AI9" i="25"/>
  <c r="AI6" i="25"/>
  <c r="AH46" i="25"/>
  <c r="AH17" i="25"/>
  <c r="AH9" i="25"/>
  <c r="AH6" i="25"/>
  <c r="AG46" i="25"/>
  <c r="AG17" i="25"/>
  <c r="AG6" i="25"/>
  <c r="AF46" i="25"/>
  <c r="AF17" i="25"/>
  <c r="AF9" i="25"/>
  <c r="AF6" i="25"/>
  <c r="AE46" i="25"/>
  <c r="AE17" i="25"/>
  <c r="AE9" i="25"/>
  <c r="AE6" i="25"/>
  <c r="AD46" i="25"/>
  <c r="AD17" i="25"/>
  <c r="AD9" i="25"/>
  <c r="AD6" i="25"/>
  <c r="AC46" i="25"/>
  <c r="AC17" i="25"/>
  <c r="AC9" i="25"/>
  <c r="AC6" i="25"/>
  <c r="AB46" i="25"/>
  <c r="AB17" i="25"/>
  <c r="AB9" i="25"/>
  <c r="AB6" i="25"/>
  <c r="AA46" i="25"/>
  <c r="AA17" i="25"/>
  <c r="AA9" i="25"/>
  <c r="AA6" i="25"/>
  <c r="Z46" i="25"/>
  <c r="Z17" i="25"/>
  <c r="Z9" i="25"/>
  <c r="Z6" i="25"/>
  <c r="Y46" i="25"/>
  <c r="Y17" i="25"/>
  <c r="Y9" i="25"/>
  <c r="Y6" i="25"/>
  <c r="X46" i="25"/>
  <c r="X17" i="25"/>
  <c r="X9" i="25"/>
  <c r="X6" i="25"/>
  <c r="W46" i="25"/>
  <c r="W17" i="25"/>
  <c r="W9" i="25"/>
  <c r="W6" i="25"/>
  <c r="V46" i="25"/>
  <c r="V17" i="25"/>
  <c r="V9" i="25"/>
  <c r="V6" i="25"/>
  <c r="U46" i="25"/>
  <c r="U17" i="25"/>
  <c r="U9" i="25"/>
  <c r="U6" i="25"/>
  <c r="T46" i="25"/>
  <c r="T17" i="25"/>
  <c r="T9" i="25"/>
  <c r="T6" i="25"/>
  <c r="S46" i="25"/>
  <c r="S17" i="25"/>
  <c r="S9" i="25"/>
  <c r="S6" i="25"/>
  <c r="R46" i="25"/>
  <c r="R17" i="25"/>
  <c r="R9" i="25"/>
  <c r="R6" i="25"/>
  <c r="Q46" i="25"/>
  <c r="Q17" i="25"/>
  <c r="Q9" i="25"/>
  <c r="Q6" i="25"/>
  <c r="P46" i="25"/>
  <c r="P17" i="25"/>
  <c r="P9" i="25"/>
  <c r="P6" i="25"/>
  <c r="O46" i="25"/>
  <c r="O17" i="25"/>
  <c r="O9" i="25"/>
  <c r="O6" i="25"/>
  <c r="N46" i="25"/>
  <c r="N9" i="25"/>
  <c r="M46" i="25"/>
  <c r="M9" i="25"/>
  <c r="L46" i="25"/>
  <c r="L9" i="25"/>
  <c r="K46" i="25"/>
  <c r="K9" i="25"/>
  <c r="J46" i="25"/>
  <c r="J9" i="25"/>
  <c r="I46" i="25"/>
  <c r="I9" i="25"/>
  <c r="H9" i="25"/>
  <c r="F27" i="20"/>
  <c r="F20" i="22"/>
  <c r="F20" i="33"/>
  <c r="D5" i="23"/>
  <c r="F22" i="22"/>
  <c r="F23" i="22"/>
  <c r="F24" i="22"/>
  <c r="F26" i="22"/>
  <c r="I39" i="51"/>
  <c r="I76" i="51"/>
  <c r="D10" i="32"/>
  <c r="J39" i="51"/>
  <c r="J76" i="51"/>
  <c r="E10" i="32"/>
  <c r="K39" i="51"/>
  <c r="K76" i="51"/>
  <c r="F10" i="32"/>
  <c r="L39" i="51"/>
  <c r="L76" i="51"/>
  <c r="G10" i="32"/>
  <c r="M39" i="51"/>
  <c r="M76" i="51"/>
  <c r="H10" i="32"/>
  <c r="N39" i="51"/>
  <c r="N76" i="51"/>
  <c r="I10" i="32"/>
  <c r="O39" i="51"/>
  <c r="O76" i="51"/>
  <c r="J10" i="32"/>
  <c r="P39" i="51"/>
  <c r="P76" i="51"/>
  <c r="K10" i="32"/>
  <c r="Q39" i="51"/>
  <c r="Q76" i="51"/>
  <c r="L10" i="32"/>
  <c r="R39" i="51"/>
  <c r="R76" i="51"/>
  <c r="M10" i="32"/>
  <c r="S39" i="51"/>
  <c r="S76" i="51"/>
  <c r="N10" i="32"/>
  <c r="T39" i="51"/>
  <c r="T76" i="51"/>
  <c r="O10" i="32"/>
  <c r="U39" i="51"/>
  <c r="U76" i="51"/>
  <c r="P10" i="32"/>
  <c r="V39" i="51"/>
  <c r="V76" i="51"/>
  <c r="Q10" i="32"/>
  <c r="W39" i="51"/>
  <c r="W76" i="51"/>
  <c r="R10" i="32"/>
  <c r="X39" i="51"/>
  <c r="X76" i="51"/>
  <c r="S10" i="32"/>
  <c r="Y39" i="51"/>
  <c r="Y76" i="51"/>
  <c r="T10" i="32"/>
  <c r="Z39" i="51"/>
  <c r="Z76" i="51"/>
  <c r="U10" i="32"/>
  <c r="AA39" i="51"/>
  <c r="AA76" i="51"/>
  <c r="V10" i="32"/>
  <c r="AB39" i="51"/>
  <c r="AB76" i="51"/>
  <c r="W10" i="32"/>
  <c r="AC39" i="51"/>
  <c r="AC76" i="51"/>
  <c r="X10" i="32"/>
  <c r="AD39" i="51"/>
  <c r="AD76" i="51"/>
  <c r="Y10" i="32"/>
  <c r="AE39" i="51"/>
  <c r="AE76" i="51"/>
  <c r="Z10" i="32"/>
  <c r="AF39" i="51"/>
  <c r="AF76" i="51"/>
  <c r="AA10" i="32"/>
  <c r="AG39" i="51"/>
  <c r="AG76" i="51"/>
  <c r="AB10" i="32"/>
  <c r="AH39" i="51"/>
  <c r="AH76" i="51"/>
  <c r="AC10" i="32"/>
  <c r="AI39" i="51"/>
  <c r="AI76" i="51"/>
  <c r="AD10" i="32"/>
  <c r="AJ39" i="51"/>
  <c r="AJ76" i="51"/>
  <c r="AE10" i="32"/>
  <c r="AK39" i="51"/>
  <c r="AK76" i="51"/>
  <c r="AF10" i="32"/>
  <c r="AL39" i="51"/>
  <c r="AL76" i="51"/>
  <c r="AG10" i="32"/>
  <c r="AM39" i="51"/>
  <c r="AM76" i="51"/>
  <c r="AH10" i="32"/>
  <c r="AN39" i="51"/>
  <c r="AN76" i="51"/>
  <c r="AI10" i="32"/>
  <c r="AO39" i="51"/>
  <c r="AO76" i="51"/>
  <c r="AJ10" i="32"/>
  <c r="AP39" i="51"/>
  <c r="AP76" i="51"/>
  <c r="AK10" i="32"/>
  <c r="AQ39" i="51"/>
  <c r="AQ76" i="51"/>
  <c r="AL10" i="32"/>
  <c r="AR39" i="51"/>
  <c r="AR76" i="51"/>
  <c r="AM10" i="32"/>
  <c r="AS39" i="51"/>
  <c r="AS76" i="51"/>
  <c r="AN10" i="32"/>
  <c r="AT39" i="51"/>
  <c r="AT76" i="51"/>
  <c r="AO10" i="32"/>
  <c r="AU39" i="51"/>
  <c r="AU76" i="51"/>
  <c r="AP10" i="32"/>
  <c r="AV39" i="51"/>
  <c r="AV76" i="51"/>
  <c r="AQ10" i="32"/>
  <c r="F28" i="22"/>
  <c r="I81" i="51"/>
  <c r="I91" i="51"/>
  <c r="D16" i="32"/>
  <c r="J81" i="51"/>
  <c r="J82" i="51"/>
  <c r="J91" i="51"/>
  <c r="E16" i="32"/>
  <c r="K81" i="51"/>
  <c r="K82" i="51"/>
  <c r="K83" i="51"/>
  <c r="K91" i="51"/>
  <c r="F16" i="32"/>
  <c r="L81" i="51"/>
  <c r="L82" i="51"/>
  <c r="L83" i="51"/>
  <c r="L84" i="51"/>
  <c r="L91" i="51"/>
  <c r="G16" i="32"/>
  <c r="M81" i="51"/>
  <c r="M82" i="51"/>
  <c r="M83" i="51"/>
  <c r="M84" i="51"/>
  <c r="M85" i="51"/>
  <c r="M91" i="51"/>
  <c r="H16" i="32"/>
  <c r="N81" i="51"/>
  <c r="N82" i="51"/>
  <c r="N83" i="51"/>
  <c r="N84" i="51"/>
  <c r="N85" i="51"/>
  <c r="N86" i="51"/>
  <c r="N91" i="51"/>
  <c r="I16" i="32"/>
  <c r="O81" i="51"/>
  <c r="O82" i="51"/>
  <c r="O83" i="51"/>
  <c r="O84" i="51"/>
  <c r="O85" i="51"/>
  <c r="O86" i="51"/>
  <c r="O91" i="51"/>
  <c r="J16" i="32"/>
  <c r="P81" i="51"/>
  <c r="P82" i="51"/>
  <c r="P83" i="51"/>
  <c r="P84" i="51"/>
  <c r="P85" i="51"/>
  <c r="P86" i="51"/>
  <c r="P91" i="51"/>
  <c r="K16" i="32"/>
  <c r="Q81" i="51"/>
  <c r="Q82" i="51"/>
  <c r="Q83" i="51"/>
  <c r="Q84" i="51"/>
  <c r="Q85" i="51"/>
  <c r="Q86" i="51"/>
  <c r="Q91" i="51"/>
  <c r="L16" i="32"/>
  <c r="R81" i="51"/>
  <c r="R82" i="51"/>
  <c r="R83" i="51"/>
  <c r="R84" i="51"/>
  <c r="R85" i="51"/>
  <c r="R86" i="51"/>
  <c r="R91" i="51"/>
  <c r="M16" i="32"/>
  <c r="S81" i="51"/>
  <c r="S82" i="51"/>
  <c r="S83" i="51"/>
  <c r="S84" i="51"/>
  <c r="S85" i="51"/>
  <c r="S86" i="51"/>
  <c r="S91" i="51"/>
  <c r="N16" i="32"/>
  <c r="T81" i="51"/>
  <c r="T82" i="51"/>
  <c r="T83" i="51"/>
  <c r="T84" i="51"/>
  <c r="T85" i="51"/>
  <c r="T86" i="51"/>
  <c r="T91" i="51"/>
  <c r="O16" i="32"/>
  <c r="U81" i="51"/>
  <c r="U82" i="51"/>
  <c r="U83" i="51"/>
  <c r="U84" i="51"/>
  <c r="U85" i="51"/>
  <c r="U86" i="51"/>
  <c r="U91" i="51"/>
  <c r="P16" i="32"/>
  <c r="V81" i="51"/>
  <c r="V82" i="51"/>
  <c r="V83" i="51"/>
  <c r="V84" i="51"/>
  <c r="V85" i="51"/>
  <c r="V86" i="51"/>
  <c r="V91" i="51"/>
  <c r="Q16" i="32"/>
  <c r="W81" i="51"/>
  <c r="W82" i="51"/>
  <c r="W83" i="51"/>
  <c r="W84" i="51"/>
  <c r="W85" i="51"/>
  <c r="W86" i="51"/>
  <c r="W91" i="51"/>
  <c r="R16" i="32"/>
  <c r="X81" i="51"/>
  <c r="X82" i="51"/>
  <c r="X83" i="51"/>
  <c r="X84" i="51"/>
  <c r="X85" i="51"/>
  <c r="X86" i="51"/>
  <c r="X91" i="51"/>
  <c r="S16" i="32"/>
  <c r="Y81" i="51"/>
  <c r="Y82" i="51"/>
  <c r="Y83" i="51"/>
  <c r="Y84" i="51"/>
  <c r="Y85" i="51"/>
  <c r="Y86" i="51"/>
  <c r="Y91" i="51"/>
  <c r="T16" i="32"/>
  <c r="Z81" i="51"/>
  <c r="Z82" i="51"/>
  <c r="Z83" i="51"/>
  <c r="Z84" i="51"/>
  <c r="Z85" i="51"/>
  <c r="Z86" i="51"/>
  <c r="Z91" i="51"/>
  <c r="U16" i="32"/>
  <c r="AA81" i="51"/>
  <c r="AA82" i="51"/>
  <c r="AA83" i="51"/>
  <c r="AA84" i="51"/>
  <c r="AA85" i="51"/>
  <c r="AA86" i="51"/>
  <c r="AA91" i="51"/>
  <c r="V16" i="32"/>
  <c r="AB81" i="51"/>
  <c r="AB82" i="51"/>
  <c r="AB83" i="51"/>
  <c r="AB84" i="51"/>
  <c r="AB85" i="51"/>
  <c r="AB86" i="51"/>
  <c r="AB91" i="51"/>
  <c r="W16" i="32"/>
  <c r="AC81" i="51"/>
  <c r="AC82" i="51"/>
  <c r="AC83" i="51"/>
  <c r="AC84" i="51"/>
  <c r="AC85" i="51"/>
  <c r="AC86" i="51"/>
  <c r="AC91" i="51"/>
  <c r="X16" i="32"/>
  <c r="AD81" i="51"/>
  <c r="AD82" i="51"/>
  <c r="AD83" i="51"/>
  <c r="AD84" i="51"/>
  <c r="AD85" i="51"/>
  <c r="AD86" i="51"/>
  <c r="AD91" i="51"/>
  <c r="Y16" i="32"/>
  <c r="AE81" i="51"/>
  <c r="AE82" i="51"/>
  <c r="AE83" i="51"/>
  <c r="AE84" i="51"/>
  <c r="AE85" i="51"/>
  <c r="AE86" i="51"/>
  <c r="AE91" i="51"/>
  <c r="Z16" i="32"/>
  <c r="AF81" i="51"/>
  <c r="AF82" i="51"/>
  <c r="AF83" i="51"/>
  <c r="AF84" i="51"/>
  <c r="AF85" i="51"/>
  <c r="AF86" i="51"/>
  <c r="AF91" i="51"/>
  <c r="AA16" i="32"/>
  <c r="AG81" i="51"/>
  <c r="AG82" i="51"/>
  <c r="AG83" i="51"/>
  <c r="AG84" i="51"/>
  <c r="AG85" i="51"/>
  <c r="AG86" i="51"/>
  <c r="AG91" i="51"/>
  <c r="AB16" i="32"/>
  <c r="AH81" i="51"/>
  <c r="AH82" i="51"/>
  <c r="AH83" i="51"/>
  <c r="AH84" i="51"/>
  <c r="AH85" i="51"/>
  <c r="AH86" i="51"/>
  <c r="AH91" i="51"/>
  <c r="AC16" i="32"/>
  <c r="AI81" i="51"/>
  <c r="AI82" i="51"/>
  <c r="AI83" i="51"/>
  <c r="AI84" i="51"/>
  <c r="AI85" i="51"/>
  <c r="AI86" i="51"/>
  <c r="AI91" i="51"/>
  <c r="AD16" i="32"/>
  <c r="AJ81" i="51"/>
  <c r="AJ82" i="51"/>
  <c r="AJ83" i="51"/>
  <c r="AJ84" i="51"/>
  <c r="AJ85" i="51"/>
  <c r="AJ86" i="51"/>
  <c r="AJ91" i="51"/>
  <c r="AE16" i="32"/>
  <c r="AK81" i="51"/>
  <c r="AK82" i="51"/>
  <c r="AK83" i="51"/>
  <c r="AK84" i="51"/>
  <c r="AK85" i="51"/>
  <c r="AK86" i="51"/>
  <c r="AK91" i="51"/>
  <c r="AF16" i="32"/>
  <c r="AL81" i="51"/>
  <c r="AL82" i="51"/>
  <c r="AL83" i="51"/>
  <c r="AL84" i="51"/>
  <c r="AL85" i="51"/>
  <c r="AL86" i="51"/>
  <c r="AL91" i="51"/>
  <c r="AG16" i="32"/>
  <c r="AM81" i="51"/>
  <c r="AM82" i="51"/>
  <c r="AM83" i="51"/>
  <c r="AM84" i="51"/>
  <c r="AM85" i="51"/>
  <c r="AM86" i="51"/>
  <c r="AM91" i="51"/>
  <c r="AH16" i="32"/>
  <c r="AN81" i="51"/>
  <c r="AN82" i="51"/>
  <c r="AN83" i="51"/>
  <c r="AN84" i="51"/>
  <c r="AN85" i="51"/>
  <c r="AN86" i="51"/>
  <c r="AN91" i="51"/>
  <c r="AI16" i="32"/>
  <c r="AO81" i="51"/>
  <c r="AO82" i="51"/>
  <c r="AO83" i="51"/>
  <c r="AO84" i="51"/>
  <c r="AO85" i="51"/>
  <c r="AO86" i="51"/>
  <c r="AO91" i="51"/>
  <c r="AJ16" i="32"/>
  <c r="AP81" i="51"/>
  <c r="AP82" i="51"/>
  <c r="AP83" i="51"/>
  <c r="AP84" i="51"/>
  <c r="AP85" i="51"/>
  <c r="AP86" i="51"/>
  <c r="AP91" i="51"/>
  <c r="AK16" i="32"/>
  <c r="AQ81" i="51"/>
  <c r="AQ82" i="51"/>
  <c r="AQ83" i="51"/>
  <c r="AQ84" i="51"/>
  <c r="AQ85" i="51"/>
  <c r="AQ86" i="51"/>
  <c r="AQ91" i="51"/>
  <c r="AL16" i="32"/>
  <c r="AR81" i="51"/>
  <c r="AR82" i="51"/>
  <c r="AR83" i="51"/>
  <c r="AR84" i="51"/>
  <c r="AR85" i="51"/>
  <c r="AR86" i="51"/>
  <c r="AR91" i="51"/>
  <c r="AM16" i="32"/>
  <c r="AS81" i="51"/>
  <c r="AS82" i="51"/>
  <c r="AS83" i="51"/>
  <c r="AS84" i="51"/>
  <c r="AS85" i="51"/>
  <c r="AS86" i="51"/>
  <c r="AS91" i="51"/>
  <c r="AN16" i="32"/>
  <c r="AT81" i="51"/>
  <c r="AT82" i="51"/>
  <c r="AT83" i="51"/>
  <c r="AT84" i="51"/>
  <c r="AT85" i="51"/>
  <c r="AT86" i="51"/>
  <c r="AT91" i="51"/>
  <c r="AO16" i="32"/>
  <c r="AU81" i="51"/>
  <c r="AU82" i="51"/>
  <c r="AU83" i="51"/>
  <c r="AU84" i="51"/>
  <c r="AU85" i="51"/>
  <c r="AU86" i="51"/>
  <c r="AU91" i="51"/>
  <c r="AP16" i="32"/>
  <c r="AV81" i="51"/>
  <c r="AV82" i="51"/>
  <c r="AV83" i="51"/>
  <c r="AV84" i="51"/>
  <c r="AV85" i="51"/>
  <c r="AV86" i="51"/>
  <c r="AV91" i="51"/>
  <c r="AQ16" i="32"/>
  <c r="D27" i="32"/>
  <c r="E27" i="32"/>
  <c r="F27" i="32"/>
  <c r="G27" i="32"/>
  <c r="H27" i="32"/>
  <c r="I27" i="32"/>
  <c r="J27" i="32"/>
  <c r="K27" i="32"/>
  <c r="L27" i="32"/>
  <c r="M27" i="32"/>
  <c r="N27" i="32"/>
  <c r="O27" i="32"/>
  <c r="P27" i="32"/>
  <c r="Q27" i="32"/>
  <c r="R27" i="32"/>
  <c r="S27" i="32"/>
  <c r="T27" i="32"/>
  <c r="U27" i="32"/>
  <c r="V27" i="32"/>
  <c r="W27" i="32"/>
  <c r="X27" i="32"/>
  <c r="Y27" i="32"/>
  <c r="Z27" i="32"/>
  <c r="AA27" i="32"/>
  <c r="AB27" i="32"/>
  <c r="AC27" i="32"/>
  <c r="AD27" i="32"/>
  <c r="AE27" i="32"/>
  <c r="AF27" i="32"/>
  <c r="AG27" i="32"/>
  <c r="AH27" i="32"/>
  <c r="AI27" i="32"/>
  <c r="AJ27" i="32"/>
  <c r="AK27" i="32"/>
  <c r="AL27" i="32"/>
  <c r="AM27" i="32"/>
  <c r="AN27" i="32"/>
  <c r="AO27" i="32"/>
  <c r="AP27" i="32"/>
  <c r="AQ27" i="32"/>
  <c r="D34" i="32"/>
  <c r="E34" i="32"/>
  <c r="F34" i="32"/>
  <c r="G34" i="32"/>
  <c r="H34" i="32"/>
  <c r="I34" i="32"/>
  <c r="J34" i="32"/>
  <c r="K34" i="32"/>
  <c r="L34" i="32"/>
  <c r="M34"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F33" i="22"/>
  <c r="F34" i="22"/>
  <c r="D43" i="32"/>
  <c r="E43" i="32"/>
  <c r="F43" i="32"/>
  <c r="G43" i="32"/>
  <c r="H43" i="32"/>
  <c r="I43" i="32"/>
  <c r="J43" i="32"/>
  <c r="K43" i="32"/>
  <c r="L43" i="32"/>
  <c r="M43" i="32"/>
  <c r="N43" i="32"/>
  <c r="O43" i="32"/>
  <c r="P43" i="32"/>
  <c r="Q43" i="32"/>
  <c r="R43" i="32"/>
  <c r="S43" i="32"/>
  <c r="T43" i="32"/>
  <c r="U43" i="32"/>
  <c r="V43" i="32"/>
  <c r="W43" i="32"/>
  <c r="X43" i="32"/>
  <c r="Y43" i="32"/>
  <c r="Z43" i="32"/>
  <c r="AA43" i="32"/>
  <c r="AB43" i="32"/>
  <c r="AC43" i="32"/>
  <c r="AD43" i="32"/>
  <c r="AE43" i="32"/>
  <c r="AF43" i="32"/>
  <c r="AG43" i="32"/>
  <c r="AH43" i="32"/>
  <c r="AI43" i="32"/>
  <c r="AJ43" i="32"/>
  <c r="AK43" i="32"/>
  <c r="AL43" i="32"/>
  <c r="AM43" i="32"/>
  <c r="AN43" i="32"/>
  <c r="AO43" i="32"/>
  <c r="AP43" i="32"/>
  <c r="AQ43" i="32"/>
  <c r="D53" i="32"/>
  <c r="E53" i="32"/>
  <c r="F53" i="32"/>
  <c r="G53" i="32"/>
  <c r="H53" i="32"/>
  <c r="I53" i="32"/>
  <c r="J53" i="32"/>
  <c r="K53" i="32"/>
  <c r="L53" i="32"/>
  <c r="M53" i="32"/>
  <c r="N53" i="32"/>
  <c r="O53" i="32"/>
  <c r="P53" i="32"/>
  <c r="Q53" i="32"/>
  <c r="R53" i="32"/>
  <c r="S53" i="32"/>
  <c r="T53" i="32"/>
  <c r="U53" i="32"/>
  <c r="V53" i="32"/>
  <c r="W53" i="32"/>
  <c r="X53" i="32"/>
  <c r="Y53" i="32"/>
  <c r="Z53" i="32"/>
  <c r="AA53" i="32"/>
  <c r="AB53" i="32"/>
  <c r="AC53" i="32"/>
  <c r="AD53" i="32"/>
  <c r="AE53" i="32"/>
  <c r="AF53" i="32"/>
  <c r="AG53" i="32"/>
  <c r="AH53" i="32"/>
  <c r="AI53" i="32"/>
  <c r="AJ53" i="32"/>
  <c r="AK53" i="32"/>
  <c r="AL53" i="32"/>
  <c r="AM53" i="32"/>
  <c r="AN53" i="32"/>
  <c r="AO53" i="32"/>
  <c r="AP53" i="32"/>
  <c r="AQ53" i="32"/>
  <c r="F27" i="22"/>
  <c r="F16" i="23"/>
  <c r="I301" i="52"/>
  <c r="D17" i="32"/>
  <c r="J301" i="52"/>
  <c r="E17" i="32"/>
  <c r="K301" i="52"/>
  <c r="F17" i="32"/>
  <c r="L301" i="52"/>
  <c r="G17" i="32"/>
  <c r="M301" i="52"/>
  <c r="H17" i="32"/>
  <c r="N301" i="52"/>
  <c r="I17" i="32"/>
  <c r="O301" i="52"/>
  <c r="J17" i="32"/>
  <c r="P301" i="52"/>
  <c r="K17" i="32"/>
  <c r="Q301" i="52"/>
  <c r="L17" i="32"/>
  <c r="R301" i="52"/>
  <c r="M17" i="32"/>
  <c r="S301" i="52"/>
  <c r="N17" i="32"/>
  <c r="T301" i="52"/>
  <c r="O17" i="32"/>
  <c r="U301" i="52"/>
  <c r="P17" i="32"/>
  <c r="V301" i="52"/>
  <c r="Q17" i="32"/>
  <c r="W301" i="52"/>
  <c r="R17" i="32"/>
  <c r="X261" i="52"/>
  <c r="X301" i="52"/>
  <c r="S17" i="32"/>
  <c r="Y261" i="52"/>
  <c r="Y262" i="52"/>
  <c r="Y301" i="52"/>
  <c r="T17" i="32"/>
  <c r="Z261" i="52"/>
  <c r="Z262" i="52"/>
  <c r="Z263" i="52"/>
  <c r="Z301" i="52"/>
  <c r="U17" i="32"/>
  <c r="AA261" i="52"/>
  <c r="AA262" i="52"/>
  <c r="AA263" i="52"/>
  <c r="AA264" i="52"/>
  <c r="AA301" i="52"/>
  <c r="V17" i="32"/>
  <c r="AB261" i="52"/>
  <c r="AB262" i="52"/>
  <c r="AB263" i="52"/>
  <c r="AB264" i="52"/>
  <c r="AB265" i="52"/>
  <c r="AB301" i="52"/>
  <c r="W17" i="32"/>
  <c r="AC261" i="52"/>
  <c r="AC262" i="52"/>
  <c r="AC263" i="52"/>
  <c r="AC264" i="52"/>
  <c r="AC265" i="52"/>
  <c r="AC266" i="52"/>
  <c r="AC301" i="52"/>
  <c r="X17" i="32"/>
  <c r="AD261" i="52"/>
  <c r="AD262" i="52"/>
  <c r="AD263" i="52"/>
  <c r="AD264" i="52"/>
  <c r="AD265" i="52"/>
  <c r="AD266" i="52"/>
  <c r="AD267" i="52"/>
  <c r="AD301" i="52"/>
  <c r="Y17" i="32"/>
  <c r="AE261" i="52"/>
  <c r="AE262" i="52"/>
  <c r="AE263" i="52"/>
  <c r="AE264" i="52"/>
  <c r="AE265" i="52"/>
  <c r="AE266" i="52"/>
  <c r="AE267" i="52"/>
  <c r="AE268" i="52"/>
  <c r="AE301" i="52"/>
  <c r="Z17" i="32"/>
  <c r="AF261" i="52"/>
  <c r="AF262" i="52"/>
  <c r="AF263" i="52"/>
  <c r="AF264" i="52"/>
  <c r="AF265" i="52"/>
  <c r="AF266" i="52"/>
  <c r="AF267" i="52"/>
  <c r="AF268" i="52"/>
  <c r="AF269" i="52"/>
  <c r="AF301" i="52"/>
  <c r="AA17" i="32"/>
  <c r="AG261" i="52"/>
  <c r="AG262" i="52"/>
  <c r="AG263" i="52"/>
  <c r="AG264" i="52"/>
  <c r="AG265" i="52"/>
  <c r="AG266" i="52"/>
  <c r="AG267" i="52"/>
  <c r="AG268" i="52"/>
  <c r="AG269" i="52"/>
  <c r="AG270" i="52"/>
  <c r="AG301" i="52"/>
  <c r="AB17" i="32"/>
  <c r="AH261" i="52"/>
  <c r="AH262" i="52"/>
  <c r="AH263" i="52"/>
  <c r="AH264" i="52"/>
  <c r="AH265" i="52"/>
  <c r="AH266" i="52"/>
  <c r="AH267" i="52"/>
  <c r="AH268" i="52"/>
  <c r="AH269" i="52"/>
  <c r="AH270" i="52"/>
  <c r="AH271" i="52"/>
  <c r="AH301" i="52"/>
  <c r="AC17" i="32"/>
  <c r="AI261" i="52"/>
  <c r="AI262" i="52"/>
  <c r="AI263" i="52"/>
  <c r="AI264" i="52"/>
  <c r="AI265" i="52"/>
  <c r="AI266" i="52"/>
  <c r="AI267" i="52"/>
  <c r="AI268" i="52"/>
  <c r="AI269" i="52"/>
  <c r="AI270" i="52"/>
  <c r="AI271" i="52"/>
  <c r="AI272" i="52"/>
  <c r="AI301" i="52"/>
  <c r="AD17" i="32"/>
  <c r="AJ261" i="52"/>
  <c r="AJ262" i="52"/>
  <c r="AJ263" i="52"/>
  <c r="AJ264" i="52"/>
  <c r="AJ265" i="52"/>
  <c r="AJ266" i="52"/>
  <c r="AJ267" i="52"/>
  <c r="AJ268" i="52"/>
  <c r="AJ269" i="52"/>
  <c r="AJ270" i="52"/>
  <c r="AJ271" i="52"/>
  <c r="AJ272" i="52"/>
  <c r="AJ273" i="52"/>
  <c r="AJ301" i="52"/>
  <c r="AE17" i="32"/>
  <c r="AK261" i="52"/>
  <c r="AK262" i="52"/>
  <c r="AK263" i="52"/>
  <c r="AK264" i="52"/>
  <c r="AK265" i="52"/>
  <c r="AK266" i="52"/>
  <c r="AK267" i="52"/>
  <c r="AK268" i="52"/>
  <c r="AK269" i="52"/>
  <c r="AK270" i="52"/>
  <c r="AK271" i="52"/>
  <c r="AK272" i="52"/>
  <c r="AK273" i="52"/>
  <c r="AK274" i="52"/>
  <c r="AK301" i="52"/>
  <c r="AF17" i="32"/>
  <c r="AL261" i="52"/>
  <c r="AL262" i="52"/>
  <c r="AL263" i="52"/>
  <c r="AL264" i="52"/>
  <c r="AL265" i="52"/>
  <c r="AL266" i="52"/>
  <c r="AL267" i="52"/>
  <c r="AL268" i="52"/>
  <c r="AL269" i="52"/>
  <c r="AL270" i="52"/>
  <c r="AL271" i="52"/>
  <c r="AL272" i="52"/>
  <c r="AL273" i="52"/>
  <c r="AL274" i="52"/>
  <c r="AL275" i="52"/>
  <c r="AL301" i="52"/>
  <c r="AG17" i="32"/>
  <c r="AM261" i="52"/>
  <c r="AM262" i="52"/>
  <c r="AM263" i="52"/>
  <c r="AM264" i="52"/>
  <c r="AM265" i="52"/>
  <c r="AM266" i="52"/>
  <c r="AM267" i="52"/>
  <c r="AM268" i="52"/>
  <c r="AM269" i="52"/>
  <c r="AM270" i="52"/>
  <c r="AM271" i="52"/>
  <c r="AM272" i="52"/>
  <c r="AM273" i="52"/>
  <c r="AM274" i="52"/>
  <c r="AM275" i="52"/>
  <c r="AM276" i="52"/>
  <c r="AM301" i="52"/>
  <c r="AH17" i="32"/>
  <c r="AN261" i="52"/>
  <c r="AN262" i="52"/>
  <c r="AN263" i="52"/>
  <c r="AN264" i="52"/>
  <c r="AN265" i="52"/>
  <c r="AN266" i="52"/>
  <c r="AN267" i="52"/>
  <c r="AN268" i="52"/>
  <c r="AN269" i="52"/>
  <c r="AN270" i="52"/>
  <c r="AN271" i="52"/>
  <c r="AN272" i="52"/>
  <c r="AN273" i="52"/>
  <c r="AN274" i="52"/>
  <c r="AN275" i="52"/>
  <c r="AN276" i="52"/>
  <c r="AN277" i="52"/>
  <c r="AN301" i="52"/>
  <c r="AI17" i="32"/>
  <c r="AO261" i="52"/>
  <c r="AO262" i="52"/>
  <c r="AO263" i="52"/>
  <c r="AO264" i="52"/>
  <c r="AO265" i="52"/>
  <c r="AO266" i="52"/>
  <c r="AO267" i="52"/>
  <c r="AO268" i="52"/>
  <c r="AO269" i="52"/>
  <c r="AO270" i="52"/>
  <c r="AO271" i="52"/>
  <c r="AO272" i="52"/>
  <c r="AO273" i="52"/>
  <c r="AO274" i="52"/>
  <c r="AO275" i="52"/>
  <c r="AO276" i="52"/>
  <c r="AO277" i="52"/>
  <c r="AO278" i="52"/>
  <c r="AO301" i="52"/>
  <c r="AJ17" i="32"/>
  <c r="AP261" i="52"/>
  <c r="AP262" i="52"/>
  <c r="AP263" i="52"/>
  <c r="AP264" i="52"/>
  <c r="AP265" i="52"/>
  <c r="AP266" i="52"/>
  <c r="AP267" i="52"/>
  <c r="AP268" i="52"/>
  <c r="AP269" i="52"/>
  <c r="AP270" i="52"/>
  <c r="AP271" i="52"/>
  <c r="AP272" i="52"/>
  <c r="AP273" i="52"/>
  <c r="AP274" i="52"/>
  <c r="AP275" i="52"/>
  <c r="AP276" i="52"/>
  <c r="AP277" i="52"/>
  <c r="AP278" i="52"/>
  <c r="AP279" i="52"/>
  <c r="AP301" i="52"/>
  <c r="AK17" i="32"/>
  <c r="AQ261" i="52"/>
  <c r="AQ262" i="52"/>
  <c r="AQ263" i="52"/>
  <c r="AQ264" i="52"/>
  <c r="AQ265" i="52"/>
  <c r="AQ266" i="52"/>
  <c r="AQ267" i="52"/>
  <c r="AQ268" i="52"/>
  <c r="AQ269" i="52"/>
  <c r="AQ270" i="52"/>
  <c r="AQ271" i="52"/>
  <c r="AQ272" i="52"/>
  <c r="AQ273" i="52"/>
  <c r="AQ274" i="52"/>
  <c r="AQ275" i="52"/>
  <c r="AQ276" i="52"/>
  <c r="AQ277" i="52"/>
  <c r="AQ278" i="52"/>
  <c r="AQ279" i="52"/>
  <c r="AQ280" i="52"/>
  <c r="AQ301" i="52"/>
  <c r="AL17" i="32"/>
  <c r="AR261" i="52"/>
  <c r="AR262" i="52"/>
  <c r="AR263" i="52"/>
  <c r="AR264" i="52"/>
  <c r="AR265" i="52"/>
  <c r="AR266" i="52"/>
  <c r="AR267" i="52"/>
  <c r="AR268" i="52"/>
  <c r="AR269" i="52"/>
  <c r="AR270" i="52"/>
  <c r="AR271" i="52"/>
  <c r="AR272" i="52"/>
  <c r="AR273" i="52"/>
  <c r="AR274" i="52"/>
  <c r="AR275" i="52"/>
  <c r="AR276" i="52"/>
  <c r="AR277" i="52"/>
  <c r="AR278" i="52"/>
  <c r="AR279" i="52"/>
  <c r="AR280" i="52"/>
  <c r="AR281" i="52"/>
  <c r="AR301" i="52"/>
  <c r="AM17" i="32"/>
  <c r="AS261" i="52"/>
  <c r="AS262" i="52"/>
  <c r="AS263" i="52"/>
  <c r="AS264" i="52"/>
  <c r="AS265" i="52"/>
  <c r="AS266" i="52"/>
  <c r="AS267" i="52"/>
  <c r="AS268" i="52"/>
  <c r="AS269" i="52"/>
  <c r="AS270" i="52"/>
  <c r="AS271" i="52"/>
  <c r="AS272" i="52"/>
  <c r="AS273" i="52"/>
  <c r="AS274" i="52"/>
  <c r="AS275" i="52"/>
  <c r="AS276" i="52"/>
  <c r="AS277" i="52"/>
  <c r="AS278" i="52"/>
  <c r="AS279" i="52"/>
  <c r="AS280" i="52"/>
  <c r="AS281" i="52"/>
  <c r="AS282" i="52"/>
  <c r="AS301" i="52"/>
  <c r="AN17" i="32"/>
  <c r="AT261" i="52"/>
  <c r="AT262" i="52"/>
  <c r="AT263" i="52"/>
  <c r="AT264" i="52"/>
  <c r="AT265" i="52"/>
  <c r="AT266" i="52"/>
  <c r="AT267" i="52"/>
  <c r="AT268" i="52"/>
  <c r="AT269" i="52"/>
  <c r="AT270" i="52"/>
  <c r="AT271" i="52"/>
  <c r="AT272" i="52"/>
  <c r="AT273" i="52"/>
  <c r="AT274" i="52"/>
  <c r="AT275" i="52"/>
  <c r="AT276" i="52"/>
  <c r="AT277" i="52"/>
  <c r="AT278" i="52"/>
  <c r="AT279" i="52"/>
  <c r="AT280" i="52"/>
  <c r="AT281" i="52"/>
  <c r="AT282" i="52"/>
  <c r="AT283" i="52"/>
  <c r="AT301" i="52"/>
  <c r="AO17" i="32"/>
  <c r="AU261" i="52"/>
  <c r="AU262" i="52"/>
  <c r="AU263" i="52"/>
  <c r="AU264" i="52"/>
  <c r="AU265" i="52"/>
  <c r="AU266" i="52"/>
  <c r="AU267" i="52"/>
  <c r="AU268" i="52"/>
  <c r="AU269" i="52"/>
  <c r="AU270" i="52"/>
  <c r="AU271" i="52"/>
  <c r="AU272" i="52"/>
  <c r="AU273" i="52"/>
  <c r="AU274" i="52"/>
  <c r="AU275" i="52"/>
  <c r="AU276" i="52"/>
  <c r="AU277" i="52"/>
  <c r="AU278" i="52"/>
  <c r="AU279" i="52"/>
  <c r="AU280" i="52"/>
  <c r="AU281" i="52"/>
  <c r="AU282" i="52"/>
  <c r="AU283" i="52"/>
  <c r="AU284" i="52"/>
  <c r="AU301" i="52"/>
  <c r="AP17" i="32"/>
  <c r="AV261" i="52"/>
  <c r="AV262" i="52"/>
  <c r="AV263" i="52"/>
  <c r="AV264" i="52"/>
  <c r="AV265" i="52"/>
  <c r="AV266" i="52"/>
  <c r="AV267" i="52"/>
  <c r="AV268" i="52"/>
  <c r="AV269" i="52"/>
  <c r="AV270" i="52"/>
  <c r="AV271" i="52"/>
  <c r="AV272" i="52"/>
  <c r="AV273" i="52"/>
  <c r="AV274" i="52"/>
  <c r="AV275" i="52"/>
  <c r="AV276" i="52"/>
  <c r="AV277" i="52"/>
  <c r="AV278" i="52"/>
  <c r="AV279" i="52"/>
  <c r="AV280" i="52"/>
  <c r="AV281" i="52"/>
  <c r="AV282" i="52"/>
  <c r="AV283" i="52"/>
  <c r="AV284" i="52"/>
  <c r="AV285" i="52"/>
  <c r="AV301" i="52"/>
  <c r="AQ1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F34" i="29"/>
  <c r="F35" i="29"/>
  <c r="D44" i="32"/>
  <c r="E44" i="32"/>
  <c r="F44" i="32"/>
  <c r="G44" i="32"/>
  <c r="H44" i="32"/>
  <c r="I44" i="32"/>
  <c r="J44" i="32"/>
  <c r="K44" i="32"/>
  <c r="L44" i="32"/>
  <c r="M44" i="32"/>
  <c r="N44" i="32"/>
  <c r="O44" i="32"/>
  <c r="P44" i="32"/>
  <c r="Q44" i="32"/>
  <c r="R44" i="32"/>
  <c r="S44" i="32"/>
  <c r="T44" i="32"/>
  <c r="U44" i="32"/>
  <c r="V44" i="32"/>
  <c r="W44" i="32"/>
  <c r="X44" i="32"/>
  <c r="Y44" i="32"/>
  <c r="Z44" i="32"/>
  <c r="AA44" i="32"/>
  <c r="AB44" i="32"/>
  <c r="AC44" i="32"/>
  <c r="AD44" i="32"/>
  <c r="AE44" i="32"/>
  <c r="AF44" i="32"/>
  <c r="AG44" i="32"/>
  <c r="AH44" i="32"/>
  <c r="AI44" i="32"/>
  <c r="AJ44" i="32"/>
  <c r="AK44" i="32"/>
  <c r="AL44" i="32"/>
  <c r="AM44" i="32"/>
  <c r="AN44" i="32"/>
  <c r="AO44" i="32"/>
  <c r="AP44" i="32"/>
  <c r="AQ44" i="32"/>
  <c r="D54" i="32"/>
  <c r="E54" i="32"/>
  <c r="F54" i="32"/>
  <c r="G54" i="32"/>
  <c r="H54" i="32"/>
  <c r="I54" i="32"/>
  <c r="J54" i="32"/>
  <c r="K54" i="32"/>
  <c r="L54" i="32"/>
  <c r="M54" i="32"/>
  <c r="N54" i="32"/>
  <c r="O54" i="32"/>
  <c r="P54" i="32"/>
  <c r="Q54" i="32"/>
  <c r="R54" i="32"/>
  <c r="S54" i="32"/>
  <c r="T54" i="32"/>
  <c r="U54" i="32"/>
  <c r="V54" i="32"/>
  <c r="W54" i="32"/>
  <c r="X54" i="32"/>
  <c r="Y54" i="32"/>
  <c r="Z54" i="32"/>
  <c r="AA54" i="32"/>
  <c r="AB54" i="32"/>
  <c r="AC54" i="32"/>
  <c r="AD54" i="32"/>
  <c r="AE54" i="32"/>
  <c r="AF54" i="32"/>
  <c r="AG54" i="32"/>
  <c r="AH54" i="32"/>
  <c r="AI54" i="32"/>
  <c r="AJ54" i="32"/>
  <c r="AK54" i="32"/>
  <c r="AL54" i="32"/>
  <c r="AM54" i="32"/>
  <c r="AN54" i="32"/>
  <c r="AO54" i="32"/>
  <c r="AP54" i="32"/>
  <c r="AQ54" i="32"/>
  <c r="F27" i="29"/>
  <c r="F17" i="23"/>
  <c r="F19" i="29"/>
  <c r="G7" i="43"/>
  <c r="I7" i="43"/>
  <c r="J7" i="43"/>
  <c r="G12" i="43"/>
  <c r="I12" i="43"/>
  <c r="J12" i="43"/>
  <c r="F35" i="46"/>
  <c r="I349" i="53"/>
  <c r="I389" i="53"/>
  <c r="D18" i="32"/>
  <c r="J349" i="53"/>
  <c r="J350" i="53"/>
  <c r="J389" i="53"/>
  <c r="E18" i="32"/>
  <c r="K349" i="53"/>
  <c r="K350" i="53"/>
  <c r="K351" i="53"/>
  <c r="K389" i="53"/>
  <c r="F18" i="32"/>
  <c r="L349" i="53"/>
  <c r="L350" i="53"/>
  <c r="L351" i="53"/>
  <c r="L352" i="53"/>
  <c r="L389" i="53"/>
  <c r="G18" i="32"/>
  <c r="M349" i="53"/>
  <c r="M350" i="53"/>
  <c r="M351" i="53"/>
  <c r="M352" i="53"/>
  <c r="M353" i="53"/>
  <c r="M389" i="53"/>
  <c r="H18" i="32"/>
  <c r="N349" i="53"/>
  <c r="N350" i="53"/>
  <c r="N351" i="53"/>
  <c r="N352" i="53"/>
  <c r="N353" i="53"/>
  <c r="N354" i="53"/>
  <c r="N389" i="53"/>
  <c r="I18" i="32"/>
  <c r="O349" i="53"/>
  <c r="O350" i="53"/>
  <c r="O351" i="53"/>
  <c r="O352" i="53"/>
  <c r="O353" i="53"/>
  <c r="O354" i="53"/>
  <c r="O355" i="53"/>
  <c r="O389" i="53"/>
  <c r="J18" i="32"/>
  <c r="P349" i="53"/>
  <c r="P350" i="53"/>
  <c r="P351" i="53"/>
  <c r="P352" i="53"/>
  <c r="P353" i="53"/>
  <c r="P354" i="53"/>
  <c r="P355" i="53"/>
  <c r="P356" i="53"/>
  <c r="P389" i="53"/>
  <c r="K18" i="32"/>
  <c r="Q349" i="53"/>
  <c r="Q350" i="53"/>
  <c r="Q351" i="53"/>
  <c r="Q352" i="53"/>
  <c r="Q353" i="53"/>
  <c r="Q354" i="53"/>
  <c r="Q355" i="53"/>
  <c r="Q356" i="53"/>
  <c r="Q357" i="53"/>
  <c r="Q389" i="53"/>
  <c r="L18" i="32"/>
  <c r="R349" i="53"/>
  <c r="R350" i="53"/>
  <c r="R351" i="53"/>
  <c r="R352" i="53"/>
  <c r="R353" i="53"/>
  <c r="R354" i="53"/>
  <c r="R355" i="53"/>
  <c r="R356" i="53"/>
  <c r="R357" i="53"/>
  <c r="R358" i="53"/>
  <c r="R389" i="53"/>
  <c r="M18" i="32"/>
  <c r="S349" i="53"/>
  <c r="S350" i="53"/>
  <c r="S351" i="53"/>
  <c r="S352" i="53"/>
  <c r="S353" i="53"/>
  <c r="S354" i="53"/>
  <c r="S355" i="53"/>
  <c r="S356" i="53"/>
  <c r="S357" i="53"/>
  <c r="S358" i="53"/>
  <c r="S359" i="53"/>
  <c r="S389" i="53"/>
  <c r="N18" i="32"/>
  <c r="T349" i="53"/>
  <c r="T350" i="53"/>
  <c r="T351" i="53"/>
  <c r="T352" i="53"/>
  <c r="T353" i="53"/>
  <c r="T354" i="53"/>
  <c r="T355" i="53"/>
  <c r="T356" i="53"/>
  <c r="T357" i="53"/>
  <c r="T358" i="53"/>
  <c r="T359" i="53"/>
  <c r="T360" i="53"/>
  <c r="T389" i="53"/>
  <c r="O18" i="32"/>
  <c r="U349" i="53"/>
  <c r="U350" i="53"/>
  <c r="U351" i="53"/>
  <c r="U352" i="53"/>
  <c r="U353" i="53"/>
  <c r="U354" i="53"/>
  <c r="U355" i="53"/>
  <c r="U356" i="53"/>
  <c r="U357" i="53"/>
  <c r="U358" i="53"/>
  <c r="U359" i="53"/>
  <c r="U360" i="53"/>
  <c r="U361" i="53"/>
  <c r="U389" i="53"/>
  <c r="P18" i="32"/>
  <c r="V349" i="53"/>
  <c r="V350" i="53"/>
  <c r="V351" i="53"/>
  <c r="V352" i="53"/>
  <c r="V353" i="53"/>
  <c r="V354" i="53"/>
  <c r="V355" i="53"/>
  <c r="V356" i="53"/>
  <c r="V357" i="53"/>
  <c r="V358" i="53"/>
  <c r="V359" i="53"/>
  <c r="V360" i="53"/>
  <c r="V361" i="53"/>
  <c r="V362" i="53"/>
  <c r="V389" i="53"/>
  <c r="Q18" i="32"/>
  <c r="W349" i="53"/>
  <c r="W350" i="53"/>
  <c r="W351" i="53"/>
  <c r="W352" i="53"/>
  <c r="W353" i="53"/>
  <c r="W354" i="53"/>
  <c r="W355" i="53"/>
  <c r="W356" i="53"/>
  <c r="W357" i="53"/>
  <c r="W358" i="53"/>
  <c r="W359" i="53"/>
  <c r="W360" i="53"/>
  <c r="W361" i="53"/>
  <c r="W362" i="53"/>
  <c r="W363" i="53"/>
  <c r="W389" i="53"/>
  <c r="R18" i="32"/>
  <c r="X349" i="53"/>
  <c r="X350" i="53"/>
  <c r="X351" i="53"/>
  <c r="X352" i="53"/>
  <c r="X353" i="53"/>
  <c r="X354" i="53"/>
  <c r="X355" i="53"/>
  <c r="X356" i="53"/>
  <c r="X357" i="53"/>
  <c r="X358" i="53"/>
  <c r="X359" i="53"/>
  <c r="X360" i="53"/>
  <c r="X361" i="53"/>
  <c r="X362" i="53"/>
  <c r="X363" i="53"/>
  <c r="X364" i="53"/>
  <c r="X389" i="53"/>
  <c r="S18" i="32"/>
  <c r="Y349" i="53"/>
  <c r="Y350" i="53"/>
  <c r="Y351" i="53"/>
  <c r="Y352" i="53"/>
  <c r="Y353" i="53"/>
  <c r="Y354" i="53"/>
  <c r="Y355" i="53"/>
  <c r="Y356" i="53"/>
  <c r="Y357" i="53"/>
  <c r="Y358" i="53"/>
  <c r="Y359" i="53"/>
  <c r="Y360" i="53"/>
  <c r="Y361" i="53"/>
  <c r="Y362" i="53"/>
  <c r="Y363" i="53"/>
  <c r="Y364" i="53"/>
  <c r="Y365" i="53"/>
  <c r="Y389" i="53"/>
  <c r="T18" i="32"/>
  <c r="Z349" i="53"/>
  <c r="Z350" i="53"/>
  <c r="Z351" i="53"/>
  <c r="Z352" i="53"/>
  <c r="Z353" i="53"/>
  <c r="Z354" i="53"/>
  <c r="Z355" i="53"/>
  <c r="Z356" i="53"/>
  <c r="Z357" i="53"/>
  <c r="Z358" i="53"/>
  <c r="Z359" i="53"/>
  <c r="Z360" i="53"/>
  <c r="Z361" i="53"/>
  <c r="Z362" i="53"/>
  <c r="Z363" i="53"/>
  <c r="Z364" i="53"/>
  <c r="Z365" i="53"/>
  <c r="Z366" i="53"/>
  <c r="Z389" i="53"/>
  <c r="U18" i="32"/>
  <c r="AA349" i="53"/>
  <c r="AA350" i="53"/>
  <c r="AA351" i="53"/>
  <c r="AA352" i="53"/>
  <c r="AA353" i="53"/>
  <c r="AA354" i="53"/>
  <c r="AA355" i="53"/>
  <c r="AA356" i="53"/>
  <c r="AA357" i="53"/>
  <c r="AA358" i="53"/>
  <c r="AA359" i="53"/>
  <c r="AA360" i="53"/>
  <c r="AA361" i="53"/>
  <c r="AA362" i="53"/>
  <c r="AA363" i="53"/>
  <c r="AA364" i="53"/>
  <c r="AA365" i="53"/>
  <c r="AA366" i="53"/>
  <c r="AA367" i="53"/>
  <c r="AA389" i="53"/>
  <c r="V18" i="32"/>
  <c r="AB349" i="53"/>
  <c r="AB350" i="53"/>
  <c r="AB351" i="53"/>
  <c r="AB352" i="53"/>
  <c r="AB353" i="53"/>
  <c r="AB354" i="53"/>
  <c r="AB355" i="53"/>
  <c r="AB356" i="53"/>
  <c r="AB357" i="53"/>
  <c r="AB358" i="53"/>
  <c r="AB359" i="53"/>
  <c r="AB360" i="53"/>
  <c r="AB361" i="53"/>
  <c r="AB362" i="53"/>
  <c r="AB363" i="53"/>
  <c r="AB364" i="53"/>
  <c r="AB365" i="53"/>
  <c r="AB366" i="53"/>
  <c r="AB367" i="53"/>
  <c r="AB368" i="53"/>
  <c r="AB389" i="53"/>
  <c r="W18" i="32"/>
  <c r="AC349" i="53"/>
  <c r="AC350" i="53"/>
  <c r="AC351" i="53"/>
  <c r="AC352" i="53"/>
  <c r="AC353" i="53"/>
  <c r="AC354" i="53"/>
  <c r="AC355" i="53"/>
  <c r="AC356" i="53"/>
  <c r="AC357" i="53"/>
  <c r="AC358" i="53"/>
  <c r="AC359" i="53"/>
  <c r="AC360" i="53"/>
  <c r="AC361" i="53"/>
  <c r="AC362" i="53"/>
  <c r="AC363" i="53"/>
  <c r="AC364" i="53"/>
  <c r="AC365" i="53"/>
  <c r="AC366" i="53"/>
  <c r="AC367" i="53"/>
  <c r="AC368" i="53"/>
  <c r="AC369" i="53"/>
  <c r="AC389" i="53"/>
  <c r="X18" i="32"/>
  <c r="AD349" i="53"/>
  <c r="AD350" i="53"/>
  <c r="AD351" i="53"/>
  <c r="AD352" i="53"/>
  <c r="AD353" i="53"/>
  <c r="AD354" i="53"/>
  <c r="AD355" i="53"/>
  <c r="AD356" i="53"/>
  <c r="AD357" i="53"/>
  <c r="AD358" i="53"/>
  <c r="AD359" i="53"/>
  <c r="AD360" i="53"/>
  <c r="AD361" i="53"/>
  <c r="AD362" i="53"/>
  <c r="AD363" i="53"/>
  <c r="AD364" i="53"/>
  <c r="AD365" i="53"/>
  <c r="AD366" i="53"/>
  <c r="AD367" i="53"/>
  <c r="AD368" i="53"/>
  <c r="AD369" i="53"/>
  <c r="AD370" i="53"/>
  <c r="AD389" i="53"/>
  <c r="Y18" i="32"/>
  <c r="AE349" i="53"/>
  <c r="AE350" i="53"/>
  <c r="AE351" i="53"/>
  <c r="AE352" i="53"/>
  <c r="AE353" i="53"/>
  <c r="AE354" i="53"/>
  <c r="AE355" i="53"/>
  <c r="AE356" i="53"/>
  <c r="AE357" i="53"/>
  <c r="AE358" i="53"/>
  <c r="AE359" i="53"/>
  <c r="AE360" i="53"/>
  <c r="AE361" i="53"/>
  <c r="AE362" i="53"/>
  <c r="AE363" i="53"/>
  <c r="AE364" i="53"/>
  <c r="AE365" i="53"/>
  <c r="AE366" i="53"/>
  <c r="AE367" i="53"/>
  <c r="AE368" i="53"/>
  <c r="AE369" i="53"/>
  <c r="AE370" i="53"/>
  <c r="AE371" i="53"/>
  <c r="AE389" i="53"/>
  <c r="Z18" i="32"/>
  <c r="AF349" i="53"/>
  <c r="AF350" i="53"/>
  <c r="AF351" i="53"/>
  <c r="AF352" i="53"/>
  <c r="AF353" i="53"/>
  <c r="AF354" i="53"/>
  <c r="AF355" i="53"/>
  <c r="AF356" i="53"/>
  <c r="AF357" i="53"/>
  <c r="AF358" i="53"/>
  <c r="AF359" i="53"/>
  <c r="AF360" i="53"/>
  <c r="AF361" i="53"/>
  <c r="AF362" i="53"/>
  <c r="AF363" i="53"/>
  <c r="AF364" i="53"/>
  <c r="AF365" i="53"/>
  <c r="AF366" i="53"/>
  <c r="AF367" i="53"/>
  <c r="AF368" i="53"/>
  <c r="AF369" i="53"/>
  <c r="AF370" i="53"/>
  <c r="AF371" i="53"/>
  <c r="AF372" i="53"/>
  <c r="AF389" i="53"/>
  <c r="AA18" i="32"/>
  <c r="AG349" i="53"/>
  <c r="AG350" i="53"/>
  <c r="AG351" i="53"/>
  <c r="AG352" i="53"/>
  <c r="AG353" i="53"/>
  <c r="AG354" i="53"/>
  <c r="AG355" i="53"/>
  <c r="AG356" i="53"/>
  <c r="AG357" i="53"/>
  <c r="AG358" i="53"/>
  <c r="AG359" i="53"/>
  <c r="AG360" i="53"/>
  <c r="AG361" i="53"/>
  <c r="AG362" i="53"/>
  <c r="AG363" i="53"/>
  <c r="AG364" i="53"/>
  <c r="AG365" i="53"/>
  <c r="AG366" i="53"/>
  <c r="AG367" i="53"/>
  <c r="AG368" i="53"/>
  <c r="AG369" i="53"/>
  <c r="AG370" i="53"/>
  <c r="AG371" i="53"/>
  <c r="AG372" i="53"/>
  <c r="AG373" i="53"/>
  <c r="AG389" i="53"/>
  <c r="AB18" i="32"/>
  <c r="AH349" i="53"/>
  <c r="AH350" i="53"/>
  <c r="AH351" i="53"/>
  <c r="AH352" i="53"/>
  <c r="AH353" i="53"/>
  <c r="AH354" i="53"/>
  <c r="AH355" i="53"/>
  <c r="AH356" i="53"/>
  <c r="AH357" i="53"/>
  <c r="AH358" i="53"/>
  <c r="AH359" i="53"/>
  <c r="AH360" i="53"/>
  <c r="AH361" i="53"/>
  <c r="AH362" i="53"/>
  <c r="AH363" i="53"/>
  <c r="AH364" i="53"/>
  <c r="AH365" i="53"/>
  <c r="AH366" i="53"/>
  <c r="AH367" i="53"/>
  <c r="AH368" i="53"/>
  <c r="AH369" i="53"/>
  <c r="AH370" i="53"/>
  <c r="AH371" i="53"/>
  <c r="AH372" i="53"/>
  <c r="AH373" i="53"/>
  <c r="AH374" i="53"/>
  <c r="AH389" i="53"/>
  <c r="AC18" i="32"/>
  <c r="AI349" i="53"/>
  <c r="AI350" i="53"/>
  <c r="AI351" i="53"/>
  <c r="AI352" i="53"/>
  <c r="AI353" i="53"/>
  <c r="AI354" i="53"/>
  <c r="AI355" i="53"/>
  <c r="AI356" i="53"/>
  <c r="AI357" i="53"/>
  <c r="AI358" i="53"/>
  <c r="AI359" i="53"/>
  <c r="AI360" i="53"/>
  <c r="AI361" i="53"/>
  <c r="AI362" i="53"/>
  <c r="AI363" i="53"/>
  <c r="AI364" i="53"/>
  <c r="AI365" i="53"/>
  <c r="AI366" i="53"/>
  <c r="AI367" i="53"/>
  <c r="AI368" i="53"/>
  <c r="AI369" i="53"/>
  <c r="AI370" i="53"/>
  <c r="AI371" i="53"/>
  <c r="AI372" i="53"/>
  <c r="AI373" i="53"/>
  <c r="AI374" i="53"/>
  <c r="AI389" i="53"/>
  <c r="AD18" i="32"/>
  <c r="AJ349" i="53"/>
  <c r="AJ350" i="53"/>
  <c r="AJ351" i="53"/>
  <c r="AJ352" i="53"/>
  <c r="AJ353" i="53"/>
  <c r="AJ354" i="53"/>
  <c r="AJ355" i="53"/>
  <c r="AJ356" i="53"/>
  <c r="AJ357" i="53"/>
  <c r="AJ358" i="53"/>
  <c r="AJ359" i="53"/>
  <c r="AJ360" i="53"/>
  <c r="AJ361" i="53"/>
  <c r="AJ362" i="53"/>
  <c r="AJ363" i="53"/>
  <c r="AJ364" i="53"/>
  <c r="AJ365" i="53"/>
  <c r="AJ366" i="53"/>
  <c r="AJ367" i="53"/>
  <c r="AJ368" i="53"/>
  <c r="AJ369" i="53"/>
  <c r="AJ370" i="53"/>
  <c r="AJ371" i="53"/>
  <c r="AJ372" i="53"/>
  <c r="AJ373" i="53"/>
  <c r="AJ374" i="53"/>
  <c r="AJ389" i="53"/>
  <c r="AE18" i="32"/>
  <c r="AK349" i="53"/>
  <c r="AK350" i="53"/>
  <c r="AK351" i="53"/>
  <c r="AK352" i="53"/>
  <c r="AK353" i="53"/>
  <c r="AK354" i="53"/>
  <c r="AK355" i="53"/>
  <c r="AK356" i="53"/>
  <c r="AK357" i="53"/>
  <c r="AK358" i="53"/>
  <c r="AK359" i="53"/>
  <c r="AK360" i="53"/>
  <c r="AK361" i="53"/>
  <c r="AK362" i="53"/>
  <c r="AK363" i="53"/>
  <c r="AK364" i="53"/>
  <c r="AK365" i="53"/>
  <c r="AK366" i="53"/>
  <c r="AK367" i="53"/>
  <c r="AK368" i="53"/>
  <c r="AK369" i="53"/>
  <c r="AK370" i="53"/>
  <c r="AK371" i="53"/>
  <c r="AK372" i="53"/>
  <c r="AK373" i="53"/>
  <c r="AK374" i="53"/>
  <c r="AK389" i="53"/>
  <c r="AF18" i="32"/>
  <c r="AL349" i="53"/>
  <c r="AL350" i="53"/>
  <c r="AL351" i="53"/>
  <c r="AL352" i="53"/>
  <c r="AL353" i="53"/>
  <c r="AL354" i="53"/>
  <c r="AL355" i="53"/>
  <c r="AL356" i="53"/>
  <c r="AL357" i="53"/>
  <c r="AL358" i="53"/>
  <c r="AL359" i="53"/>
  <c r="AL360" i="53"/>
  <c r="AL361" i="53"/>
  <c r="AL362" i="53"/>
  <c r="AL363" i="53"/>
  <c r="AL364" i="53"/>
  <c r="AL365" i="53"/>
  <c r="AL366" i="53"/>
  <c r="AL367" i="53"/>
  <c r="AL368" i="53"/>
  <c r="AL369" i="53"/>
  <c r="AL370" i="53"/>
  <c r="AL371" i="53"/>
  <c r="AL372" i="53"/>
  <c r="AL373" i="53"/>
  <c r="AL374" i="53"/>
  <c r="AL389" i="53"/>
  <c r="AG18" i="32"/>
  <c r="AM349" i="53"/>
  <c r="AM350" i="53"/>
  <c r="AM351" i="53"/>
  <c r="AM352" i="53"/>
  <c r="AM353" i="53"/>
  <c r="AM354" i="53"/>
  <c r="AM355" i="53"/>
  <c r="AM356" i="53"/>
  <c r="AM357" i="53"/>
  <c r="AM358" i="53"/>
  <c r="AM359" i="53"/>
  <c r="AM360" i="53"/>
  <c r="AM361" i="53"/>
  <c r="AM362" i="53"/>
  <c r="AM363" i="53"/>
  <c r="AM364" i="53"/>
  <c r="AM365" i="53"/>
  <c r="AM366" i="53"/>
  <c r="AM367" i="53"/>
  <c r="AM368" i="53"/>
  <c r="AM369" i="53"/>
  <c r="AM370" i="53"/>
  <c r="AM371" i="53"/>
  <c r="AM372" i="53"/>
  <c r="AM373" i="53"/>
  <c r="AM374" i="53"/>
  <c r="AM389" i="53"/>
  <c r="AH18" i="32"/>
  <c r="AN349" i="53"/>
  <c r="AN350" i="53"/>
  <c r="AN351" i="53"/>
  <c r="AN352" i="53"/>
  <c r="AN353" i="53"/>
  <c r="AN354" i="53"/>
  <c r="AN355" i="53"/>
  <c r="AN356" i="53"/>
  <c r="AN357" i="53"/>
  <c r="AN358" i="53"/>
  <c r="AN359" i="53"/>
  <c r="AN360" i="53"/>
  <c r="AN361" i="53"/>
  <c r="AN362" i="53"/>
  <c r="AN363" i="53"/>
  <c r="AN364" i="53"/>
  <c r="AN365" i="53"/>
  <c r="AN366" i="53"/>
  <c r="AN367" i="53"/>
  <c r="AN368" i="53"/>
  <c r="AN369" i="53"/>
  <c r="AN370" i="53"/>
  <c r="AN371" i="53"/>
  <c r="AN372" i="53"/>
  <c r="AN373" i="53"/>
  <c r="AN374" i="53"/>
  <c r="AN389" i="53"/>
  <c r="AI18" i="32"/>
  <c r="AO349" i="53"/>
  <c r="AO350" i="53"/>
  <c r="AO351" i="53"/>
  <c r="AO352" i="53"/>
  <c r="AO353" i="53"/>
  <c r="AO354" i="53"/>
  <c r="AO355" i="53"/>
  <c r="AO356" i="53"/>
  <c r="AO357" i="53"/>
  <c r="AO358" i="53"/>
  <c r="AO359" i="53"/>
  <c r="AO360" i="53"/>
  <c r="AO361" i="53"/>
  <c r="AO362" i="53"/>
  <c r="AO363" i="53"/>
  <c r="AO364" i="53"/>
  <c r="AO365" i="53"/>
  <c r="AO366" i="53"/>
  <c r="AO367" i="53"/>
  <c r="AO368" i="53"/>
  <c r="AO369" i="53"/>
  <c r="AO370" i="53"/>
  <c r="AO371" i="53"/>
  <c r="AO372" i="53"/>
  <c r="AO373" i="53"/>
  <c r="AO374" i="53"/>
  <c r="AO389" i="53"/>
  <c r="AJ18" i="32"/>
  <c r="AP349" i="53"/>
  <c r="AP350" i="53"/>
  <c r="AP351" i="53"/>
  <c r="AP352" i="53"/>
  <c r="AP353" i="53"/>
  <c r="AP354" i="53"/>
  <c r="AP355" i="53"/>
  <c r="AP356" i="53"/>
  <c r="AP357" i="53"/>
  <c r="AP358" i="53"/>
  <c r="AP359" i="53"/>
  <c r="AP360" i="53"/>
  <c r="AP361" i="53"/>
  <c r="AP362" i="53"/>
  <c r="AP363" i="53"/>
  <c r="AP364" i="53"/>
  <c r="AP365" i="53"/>
  <c r="AP366" i="53"/>
  <c r="AP367" i="53"/>
  <c r="AP368" i="53"/>
  <c r="AP369" i="53"/>
  <c r="AP370" i="53"/>
  <c r="AP371" i="53"/>
  <c r="AP372" i="53"/>
  <c r="AP373" i="53"/>
  <c r="AP374" i="53"/>
  <c r="AP389" i="53"/>
  <c r="AK18" i="32"/>
  <c r="AQ349" i="53"/>
  <c r="AQ350" i="53"/>
  <c r="AQ351" i="53"/>
  <c r="AQ352" i="53"/>
  <c r="AQ353" i="53"/>
  <c r="AQ354" i="53"/>
  <c r="AQ355" i="53"/>
  <c r="AQ356" i="53"/>
  <c r="AQ357" i="53"/>
  <c r="AQ358" i="53"/>
  <c r="AQ359" i="53"/>
  <c r="AQ360" i="53"/>
  <c r="AQ361" i="53"/>
  <c r="AQ362" i="53"/>
  <c r="AQ363" i="53"/>
  <c r="AQ364" i="53"/>
  <c r="AQ365" i="53"/>
  <c r="AQ366" i="53"/>
  <c r="AQ367" i="53"/>
  <c r="AQ368" i="53"/>
  <c r="AQ369" i="53"/>
  <c r="AQ370" i="53"/>
  <c r="AQ371" i="53"/>
  <c r="AQ372" i="53"/>
  <c r="AQ373" i="53"/>
  <c r="AQ374" i="53"/>
  <c r="AQ389" i="53"/>
  <c r="AL18" i="32"/>
  <c r="AR349" i="53"/>
  <c r="AR350" i="53"/>
  <c r="AR351" i="53"/>
  <c r="AR352" i="53"/>
  <c r="AR353" i="53"/>
  <c r="AR354" i="53"/>
  <c r="AR355" i="53"/>
  <c r="AR356" i="53"/>
  <c r="AR357" i="53"/>
  <c r="AR358" i="53"/>
  <c r="AR359" i="53"/>
  <c r="AR360" i="53"/>
  <c r="AR361" i="53"/>
  <c r="AR362" i="53"/>
  <c r="AR363" i="53"/>
  <c r="AR364" i="53"/>
  <c r="AR365" i="53"/>
  <c r="AR366" i="53"/>
  <c r="AR367" i="53"/>
  <c r="AR368" i="53"/>
  <c r="AR369" i="53"/>
  <c r="AR370" i="53"/>
  <c r="AR371" i="53"/>
  <c r="AR372" i="53"/>
  <c r="AR373" i="53"/>
  <c r="AR374" i="53"/>
  <c r="AR389" i="53"/>
  <c r="AM18" i="32"/>
  <c r="AS349" i="53"/>
  <c r="AS350" i="53"/>
  <c r="AS351" i="53"/>
  <c r="AS352" i="53"/>
  <c r="AS353" i="53"/>
  <c r="AS354" i="53"/>
  <c r="AS355" i="53"/>
  <c r="AS356" i="53"/>
  <c r="AS357" i="53"/>
  <c r="AS358" i="53"/>
  <c r="AS359" i="53"/>
  <c r="AS360" i="53"/>
  <c r="AS361" i="53"/>
  <c r="AS362" i="53"/>
  <c r="AS363" i="53"/>
  <c r="AS364" i="53"/>
  <c r="AS365" i="53"/>
  <c r="AS366" i="53"/>
  <c r="AS367" i="53"/>
  <c r="AS368" i="53"/>
  <c r="AS369" i="53"/>
  <c r="AS370" i="53"/>
  <c r="AS371" i="53"/>
  <c r="AS372" i="53"/>
  <c r="AS373" i="53"/>
  <c r="AS374" i="53"/>
  <c r="AS389" i="53"/>
  <c r="AN18" i="32"/>
  <c r="AT349" i="53"/>
  <c r="AT350" i="53"/>
  <c r="AT351" i="53"/>
  <c r="AT352" i="53"/>
  <c r="AT353" i="53"/>
  <c r="AT354" i="53"/>
  <c r="AT355" i="53"/>
  <c r="AT356" i="53"/>
  <c r="AT357" i="53"/>
  <c r="AT358" i="53"/>
  <c r="AT359" i="53"/>
  <c r="AT360" i="53"/>
  <c r="AT361" i="53"/>
  <c r="AT362" i="53"/>
  <c r="AT363" i="53"/>
  <c r="AT364" i="53"/>
  <c r="AT365" i="53"/>
  <c r="AT366" i="53"/>
  <c r="AT367" i="53"/>
  <c r="AT368" i="53"/>
  <c r="AT369" i="53"/>
  <c r="AT370" i="53"/>
  <c r="AT371" i="53"/>
  <c r="AT372" i="53"/>
  <c r="AT373" i="53"/>
  <c r="AT374" i="53"/>
  <c r="AT389" i="53"/>
  <c r="AO18" i="32"/>
  <c r="AU349" i="53"/>
  <c r="AU350" i="53"/>
  <c r="AU351" i="53"/>
  <c r="AU352" i="53"/>
  <c r="AU353" i="53"/>
  <c r="AU354" i="53"/>
  <c r="AU355" i="53"/>
  <c r="AU356" i="53"/>
  <c r="AU357" i="53"/>
  <c r="AU358" i="53"/>
  <c r="AU359" i="53"/>
  <c r="AU360" i="53"/>
  <c r="AU361" i="53"/>
  <c r="AU362" i="53"/>
  <c r="AU363" i="53"/>
  <c r="AU364" i="53"/>
  <c r="AU365" i="53"/>
  <c r="AU366" i="53"/>
  <c r="AU367" i="53"/>
  <c r="AU368" i="53"/>
  <c r="AU369" i="53"/>
  <c r="AU370" i="53"/>
  <c r="AU371" i="53"/>
  <c r="AU372" i="53"/>
  <c r="AU373" i="53"/>
  <c r="AU374" i="53"/>
  <c r="AU389" i="53"/>
  <c r="AP18" i="32"/>
  <c r="AV349" i="53"/>
  <c r="AV350" i="53"/>
  <c r="AV351" i="53"/>
  <c r="AV352" i="53"/>
  <c r="AV353" i="53"/>
  <c r="AV354" i="53"/>
  <c r="AV355" i="53"/>
  <c r="AV356" i="53"/>
  <c r="AV357" i="53"/>
  <c r="AV358" i="53"/>
  <c r="AV359" i="53"/>
  <c r="AV360" i="53"/>
  <c r="AV361" i="53"/>
  <c r="AV362" i="53"/>
  <c r="AV363" i="53"/>
  <c r="AV364" i="53"/>
  <c r="AV365" i="53"/>
  <c r="AV366" i="53"/>
  <c r="AV367" i="53"/>
  <c r="AV368" i="53"/>
  <c r="AV369" i="53"/>
  <c r="AV370" i="53"/>
  <c r="AV371" i="53"/>
  <c r="AV372" i="53"/>
  <c r="AV373" i="53"/>
  <c r="AV374" i="53"/>
  <c r="AV389" i="53"/>
  <c r="AQ18" i="32"/>
  <c r="D30" i="32"/>
  <c r="E30" i="32"/>
  <c r="F30" i="32"/>
  <c r="G30" i="32"/>
  <c r="H30" i="32"/>
  <c r="I30" i="32"/>
  <c r="J30" i="32"/>
  <c r="K30" i="32"/>
  <c r="L30" i="32"/>
  <c r="M30"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D36" i="32"/>
  <c r="E36" i="32"/>
  <c r="F36" i="32"/>
  <c r="G36" i="32"/>
  <c r="H36" i="32"/>
  <c r="I36" i="32"/>
  <c r="J36" i="32"/>
  <c r="K36" i="32"/>
  <c r="L36" i="32"/>
  <c r="M36" i="32"/>
  <c r="N36" i="32"/>
  <c r="O36" i="32"/>
  <c r="P36" i="32"/>
  <c r="Q36" i="32"/>
  <c r="R36" i="32"/>
  <c r="S36" i="32"/>
  <c r="T36" i="32"/>
  <c r="U36" i="32"/>
  <c r="V36" i="32"/>
  <c r="W36" i="32"/>
  <c r="X36" i="32"/>
  <c r="Y36" i="32"/>
  <c r="Z36" i="32"/>
  <c r="AA36" i="32"/>
  <c r="AB36" i="32"/>
  <c r="AC36" i="32"/>
  <c r="AD36" i="32"/>
  <c r="AE36" i="32"/>
  <c r="AF36" i="32"/>
  <c r="AG36" i="32"/>
  <c r="AH36" i="32"/>
  <c r="AI36" i="32"/>
  <c r="AJ36" i="32"/>
  <c r="AK36" i="32"/>
  <c r="AL36" i="32"/>
  <c r="AM36" i="32"/>
  <c r="AN36" i="32"/>
  <c r="AO36" i="32"/>
  <c r="AP36" i="32"/>
  <c r="AQ36" i="32"/>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F41" i="46"/>
  <c r="F42" i="46"/>
  <c r="D45" i="32"/>
  <c r="E45" i="32"/>
  <c r="F45" i="32"/>
  <c r="G45" i="32"/>
  <c r="H45" i="32"/>
  <c r="I45" i="32"/>
  <c r="J45" i="32"/>
  <c r="K45" i="32"/>
  <c r="L45" i="32"/>
  <c r="M45" i="32"/>
  <c r="N45" i="32"/>
  <c r="O45" i="32"/>
  <c r="P45" i="32"/>
  <c r="Q45" i="32"/>
  <c r="R45" i="32"/>
  <c r="S45" i="32"/>
  <c r="T45" i="32"/>
  <c r="U45" i="32"/>
  <c r="V45" i="32"/>
  <c r="W45" i="32"/>
  <c r="X45" i="32"/>
  <c r="Y45" i="32"/>
  <c r="Z45" i="32"/>
  <c r="AA45" i="32"/>
  <c r="AB45" i="32"/>
  <c r="AC45" i="32"/>
  <c r="AD45" i="32"/>
  <c r="AE45" i="32"/>
  <c r="AF45" i="32"/>
  <c r="AG45" i="32"/>
  <c r="AH45" i="32"/>
  <c r="AI45" i="32"/>
  <c r="AJ45" i="32"/>
  <c r="AK45" i="32"/>
  <c r="AL45" i="32"/>
  <c r="AM45" i="32"/>
  <c r="AN45" i="32"/>
  <c r="AO45" i="32"/>
  <c r="AP45" i="32"/>
  <c r="AQ45" i="32"/>
  <c r="D49" i="32"/>
  <c r="E49" i="32"/>
  <c r="F49" i="32"/>
  <c r="G49" i="32"/>
  <c r="H49" i="32"/>
  <c r="I49" i="32"/>
  <c r="J49" i="32"/>
  <c r="K49" i="32"/>
  <c r="L49" i="32"/>
  <c r="M49" i="32"/>
  <c r="N49" i="32"/>
  <c r="O49" i="32"/>
  <c r="P49" i="32"/>
  <c r="Q49" i="32"/>
  <c r="R49" i="32"/>
  <c r="S49" i="32"/>
  <c r="T49" i="32"/>
  <c r="U49" i="32"/>
  <c r="V49" i="32"/>
  <c r="W49" i="32"/>
  <c r="X49" i="32"/>
  <c r="Y49" i="32"/>
  <c r="Z49" i="32"/>
  <c r="AA49" i="32"/>
  <c r="AB49" i="32"/>
  <c r="AC49" i="32"/>
  <c r="AD49" i="32"/>
  <c r="AE49" i="32"/>
  <c r="AF49" i="32"/>
  <c r="AG49" i="32"/>
  <c r="AH49" i="32"/>
  <c r="AI49" i="32"/>
  <c r="AJ49" i="32"/>
  <c r="AK49" i="32"/>
  <c r="AL49" i="32"/>
  <c r="AM49" i="32"/>
  <c r="AN49" i="32"/>
  <c r="AO49" i="32"/>
  <c r="AP49" i="32"/>
  <c r="AQ49" i="32"/>
  <c r="D55" i="32"/>
  <c r="E55" i="32"/>
  <c r="F55" i="32"/>
  <c r="G55" i="32"/>
  <c r="H55" i="32"/>
  <c r="I55" i="32"/>
  <c r="J55" i="32"/>
  <c r="K55" i="32"/>
  <c r="L55" i="32"/>
  <c r="M55" i="32"/>
  <c r="N55" i="32"/>
  <c r="O55" i="32"/>
  <c r="P55" i="32"/>
  <c r="Q55" i="32"/>
  <c r="R55" i="32"/>
  <c r="S55" i="32"/>
  <c r="T55" i="32"/>
  <c r="U55" i="32"/>
  <c r="V55" i="32"/>
  <c r="W55" i="32"/>
  <c r="X55" i="32"/>
  <c r="Y55" i="32"/>
  <c r="Z55" i="32"/>
  <c r="AA55" i="32"/>
  <c r="AB55" i="32"/>
  <c r="AC55" i="32"/>
  <c r="AD55" i="32"/>
  <c r="AE55" i="32"/>
  <c r="AF55" i="32"/>
  <c r="AG55" i="32"/>
  <c r="AH55" i="32"/>
  <c r="AI55" i="32"/>
  <c r="AJ55" i="32"/>
  <c r="AK55" i="32"/>
  <c r="AL55" i="32"/>
  <c r="AM55" i="32"/>
  <c r="AN55" i="32"/>
  <c r="AO55" i="32"/>
  <c r="AP55" i="32"/>
  <c r="AQ55" i="32"/>
  <c r="D59" i="32"/>
  <c r="E59" i="32"/>
  <c r="F59" i="32"/>
  <c r="G59" i="32"/>
  <c r="H59" i="32"/>
  <c r="I59" i="32"/>
  <c r="J59" i="32"/>
  <c r="K59" i="32"/>
  <c r="L59" i="32"/>
  <c r="M59" i="32"/>
  <c r="N59" i="32"/>
  <c r="O59" i="32"/>
  <c r="P59" i="32"/>
  <c r="Q59" i="32"/>
  <c r="R59" i="32"/>
  <c r="S59" i="32"/>
  <c r="T59" i="32"/>
  <c r="U59" i="32"/>
  <c r="V59" i="32"/>
  <c r="W59" i="32"/>
  <c r="X59" i="32"/>
  <c r="Y59" i="32"/>
  <c r="Z59" i="32"/>
  <c r="AA59" i="32"/>
  <c r="AB59" i="32"/>
  <c r="AC59" i="32"/>
  <c r="AD59" i="32"/>
  <c r="AE59" i="32"/>
  <c r="AF59" i="32"/>
  <c r="AG59" i="32"/>
  <c r="AH59" i="32"/>
  <c r="AI59" i="32"/>
  <c r="AJ59" i="32"/>
  <c r="AK59" i="32"/>
  <c r="AL59" i="32"/>
  <c r="AM59" i="32"/>
  <c r="AN59" i="32"/>
  <c r="AO59" i="32"/>
  <c r="AP59" i="32"/>
  <c r="AQ59" i="32"/>
  <c r="D65" i="32"/>
  <c r="E65" i="32"/>
  <c r="F65" i="32"/>
  <c r="G65" i="32"/>
  <c r="H65" i="32"/>
  <c r="I65" i="32"/>
  <c r="J65" i="32"/>
  <c r="K65" i="32"/>
  <c r="L65" i="32"/>
  <c r="M65" i="32"/>
  <c r="N65" i="32"/>
  <c r="O65" i="32"/>
  <c r="P65" i="32"/>
  <c r="Q65" i="32"/>
  <c r="R65" i="32"/>
  <c r="S65" i="32"/>
  <c r="T65" i="32"/>
  <c r="U65" i="32"/>
  <c r="V65" i="32"/>
  <c r="W65" i="32"/>
  <c r="X65" i="32"/>
  <c r="Y65" i="32"/>
  <c r="Z65" i="32"/>
  <c r="AA65" i="32"/>
  <c r="AB65" i="32"/>
  <c r="AC65" i="32"/>
  <c r="AD65" i="32"/>
  <c r="AE65" i="32"/>
  <c r="AF65" i="32"/>
  <c r="AG65" i="32"/>
  <c r="AH65" i="32"/>
  <c r="AI65" i="32"/>
  <c r="AJ65" i="32"/>
  <c r="AK65" i="32"/>
  <c r="AL65" i="32"/>
  <c r="AM65" i="32"/>
  <c r="AN65" i="32"/>
  <c r="AO65" i="32"/>
  <c r="AP65" i="32"/>
  <c r="AQ65" i="32"/>
  <c r="D66" i="32"/>
  <c r="E66" i="32"/>
  <c r="F66" i="32"/>
  <c r="G66" i="32"/>
  <c r="H66" i="32"/>
  <c r="I66" i="32"/>
  <c r="J66" i="32"/>
  <c r="K66" i="32"/>
  <c r="L66" i="32"/>
  <c r="M66" i="32"/>
  <c r="N66" i="32"/>
  <c r="O66" i="32"/>
  <c r="P66" i="32"/>
  <c r="Q66" i="32"/>
  <c r="R66" i="32"/>
  <c r="S66" i="32"/>
  <c r="T66" i="32"/>
  <c r="U66" i="32"/>
  <c r="V66" i="32"/>
  <c r="W66" i="32"/>
  <c r="X66" i="32"/>
  <c r="Y66" i="32"/>
  <c r="Z66" i="32"/>
  <c r="AA66" i="32"/>
  <c r="AB66" i="32"/>
  <c r="AC66" i="32"/>
  <c r="AD66" i="32"/>
  <c r="AE66" i="32"/>
  <c r="AF66" i="32"/>
  <c r="AG66" i="32"/>
  <c r="AH66" i="32"/>
  <c r="AI66" i="32"/>
  <c r="AJ66" i="32"/>
  <c r="AK66" i="32"/>
  <c r="AL66" i="32"/>
  <c r="AM66" i="32"/>
  <c r="AN66" i="32"/>
  <c r="AO66" i="32"/>
  <c r="AP66" i="32"/>
  <c r="AQ66" i="32"/>
  <c r="D67" i="32"/>
  <c r="E67" i="32"/>
  <c r="F67" i="32"/>
  <c r="G67" i="32"/>
  <c r="H67" i="32"/>
  <c r="I67" i="32"/>
  <c r="J67" i="32"/>
  <c r="K67" i="32"/>
  <c r="L67" i="32"/>
  <c r="M67" i="32"/>
  <c r="N67" i="32"/>
  <c r="O67" i="32"/>
  <c r="P67" i="32"/>
  <c r="Q67" i="32"/>
  <c r="R67" i="32"/>
  <c r="S67" i="32"/>
  <c r="T67" i="32"/>
  <c r="U67" i="32"/>
  <c r="V67" i="32"/>
  <c r="W67" i="32"/>
  <c r="X67" i="32"/>
  <c r="Y67" i="32"/>
  <c r="Z67" i="32"/>
  <c r="AA67" i="32"/>
  <c r="AB67" i="32"/>
  <c r="AC67" i="32"/>
  <c r="AD67" i="32"/>
  <c r="AE67" i="32"/>
  <c r="AF67" i="32"/>
  <c r="AG67" i="32"/>
  <c r="AH67" i="32"/>
  <c r="AI67" i="32"/>
  <c r="AJ67" i="32"/>
  <c r="AK67" i="32"/>
  <c r="AL67" i="32"/>
  <c r="AM67" i="32"/>
  <c r="AN67" i="32"/>
  <c r="AO67" i="32"/>
  <c r="AP67" i="32"/>
  <c r="AQ67" i="32"/>
  <c r="D68" i="32"/>
  <c r="E68" i="32"/>
  <c r="F68" i="32"/>
  <c r="G68" i="32"/>
  <c r="H68" i="32"/>
  <c r="I68" i="32"/>
  <c r="J68" i="32"/>
  <c r="K68" i="32"/>
  <c r="L68" i="32"/>
  <c r="M68" i="32"/>
  <c r="N68" i="32"/>
  <c r="O68" i="32"/>
  <c r="P68" i="32"/>
  <c r="Q68" i="32"/>
  <c r="R68" i="32"/>
  <c r="S68" i="32"/>
  <c r="T68" i="32"/>
  <c r="U68" i="32"/>
  <c r="V68" i="32"/>
  <c r="W68" i="32"/>
  <c r="X68" i="32"/>
  <c r="Y68" i="32"/>
  <c r="Z68" i="32"/>
  <c r="AA68" i="32"/>
  <c r="AB68" i="32"/>
  <c r="AC68" i="32"/>
  <c r="AD68" i="32"/>
  <c r="AE68" i="32"/>
  <c r="AF68" i="32"/>
  <c r="AG68" i="32"/>
  <c r="AH68" i="32"/>
  <c r="AI68" i="32"/>
  <c r="AJ68" i="32"/>
  <c r="AK68" i="32"/>
  <c r="AL68" i="32"/>
  <c r="AM68" i="32"/>
  <c r="AN68" i="32"/>
  <c r="AO68" i="32"/>
  <c r="AP68" i="32"/>
  <c r="AQ68" i="32"/>
  <c r="D69" i="32"/>
  <c r="E69" i="32"/>
  <c r="F69" i="32"/>
  <c r="G69" i="32"/>
  <c r="H69" i="32"/>
  <c r="I69" i="32"/>
  <c r="J69" i="32"/>
  <c r="K69" i="32"/>
  <c r="L69" i="32"/>
  <c r="M69" i="32"/>
  <c r="N69" i="32"/>
  <c r="O69" i="32"/>
  <c r="P69" i="32"/>
  <c r="Q69" i="32"/>
  <c r="R69" i="32"/>
  <c r="S69" i="32"/>
  <c r="T69" i="32"/>
  <c r="U69" i="32"/>
  <c r="V69" i="32"/>
  <c r="W69" i="32"/>
  <c r="X69" i="32"/>
  <c r="Y69" i="32"/>
  <c r="Z69" i="32"/>
  <c r="AA69" i="32"/>
  <c r="AB69" i="32"/>
  <c r="AC69" i="32"/>
  <c r="AD69" i="32"/>
  <c r="AE69" i="32"/>
  <c r="AF69" i="32"/>
  <c r="AG69" i="32"/>
  <c r="AH69" i="32"/>
  <c r="AI69" i="32"/>
  <c r="AJ69" i="32"/>
  <c r="AK69" i="32"/>
  <c r="AL69" i="32"/>
  <c r="AM69" i="32"/>
  <c r="AN69" i="32"/>
  <c r="AO69" i="32"/>
  <c r="AP69" i="32"/>
  <c r="AQ69" i="32"/>
  <c r="D72" i="32"/>
  <c r="E72" i="32"/>
  <c r="F72" i="32"/>
  <c r="G72" i="32"/>
  <c r="H72" i="32"/>
  <c r="I72" i="32"/>
  <c r="J72" i="32"/>
  <c r="K72" i="32"/>
  <c r="L72" i="32"/>
  <c r="M72" i="32"/>
  <c r="N72" i="32"/>
  <c r="O72" i="32"/>
  <c r="P72" i="32"/>
  <c r="Q72" i="32"/>
  <c r="R72" i="32"/>
  <c r="S72" i="32"/>
  <c r="T72" i="32"/>
  <c r="U72" i="32"/>
  <c r="V72" i="32"/>
  <c r="W72" i="32"/>
  <c r="X72" i="32"/>
  <c r="Y72" i="32"/>
  <c r="Z72" i="32"/>
  <c r="AA72" i="32"/>
  <c r="AB72" i="32"/>
  <c r="AC72" i="32"/>
  <c r="AD72" i="32"/>
  <c r="AE72" i="32"/>
  <c r="AF72" i="32"/>
  <c r="AG72" i="32"/>
  <c r="AH72" i="32"/>
  <c r="AI72" i="32"/>
  <c r="AJ72" i="32"/>
  <c r="AK72" i="32"/>
  <c r="AL72" i="32"/>
  <c r="AM72" i="32"/>
  <c r="AN72" i="32"/>
  <c r="AO72" i="32"/>
  <c r="AP72" i="32"/>
  <c r="AQ72" i="32"/>
  <c r="D73" i="32"/>
  <c r="E73" i="32"/>
  <c r="F73" i="32"/>
  <c r="G73" i="32"/>
  <c r="H73" i="32"/>
  <c r="I73" i="32"/>
  <c r="J73" i="32"/>
  <c r="K73" i="32"/>
  <c r="L73" i="32"/>
  <c r="M73" i="32"/>
  <c r="N73" i="32"/>
  <c r="O73" i="32"/>
  <c r="P73" i="32"/>
  <c r="Q73" i="32"/>
  <c r="R73" i="32"/>
  <c r="S73" i="32"/>
  <c r="T73" i="32"/>
  <c r="U73" i="32"/>
  <c r="V73" i="32"/>
  <c r="W73" i="32"/>
  <c r="X73" i="32"/>
  <c r="Y73" i="32"/>
  <c r="Z73" i="32"/>
  <c r="AA73" i="32"/>
  <c r="AB73" i="32"/>
  <c r="AC73" i="32"/>
  <c r="AD73" i="32"/>
  <c r="AE73" i="32"/>
  <c r="AF73" i="32"/>
  <c r="AG73" i="32"/>
  <c r="AH73" i="32"/>
  <c r="AI73" i="32"/>
  <c r="AJ73" i="32"/>
  <c r="AK73" i="32"/>
  <c r="AL73" i="32"/>
  <c r="AM73" i="32"/>
  <c r="AN73" i="32"/>
  <c r="AO73" i="32"/>
  <c r="AP73" i="32"/>
  <c r="AQ73" i="32"/>
  <c r="D74" i="32"/>
  <c r="E74" i="32"/>
  <c r="F74" i="32"/>
  <c r="G74" i="32"/>
  <c r="H74" i="32"/>
  <c r="I74" i="32"/>
  <c r="J74" i="32"/>
  <c r="K74" i="32"/>
  <c r="L74" i="32"/>
  <c r="M74" i="32"/>
  <c r="N74" i="32"/>
  <c r="O74" i="32"/>
  <c r="P74" i="32"/>
  <c r="Q74" i="32"/>
  <c r="R74" i="32"/>
  <c r="S74" i="32"/>
  <c r="T74" i="32"/>
  <c r="U74" i="32"/>
  <c r="V74" i="32"/>
  <c r="W74" i="32"/>
  <c r="X74" i="32"/>
  <c r="Y74" i="32"/>
  <c r="Z74" i="32"/>
  <c r="AA74" i="32"/>
  <c r="AB74" i="32"/>
  <c r="AC74" i="32"/>
  <c r="AD74" i="32"/>
  <c r="AE74" i="32"/>
  <c r="AF74" i="32"/>
  <c r="AG74" i="32"/>
  <c r="AH74" i="32"/>
  <c r="AI74" i="32"/>
  <c r="AJ74" i="32"/>
  <c r="AK74" i="32"/>
  <c r="AL74" i="32"/>
  <c r="AM74" i="32"/>
  <c r="AN74" i="32"/>
  <c r="AO74" i="32"/>
  <c r="AP74" i="32"/>
  <c r="AQ74" i="32"/>
  <c r="F30" i="46"/>
  <c r="F18" i="23"/>
  <c r="F22" i="23"/>
  <c r="G28" i="43"/>
  <c r="I28" i="43"/>
  <c r="J28" i="43"/>
  <c r="G33" i="43"/>
  <c r="I33" i="43"/>
  <c r="J33"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Roel Hammerschlag</author>
  </authors>
  <commentList>
    <comment ref="B215" authorId="0" shapeId="0" xr:uid="{22BC7FBC-22C1-44AF-8467-675AD2685A64}">
      <text>
        <r>
          <rPr>
            <b/>
            <sz val="9"/>
            <color indexed="81"/>
            <rFont val="Tahoma"/>
            <family val="2"/>
          </rPr>
          <t>If T is the age of the forest at thinning, then the thin must be modeled to happen on Jan.1 of growth year T+1. On December 31 of growth year T+1, there will be one elapsed year since the thin.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Roel Hammerschlag</author>
  </authors>
  <commentList>
    <comment ref="B66" authorId="0" shapeId="0" xr:uid="{A148B9D0-41E1-4EBA-803E-001672AD766A}">
      <text>
        <r>
          <rPr>
            <b/>
            <sz val="9"/>
            <color indexed="81"/>
            <rFont val="Tahoma"/>
            <family val="2"/>
          </rPr>
          <t>POSITIVE-valued portion of net sequestration.</t>
        </r>
      </text>
    </comment>
    <comment ref="B67" authorId="0" shapeId="0" xr:uid="{94E8852A-FBA4-47B4-AAC9-CDF80E049D83}">
      <text>
        <r>
          <rPr>
            <b/>
            <sz val="9"/>
            <color indexed="81"/>
            <rFont val="Tahoma"/>
            <family val="2"/>
          </rPr>
          <t>POSITIVE-valued portion of net residue decay.</t>
        </r>
      </text>
    </comment>
    <comment ref="B72" authorId="0" shapeId="0" xr:uid="{B104D2C2-2A79-434F-91F6-0B8F3D345D32}">
      <text>
        <r>
          <rPr>
            <b/>
            <sz val="9"/>
            <color indexed="81"/>
            <rFont val="Tahoma"/>
            <family val="2"/>
          </rPr>
          <t>NEGATIVE-valued portion of net sequestration.</t>
        </r>
      </text>
    </comment>
    <comment ref="B73" authorId="0" shapeId="0" xr:uid="{3561BF4F-4144-4D9E-BA47-EBF6B17F37A3}">
      <text>
        <r>
          <rPr>
            <b/>
            <sz val="9"/>
            <color indexed="81"/>
            <rFont val="Tahoma"/>
            <family val="2"/>
          </rPr>
          <t>NEGATIVE-valued portion of net residue decay. If there is also augmented sequestration, then it is included here so that the line "stacks" properly in the downward direction.</t>
        </r>
      </text>
    </comment>
  </commentList>
</comments>
</file>

<file path=xl/sharedStrings.xml><?xml version="1.0" encoding="utf-8"?>
<sst xmlns="http://schemas.openxmlformats.org/spreadsheetml/2006/main" count="5926" uniqueCount="1390">
  <si>
    <t>value</t>
  </si>
  <si>
    <t>units</t>
  </si>
  <si>
    <t>notes</t>
  </si>
  <si>
    <t>N</t>
  </si>
  <si>
    <t>yr</t>
  </si>
  <si>
    <t>ha</t>
  </si>
  <si>
    <t>Conversion factors for physical units</t>
  </si>
  <si>
    <t>To convert</t>
  </si>
  <si>
    <t>Multiply</t>
  </si>
  <si>
    <t>from</t>
  </si>
  <si>
    <t>to</t>
  </si>
  <si>
    <t>(cell name)</t>
  </si>
  <si>
    <t>by</t>
  </si>
  <si>
    <t>distance</t>
  </si>
  <si>
    <t>cm</t>
  </si>
  <si>
    <t>in</t>
  </si>
  <si>
    <t>cmTOin</t>
  </si>
  <si>
    <t>ft</t>
  </si>
  <si>
    <t>m</t>
  </si>
  <si>
    <t>ftTOm</t>
  </si>
  <si>
    <t>inTOcm</t>
  </si>
  <si>
    <t>mm</t>
  </si>
  <si>
    <t>inTOmm</t>
  </si>
  <si>
    <t>km</t>
  </si>
  <si>
    <t>mi</t>
  </si>
  <si>
    <t>kmTOmi</t>
  </si>
  <si>
    <t>miTOkm</t>
  </si>
  <si>
    <t>mmTOin</t>
  </si>
  <si>
    <t>mass</t>
  </si>
  <si>
    <t>g</t>
  </si>
  <si>
    <t>lb</t>
  </si>
  <si>
    <t>gTOlb</t>
  </si>
  <si>
    <t>kg</t>
  </si>
  <si>
    <t>kgTOg</t>
  </si>
  <si>
    <t>kgTOlb</t>
  </si>
  <si>
    <t>lbTOg</t>
  </si>
  <si>
    <t>lbTOkg</t>
  </si>
  <si>
    <t>Mg</t>
  </si>
  <si>
    <t>lbTOMg</t>
  </si>
  <si>
    <t>ton</t>
  </si>
  <si>
    <t>lbTOton</t>
  </si>
  <si>
    <t>MgTOkg</t>
  </si>
  <si>
    <t>MgTOton</t>
  </si>
  <si>
    <t>oz</t>
  </si>
  <si>
    <t>lbTOoz</t>
  </si>
  <si>
    <t>ozTOkg</t>
  </si>
  <si>
    <t>tonTOlb</t>
  </si>
  <si>
    <t>tonTOkg</t>
  </si>
  <si>
    <t>tonTOMg</t>
  </si>
  <si>
    <t>time</t>
  </si>
  <si>
    <t>day</t>
  </si>
  <si>
    <t>min</t>
  </si>
  <si>
    <t>dayTOmin</t>
  </si>
  <si>
    <t>dayTOyr</t>
  </si>
  <si>
    <t>hr</t>
  </si>
  <si>
    <t>hrTOday</t>
  </si>
  <si>
    <t>s</t>
  </si>
  <si>
    <t>hrTOs</t>
  </si>
  <si>
    <t>hrTOyr</t>
  </si>
  <si>
    <t>minTOday</t>
  </si>
  <si>
    <t>mo</t>
  </si>
  <si>
    <t>moTOday</t>
  </si>
  <si>
    <t>moTOyr</t>
  </si>
  <si>
    <t>sTOday</t>
  </si>
  <si>
    <t>sTOhr</t>
  </si>
  <si>
    <t>sTOyr</t>
  </si>
  <si>
    <t>yrTOday</t>
  </si>
  <si>
    <t>yrTOhr</t>
  </si>
  <si>
    <t>yrTOmo</t>
  </si>
  <si>
    <t>yrTOs</t>
  </si>
  <si>
    <t>area (distance x distance)</t>
  </si>
  <si>
    <t>acre</t>
  </si>
  <si>
    <t>ft2</t>
  </si>
  <si>
    <t>acreTOft2</t>
  </si>
  <si>
    <t>acreTOha</t>
  </si>
  <si>
    <t>km2</t>
  </si>
  <si>
    <t>acreTOkm2</t>
  </si>
  <si>
    <t>m2</t>
  </si>
  <si>
    <t>acreTOm2</t>
  </si>
  <si>
    <t>mi2</t>
  </si>
  <si>
    <t>acreTOmi2</t>
  </si>
  <si>
    <t>ft2TOm2</t>
  </si>
  <si>
    <t>yd2</t>
  </si>
  <si>
    <t>ft2TOyd2</t>
  </si>
  <si>
    <t>haTOacre</t>
  </si>
  <si>
    <t>haTOkm2</t>
  </si>
  <si>
    <t>km2TOacre</t>
  </si>
  <si>
    <t>km2TOha</t>
  </si>
  <si>
    <t>km2TOm2</t>
  </si>
  <si>
    <t>km2TOmi2</t>
  </si>
  <si>
    <t>m2TOacre</t>
  </si>
  <si>
    <t>m2TOft2</t>
  </si>
  <si>
    <t>m2TOha</t>
  </si>
  <si>
    <t>m2TOkm2</t>
  </si>
  <si>
    <t>mi2TOacre</t>
  </si>
  <si>
    <t>yd2TOft2</t>
  </si>
  <si>
    <t>mi2TOkm2</t>
  </si>
  <si>
    <t>volume (area x distance)</t>
  </si>
  <si>
    <t>acre-ft</t>
  </si>
  <si>
    <t>gal</t>
  </si>
  <si>
    <t>acreftTOgal</t>
  </si>
  <si>
    <t>m3</t>
  </si>
  <si>
    <t>acreftTOm3</t>
  </si>
  <si>
    <t>acre-in</t>
  </si>
  <si>
    <t>acreinTOgal</t>
  </si>
  <si>
    <t>bbl</t>
  </si>
  <si>
    <t>bblTOgal</t>
  </si>
  <si>
    <t>L</t>
  </si>
  <si>
    <t>bblTOL</t>
  </si>
  <si>
    <t>ft3</t>
  </si>
  <si>
    <t>ft3TOgal</t>
  </si>
  <si>
    <t>ft3TOL</t>
  </si>
  <si>
    <t>ft3TOm3</t>
  </si>
  <si>
    <t>galTOacreft</t>
  </si>
  <si>
    <t>galTOacrein</t>
  </si>
  <si>
    <t>galTObbl</t>
  </si>
  <si>
    <t>galTOL</t>
  </si>
  <si>
    <t>galTOm3</t>
  </si>
  <si>
    <t>LTOft3</t>
  </si>
  <si>
    <t>LTOgal</t>
  </si>
  <si>
    <t>LTOm3</t>
  </si>
  <si>
    <t>m3TOacreft</t>
  </si>
  <si>
    <t>m3TOft3</t>
  </si>
  <si>
    <t>m3TOgal</t>
  </si>
  <si>
    <t>liter</t>
  </si>
  <si>
    <t>m3TOliter</t>
  </si>
  <si>
    <t>yd3</t>
  </si>
  <si>
    <t>yd3TOm3</t>
  </si>
  <si>
    <t>force (mass x acceleration)</t>
  </si>
  <si>
    <t>lbTON</t>
  </si>
  <si>
    <t>pressure (force/area)</t>
  </si>
  <si>
    <t>atm</t>
  </si>
  <si>
    <t>bar</t>
  </si>
  <si>
    <t>atmTObar</t>
  </si>
  <si>
    <t>psi</t>
  </si>
  <si>
    <t>atmTOpsi</t>
  </si>
  <si>
    <t>Pa</t>
  </si>
  <si>
    <t>barTOPa</t>
  </si>
  <si>
    <t>barTOpsi</t>
  </si>
  <si>
    <t>psiTOPa</t>
  </si>
  <si>
    <t>energy (force x distance)</t>
  </si>
  <si>
    <t>Btu</t>
  </si>
  <si>
    <t>cal</t>
  </si>
  <si>
    <t>BtuTOcal</t>
  </si>
  <si>
    <t>J</t>
  </si>
  <si>
    <t>BtuTOJ</t>
  </si>
  <si>
    <t>kJ</t>
  </si>
  <si>
    <t>BtuTOkJ</t>
  </si>
  <si>
    <t>kWh</t>
  </si>
  <si>
    <t>BtuTOkWh</t>
  </si>
  <si>
    <t>MJ</t>
  </si>
  <si>
    <t>BtuTOMJ</t>
  </si>
  <si>
    <t>Wh</t>
  </si>
  <si>
    <t>BtuTOWh</t>
  </si>
  <si>
    <t>calTOBtu</t>
  </si>
  <si>
    <t>calTOJ</t>
  </si>
  <si>
    <t>EJ</t>
  </si>
  <si>
    <t>TWh</t>
  </si>
  <si>
    <t>EJTOTWh</t>
  </si>
  <si>
    <t>gge</t>
  </si>
  <si>
    <t>ggeTOMJ</t>
  </si>
  <si>
    <t>GJ</t>
  </si>
  <si>
    <t>MWh</t>
  </si>
  <si>
    <t>GJTOMWh</t>
  </si>
  <si>
    <t>mmBtu</t>
  </si>
  <si>
    <t>GJTOmmBtu</t>
  </si>
  <si>
    <t>therm</t>
  </si>
  <si>
    <t>GJTOtherm</t>
  </si>
  <si>
    <t>JTOBtu</t>
  </si>
  <si>
    <t>JTOcal</t>
  </si>
  <si>
    <t>JTOWh</t>
  </si>
  <si>
    <t>kcal</t>
  </si>
  <si>
    <t>kcalTOMJ</t>
  </si>
  <si>
    <t>kJTOBtu</t>
  </si>
  <si>
    <t>kWhTOBtu</t>
  </si>
  <si>
    <t>kWhTOMJ</t>
  </si>
  <si>
    <t>MJTOBtu</t>
  </si>
  <si>
    <t>MJTOkWh</t>
  </si>
  <si>
    <t>MJTOkcal</t>
  </si>
  <si>
    <t>MJTOMWh</t>
  </si>
  <si>
    <t>MJTOtherm</t>
  </si>
  <si>
    <t>mmBtuTOMJ</t>
  </si>
  <si>
    <t>mmBtuTOMWh</t>
  </si>
  <si>
    <t>mmBtuTOtherm</t>
  </si>
  <si>
    <t>TJ</t>
  </si>
  <si>
    <t>mmBtuTOTJ</t>
  </si>
  <si>
    <t>Mtoe</t>
  </si>
  <si>
    <t>GWh</t>
  </si>
  <si>
    <t>MtoeTOGWh</t>
  </si>
  <si>
    <t>MtoeTOmmBtu</t>
  </si>
  <si>
    <t>MtoeTOTJ</t>
  </si>
  <si>
    <t>MWhTOGJ</t>
  </si>
  <si>
    <t>MWhTOmmBtu</t>
  </si>
  <si>
    <t>MWhTOTJ</t>
  </si>
  <si>
    <t>quad</t>
  </si>
  <si>
    <t>quadTOEJ</t>
  </si>
  <si>
    <t>quadTOTWh</t>
  </si>
  <si>
    <t>thermTOBtu</t>
  </si>
  <si>
    <t>thermTOGJ</t>
  </si>
  <si>
    <t>thermTOkWh</t>
  </si>
  <si>
    <t>thermTOMJ</t>
  </si>
  <si>
    <t>thermTOTJ</t>
  </si>
  <si>
    <t>TWhTOEJ</t>
  </si>
  <si>
    <t>TWhTOquad</t>
  </si>
  <si>
    <t>WhTOBtu</t>
  </si>
  <si>
    <t>WhTOJ</t>
  </si>
  <si>
    <t>power (energy/time)</t>
  </si>
  <si>
    <t>GJ/hr</t>
  </si>
  <si>
    <t>MW</t>
  </si>
  <si>
    <t>GJ.hrTOMW</t>
  </si>
  <si>
    <t>GW</t>
  </si>
  <si>
    <t>kW</t>
  </si>
  <si>
    <t>GWTOkW</t>
  </si>
  <si>
    <t>quad/yr</t>
  </si>
  <si>
    <t>GWTOquad.yr</t>
  </si>
  <si>
    <t>TWh/yr</t>
  </si>
  <si>
    <t>GWTOTWh.yr</t>
  </si>
  <si>
    <t>hp</t>
  </si>
  <si>
    <t>hpTOkW</t>
  </si>
  <si>
    <t>kWTOhp</t>
  </si>
  <si>
    <t>MJ/hr</t>
  </si>
  <si>
    <t>MJ.hrTOkW</t>
  </si>
  <si>
    <t>MWTOGJ.hr</t>
  </si>
  <si>
    <t>MWTOkW</t>
  </si>
  <si>
    <t>quad.yrTOGW</t>
  </si>
  <si>
    <t>TWh.yrTOGW</t>
  </si>
  <si>
    <t>flow (volume/time)</t>
  </si>
  <si>
    <t>gpm</t>
  </si>
  <si>
    <t>liter/s</t>
  </si>
  <si>
    <t>gpmTOliter.s</t>
  </si>
  <si>
    <t>L/s</t>
  </si>
  <si>
    <t>L.sTOgpm</t>
  </si>
  <si>
    <t>m3.dayTOgpm</t>
  </si>
  <si>
    <t>heat rate (energy/energy)</t>
  </si>
  <si>
    <t>Btu/hp-h</t>
  </si>
  <si>
    <t>mmBtu/MWh</t>
  </si>
  <si>
    <t>Btu.hphTOmmBtu.MWh</t>
  </si>
  <si>
    <t>kJ/kWh</t>
  </si>
  <si>
    <t>kJ.kWhTOmmBtu.MWh</t>
  </si>
  <si>
    <t>MJ/kWh</t>
  </si>
  <si>
    <t>MJ.kWhTOmmBtu.MWh</t>
  </si>
  <si>
    <t>mmBtu.MWhTOBtu.hph</t>
  </si>
  <si>
    <t>mmBtu.MWhTOkJ.kWh</t>
  </si>
  <si>
    <t>mmBtu.MWhTOMJ.kWh</t>
  </si>
  <si>
    <t>emission rate (mass/energy)</t>
  </si>
  <si>
    <t>g/hp-h</t>
  </si>
  <si>
    <t>lb/MWh</t>
  </si>
  <si>
    <t>g.hphTOlb.MWh</t>
  </si>
  <si>
    <t>g/kWh</t>
  </si>
  <si>
    <t>g.kWhTOlb.MWh</t>
  </si>
  <si>
    <t>kg/GJ</t>
  </si>
  <si>
    <t>kg.GJTOlb.MWh</t>
  </si>
  <si>
    <t>lb/mmBtu</t>
  </si>
  <si>
    <t>Mg/mmBtu</t>
  </si>
  <si>
    <t>lb.mmBtuTOMg.mmBtu</t>
  </si>
  <si>
    <t>ng/J</t>
  </si>
  <si>
    <t>lb.mmBtuTOng.J</t>
  </si>
  <si>
    <t>Tg/quad</t>
  </si>
  <si>
    <t>lb.mmBtuTOTg.quad</t>
  </si>
  <si>
    <t>lb.MWhTOg.hph</t>
  </si>
  <si>
    <t>lb.MWhTOg.kWh</t>
  </si>
  <si>
    <t>lb.MWhTOkg.GJ</t>
  </si>
  <si>
    <t>ton/GWh</t>
  </si>
  <si>
    <t>lb.MWhTOton.GWh</t>
  </si>
  <si>
    <t>ng.JTOlb.mmBtu</t>
  </si>
  <si>
    <t>Tg.quadTOlb.mmBtu</t>
  </si>
  <si>
    <t>ton.GWhTOlb.MWh</t>
  </si>
  <si>
    <t>heating value (energy/mass)</t>
  </si>
  <si>
    <t>Btu/lb</t>
  </si>
  <si>
    <t>MJ/kg</t>
  </si>
  <si>
    <t>Btu.lbTOMJ.kg</t>
  </si>
  <si>
    <t>mmBtu/ton</t>
  </si>
  <si>
    <t>Btu.lbTOmmBtu.ton</t>
  </si>
  <si>
    <t>kWh/ton</t>
  </si>
  <si>
    <t>kWh.tonTOMJ.kg</t>
  </si>
  <si>
    <t>MJ.kgTOBtu.lb</t>
  </si>
  <si>
    <t>MJ.kgTOkWh.ton</t>
  </si>
  <si>
    <t>MJ.kgTOmmBtu.ton</t>
  </si>
  <si>
    <t>mmBtu.tonTOBtu.lb</t>
  </si>
  <si>
    <t>heating value (energy/volume)</t>
  </si>
  <si>
    <t>Btu/ft3</t>
  </si>
  <si>
    <t>MJ/m3</t>
  </si>
  <si>
    <t>Btu.ft3TOMJ.m3</t>
  </si>
  <si>
    <t>MJ.m3TOBtu.ft3</t>
  </si>
  <si>
    <t>fuel efficiency (distance/volume)</t>
  </si>
  <si>
    <t>km/l</t>
  </si>
  <si>
    <t>mi/gal</t>
  </si>
  <si>
    <t>km.lTOmi.gal</t>
  </si>
  <si>
    <t>Mg/ha-yr</t>
  </si>
  <si>
    <t>ton/acre-yr</t>
  </si>
  <si>
    <t>Mg.hayrTOton.acreyr</t>
  </si>
  <si>
    <t>Notes:</t>
  </si>
  <si>
    <t>Joules are absolute joules (not archaic international joules).</t>
  </si>
  <si>
    <t>"cal" or "calorie" are gram-based calories.  kg-based Calories are referred to as "kcal."</t>
  </si>
  <si>
    <t>Gallons are U.S. liquid gallons (not dry gallons).</t>
  </si>
  <si>
    <t>Barrels are U.S. "blue barrel" oil barrels</t>
  </si>
  <si>
    <t>English system weights are in the avoirdupois system unless noted otherwise.</t>
  </si>
  <si>
    <t>call no.</t>
  </si>
  <si>
    <t>cite</t>
  </si>
  <si>
    <t>yield (mass/(area x time))</t>
  </si>
  <si>
    <t>parameter</t>
  </si>
  <si>
    <t>MWa</t>
  </si>
  <si>
    <t>MWaTOMWh</t>
  </si>
  <si>
    <t>MWhTOMWa</t>
  </si>
  <si>
    <t>hrTOmin</t>
  </si>
  <si>
    <t>source</t>
  </si>
  <si>
    <r>
      <t>m</t>
    </r>
    <r>
      <rPr>
        <b/>
        <vertAlign val="superscript"/>
        <sz val="10"/>
        <color theme="3"/>
        <rFont val="Calibri"/>
        <family val="2"/>
        <scheme val="minor"/>
      </rPr>
      <t>3</t>
    </r>
    <r>
      <rPr>
        <b/>
        <sz val="9"/>
        <color rgb="FF08519C"/>
        <rFont val="Calibri"/>
        <family val="2"/>
        <scheme val="minor"/>
      </rPr>
      <t>/day</t>
    </r>
  </si>
  <si>
    <t>Sheet title</t>
  </si>
  <si>
    <t>Bibliography</t>
  </si>
  <si>
    <t>Heading 1</t>
  </si>
  <si>
    <t>tab</t>
  </si>
  <si>
    <t>sheet title</t>
  </si>
  <si>
    <t>cover</t>
  </si>
  <si>
    <t>--</t>
  </si>
  <si>
    <t>cites</t>
  </si>
  <si>
    <t>Normal</t>
  </si>
  <si>
    <t>calculation</t>
  </si>
  <si>
    <t>Heading 2</t>
  </si>
  <si>
    <t>hyperlink</t>
  </si>
  <si>
    <t>mixed</t>
  </si>
  <si>
    <t>style</t>
  </si>
  <si>
    <t>purpose</t>
  </si>
  <si>
    <t>label</t>
  </si>
  <si>
    <t>Title</t>
  </si>
  <si>
    <t>column labels</t>
  </si>
  <si>
    <t>top-level heading in data hierarchy</t>
  </si>
  <si>
    <t>second-level heading in data hierarchy</t>
  </si>
  <si>
    <t>calculation with no embedded constants</t>
  </si>
  <si>
    <t>calculation with embedded constants</t>
  </si>
  <si>
    <t>Release date:</t>
  </si>
  <si>
    <t>Document no.:</t>
  </si>
  <si>
    <t>For:</t>
  </si>
  <si>
    <t>descriptive text</t>
  </si>
  <si>
    <t>constant</t>
  </si>
  <si>
    <t>Dates are formatted following ISO 8601:2004.</t>
  </si>
  <si>
    <t>assumption</t>
  </si>
  <si>
    <t>model assumption - alterable by user</t>
  </si>
  <si>
    <t>ggeTOkWh</t>
  </si>
  <si>
    <t>kWhTOgge</t>
  </si>
  <si>
    <t>source: A315</t>
  </si>
  <si>
    <t>formatted cells end here</t>
  </si>
  <si>
    <t>color</t>
  </si>
  <si>
    <t>meaning</t>
  </si>
  <si>
    <t>SSRB-compliant; no user assumption inputs</t>
  </si>
  <si>
    <t>nonstandard/unformatted</t>
  </si>
  <si>
    <t>WIP</t>
  </si>
  <si>
    <t>work in progress</t>
  </si>
  <si>
    <t>Constants (grey shading) are from A203 unless otherwise noted, and contain the same number of significant digits as the original source.</t>
  </si>
  <si>
    <t>Calculated values (black numbers) are displayed to 4 significant digits.</t>
  </si>
  <si>
    <t>return to TOC</t>
  </si>
  <si>
    <t>This workbook partially conforms with Best Practice Spreadsheet Modeling Standards version 7.1.</t>
  </si>
  <si>
    <t>thermTOmmBtu</t>
  </si>
  <si>
    <t>checksum</t>
  </si>
  <si>
    <t>outputs for publication</t>
  </si>
  <si>
    <t>SSRB-compliant; includes user assumption inputs</t>
  </si>
  <si>
    <t>May violate SSRB standards for formatting purposes.</t>
  </si>
  <si>
    <t>tab color key</t>
  </si>
  <si>
    <t>style key</t>
  </si>
  <si>
    <t>table of contents and error checks summary</t>
  </si>
  <si>
    <t>May include multiples of 1000 for units conversion only.</t>
  </si>
  <si>
    <t>undefined</t>
  </si>
  <si>
    <t>undefined position in grid data or calculation</t>
  </si>
  <si>
    <t>A203</t>
  </si>
  <si>
    <t>A315</t>
  </si>
  <si>
    <t>result</t>
  </si>
  <si>
    <t>final result of spreadsheet computation</t>
  </si>
  <si>
    <t>ns</t>
  </si>
  <si>
    <t>constant without source citation</t>
  </si>
  <si>
    <t>Highly discouraged.</t>
  </si>
  <si>
    <t>constant with source citation</t>
  </si>
  <si>
    <t>BtuTOtherm</t>
  </si>
  <si>
    <t>styles for calculated values</t>
  </si>
  <si>
    <t>styles for names or descriptions</t>
  </si>
  <si>
    <t>styles for numeric constants</t>
  </si>
  <si>
    <t>other styles</t>
  </si>
  <si>
    <t>Use row height = 26 (all other styles use row height 13).</t>
  </si>
  <si>
    <t>units label</t>
  </si>
  <si>
    <t>column units labels</t>
  </si>
  <si>
    <t>red font on error (nonzero value), black "o.k." otherwise</t>
  </si>
  <si>
    <t>Also used for sensitivity analysis assumptions.</t>
  </si>
  <si>
    <t>May have orange text if formula includes embedded constants.</t>
  </si>
  <si>
    <t>year 1</t>
  </si>
  <si>
    <t>year 2</t>
  </si>
  <si>
    <t>year 3</t>
  </si>
  <si>
    <t>year 4</t>
  </si>
  <si>
    <t>year 5</t>
  </si>
  <si>
    <t>year 6</t>
  </si>
  <si>
    <t>year 7</t>
  </si>
  <si>
    <t>year 8</t>
  </si>
  <si>
    <t>year 9</t>
  </si>
  <si>
    <t>year 10</t>
  </si>
  <si>
    <t>Natural Resources Defense Council</t>
  </si>
  <si>
    <t>library of landscape descriptors (okay to add or remove rows)</t>
  </si>
  <si>
    <t>harvest rotation</t>
  </si>
  <si>
    <t>τ</t>
  </si>
  <si>
    <t>MgC/ha</t>
  </si>
  <si>
    <t>[unitless]</t>
  </si>
  <si>
    <t>γ</t>
  </si>
  <si>
    <t>total harvestable landscape</t>
  </si>
  <si>
    <t>mass fraction harvested</t>
  </si>
  <si>
    <r>
      <t>M</t>
    </r>
    <r>
      <rPr>
        <b/>
        <vertAlign val="subscript"/>
        <sz val="9"/>
        <color rgb="FF08519C"/>
        <rFont val="Calibri"/>
        <family val="2"/>
        <scheme val="minor"/>
      </rPr>
      <t>max</t>
    </r>
  </si>
  <si>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</si>
  <si>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</si>
  <si>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</si>
  <si>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</si>
  <si>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</si>
  <si>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</si>
  <si>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</si>
  <si>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</si>
  <si>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</si>
  <si>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</si>
  <si>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</si>
  <si>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</si>
  <si>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</si>
  <si>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</si>
  <si>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</si>
  <si>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</si>
  <si>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</si>
  <si>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</si>
  <si>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</si>
  <si>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</si>
  <si>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 31</t>
  </si>
  <si>
    <t>year 32</t>
  </si>
  <si>
    <t>year 33</t>
  </si>
  <si>
    <t>year 34</t>
  </si>
  <si>
    <t>year 35</t>
  </si>
  <si>
    <t>year 36</t>
  </si>
  <si>
    <t>year 37</t>
  </si>
  <si>
    <t>year 38</t>
  </si>
  <si>
    <t>year 39</t>
  </si>
  <si>
    <t>year 40</t>
  </si>
  <si>
    <t>years since modeled growth &amp; harvest began</t>
  </si>
  <si>
    <t>MgC</t>
  </si>
  <si>
    <t>harvest type</t>
  </si>
  <si>
    <t>clearcut</t>
  </si>
  <si>
    <t>Lookup Tables</t>
  </si>
  <si>
    <t>capacity factor</t>
  </si>
  <si>
    <t>BECCS power plant</t>
  </si>
  <si>
    <t>implied fuel demand</t>
  </si>
  <si>
    <t>reference power plant</t>
  </si>
  <si>
    <t>natural gas</t>
  </si>
  <si>
    <t>TJ/yr</t>
  </si>
  <si>
    <t>HHV</t>
  </si>
  <si>
    <t>management type</t>
  </si>
  <si>
    <t>agricultural waste</t>
  </si>
  <si>
    <t>industrial waste</t>
  </si>
  <si>
    <t>SRWC</t>
  </si>
  <si>
    <t>characterization of power plants</t>
  </si>
  <si>
    <t>bone dry</t>
  </si>
  <si>
    <t>wt% carbon</t>
  </si>
  <si>
    <t>forest thinning</t>
  </si>
  <si>
    <t>forestry waste</t>
  </si>
  <si>
    <t>model horizon</t>
  </si>
  <si>
    <t>Equal to number of years represented in tab 'time series'.</t>
  </si>
  <si>
    <t>heating value of carbon</t>
  </si>
  <si>
    <t>MJ/kgC</t>
  </si>
  <si>
    <t>year 0</t>
  </si>
  <si>
    <t>fuel density at maturity</t>
  </si>
  <si>
    <t>constants ("c_" cell names)</t>
  </si>
  <si>
    <t>atomic mass of C</t>
  </si>
  <si>
    <t>g/mol</t>
  </si>
  <si>
    <t>atomic mass of O</t>
  </si>
  <si>
    <t>UW-527</t>
  </si>
  <si>
    <r>
      <t>kg</t>
    </r>
    <r>
      <rPr>
        <b/>
        <sz val="9"/>
        <color rgb="FF08519C"/>
        <rFont val="Calibri"/>
        <family val="2"/>
        <scheme val="minor"/>
      </rPr>
      <t>/mmBtu</t>
    </r>
  </si>
  <si>
    <t>HA-504</t>
  </si>
  <si>
    <t>Table 1 (stationary combustion)</t>
  </si>
  <si>
    <t>g/mmBtu</t>
  </si>
  <si>
    <t>natural gas emission factor</t>
  </si>
  <si>
    <r>
      <t>CO</t>
    </r>
    <r>
      <rPr>
        <b/>
        <vertAlign val="subscript"/>
        <sz val="9"/>
        <color rgb="FF08519C"/>
        <rFont val="Calibri"/>
        <family val="2"/>
        <scheme val="minor"/>
      </rPr>
      <t>2</t>
    </r>
    <r>
      <rPr>
        <b/>
        <sz val="9"/>
        <color rgb="FF08519C"/>
        <rFont val="Calibri"/>
        <family val="2"/>
        <scheme val="minor"/>
      </rPr>
      <t xml:space="preserve"> </t>
    </r>
  </si>
  <si>
    <r>
      <t>CH</t>
    </r>
    <r>
      <rPr>
        <b/>
        <vertAlign val="subscript"/>
        <sz val="9"/>
        <color rgb="FF08519C"/>
        <rFont val="Calibri"/>
        <family val="2"/>
        <scheme val="minor"/>
      </rPr>
      <t>4</t>
    </r>
    <r>
      <rPr>
        <b/>
        <sz val="9"/>
        <color rgb="FF08519C"/>
        <rFont val="Calibri"/>
        <family val="2"/>
        <scheme val="minor"/>
      </rPr>
      <t xml:space="preserve"> </t>
    </r>
  </si>
  <si>
    <r>
      <t>N</t>
    </r>
    <r>
      <rPr>
        <b/>
        <vertAlign val="subscript"/>
        <sz val="9"/>
        <color rgb="FF08519C"/>
        <rFont val="Calibri"/>
        <family val="2"/>
        <scheme val="minor"/>
      </rPr>
      <t>2</t>
    </r>
    <r>
      <rPr>
        <b/>
        <sz val="9"/>
        <color rgb="FF08519C"/>
        <rFont val="Calibri"/>
        <family val="2"/>
        <scheme val="minor"/>
      </rPr>
      <t>O</t>
    </r>
  </si>
  <si>
    <r>
      <t>MgCO</t>
    </r>
    <r>
      <rPr>
        <b/>
        <vertAlign val="subscript"/>
        <sz val="10"/>
        <color rgb="FF08519C"/>
        <rFont val="Calibri"/>
        <family val="2"/>
        <scheme val="minor"/>
      </rPr>
      <t>2</t>
    </r>
    <r>
      <rPr>
        <b/>
        <sz val="9"/>
        <color rgb="FF08519C"/>
        <rFont val="Calibri"/>
        <family val="2"/>
        <scheme val="minor"/>
      </rPr>
      <t>e/TJ</t>
    </r>
  </si>
  <si>
    <t>harvestable landscape required</t>
  </si>
  <si>
    <t>mature landscape required annually</t>
  </si>
  <si>
    <r>
      <t>fraction of CO</t>
    </r>
    <r>
      <rPr>
        <b/>
        <vertAlign val="subscript"/>
        <sz val="9"/>
        <color rgb="FF08519C"/>
        <rFont val="Calibri"/>
        <family val="2"/>
        <scheme val="minor"/>
      </rPr>
      <t>2</t>
    </r>
    <r>
      <rPr>
        <b/>
        <sz val="9"/>
        <color rgb="FF08519C"/>
        <rFont val="Calibri"/>
        <family val="2"/>
        <scheme val="minor"/>
      </rPr>
      <t xml:space="preserve"> to CCS</t>
    </r>
  </si>
  <si>
    <t>species</t>
  </si>
  <si>
    <t>preferred landscape descriptors (chosen by user from library below)</t>
  </si>
  <si>
    <t>precalc</t>
  </si>
  <si>
    <t>parameters</t>
  </si>
  <si>
    <t>forest age</t>
  </si>
  <si>
    <t>Constants and precalculations</t>
  </si>
  <si>
    <t>carbon sequestration</t>
  </si>
  <si>
    <t>Equal to the landscape's primary productivity (aboveground).</t>
  </si>
  <si>
    <t>BECCS</t>
  </si>
  <si>
    <t>REF</t>
  </si>
  <si>
    <t>nameplate capacity</t>
  </si>
  <si>
    <t>herbaceous crop</t>
  </si>
  <si>
    <t>Beaupre poplar</t>
  </si>
  <si>
    <t>loblolly-shortleaf</t>
  </si>
  <si>
    <t>= size of each planting</t>
  </si>
  <si>
    <t>carbon stock</t>
  </si>
  <si>
    <t>var. type</t>
  </si>
  <si>
    <t>state</t>
  </si>
  <si>
    <t>annual</t>
  </si>
  <si>
    <t>control</t>
  </si>
  <si>
    <t>sequestration</t>
  </si>
  <si>
    <t>sequestration intensity</t>
  </si>
  <si>
    <t>[model year, for x-axis]</t>
  </si>
  <si>
    <t>required</t>
  </si>
  <si>
    <t>cum</t>
  </si>
  <si>
    <t>fuel processing emissions</t>
  </si>
  <si>
    <t>source values for fuel processing &amp; transport</t>
  </si>
  <si>
    <t>fossil gas</t>
  </si>
  <si>
    <t>Includes fugitive losses.</t>
  </si>
  <si>
    <r>
      <t>TgCO</t>
    </r>
    <r>
      <rPr>
        <b/>
        <vertAlign val="subscript"/>
        <sz val="9"/>
        <color rgb="FF08519C"/>
        <rFont val="Calibri"/>
        <family val="2"/>
        <scheme val="minor"/>
      </rPr>
      <t>2</t>
    </r>
    <r>
      <rPr>
        <b/>
        <sz val="9"/>
        <color rgb="FF08519C"/>
        <rFont val="Calibri"/>
        <family val="2"/>
        <scheme val="minor"/>
      </rPr>
      <t>e/yr</t>
    </r>
  </si>
  <si>
    <t>relating to transport, processing &amp; combustion</t>
  </si>
  <si>
    <r>
      <t>CO</t>
    </r>
    <r>
      <rPr>
        <b/>
        <vertAlign val="subscript"/>
        <sz val="9"/>
        <color rgb="FF08519C"/>
        <rFont val="Calibri"/>
        <family val="2"/>
        <scheme val="minor"/>
      </rPr>
      <t>2</t>
    </r>
    <r>
      <rPr>
        <b/>
        <sz val="9"/>
        <color rgb="FF08519C"/>
        <rFont val="Calibri"/>
        <family val="2"/>
        <scheme val="minor"/>
      </rPr>
      <t xml:space="preserve"> emission factor of combustion</t>
    </r>
  </si>
  <si>
    <t>preferred harvest type descriptors (chosen by user from library below)</t>
  </si>
  <si>
    <t>fraction of combustion emissions lost to atmosphere</t>
  </si>
  <si>
    <t>transport</t>
  </si>
  <si>
    <t>TOTAL fuel processing</t>
  </si>
  <si>
    <t>fuel processing emission intensities</t>
  </si>
  <si>
    <r>
      <t>TgCO</t>
    </r>
    <r>
      <rPr>
        <b/>
        <vertAlign val="subscript"/>
        <sz val="10"/>
        <color rgb="FF08519C"/>
        <rFont val="Calibri"/>
        <family val="2"/>
        <scheme val="minor"/>
      </rPr>
      <t>2</t>
    </r>
    <r>
      <rPr>
        <b/>
        <sz val="9"/>
        <color rgb="FF08519C"/>
        <rFont val="Calibri"/>
        <family val="2"/>
        <scheme val="minor"/>
      </rPr>
      <t>e/yr</t>
    </r>
  </si>
  <si>
    <t>combustion emissions</t>
  </si>
  <si>
    <r>
      <t>natural gas stationary combustion CO</t>
    </r>
    <r>
      <rPr>
        <b/>
        <vertAlign val="subscript"/>
        <sz val="9"/>
        <color rgb="FF08519C"/>
        <rFont val="Calibri"/>
        <family val="2"/>
        <scheme val="minor"/>
      </rPr>
      <t>2</t>
    </r>
    <r>
      <rPr>
        <b/>
        <sz val="9"/>
        <color rgb="FF08519C"/>
        <rFont val="Calibri"/>
        <family val="2"/>
        <scheme val="minor"/>
      </rPr>
      <t xml:space="preserve"> emission factor</t>
    </r>
  </si>
  <si>
    <t>"</t>
  </si>
  <si>
    <r>
      <t>MgCO</t>
    </r>
    <r>
      <rPr>
        <b/>
        <vertAlign val="subscript"/>
        <sz val="9"/>
        <color rgb="FF08519C"/>
        <rFont val="Calibri"/>
        <family val="2"/>
        <scheme val="minor"/>
      </rPr>
      <t>2</t>
    </r>
    <r>
      <rPr>
        <b/>
        <sz val="9"/>
        <color rgb="FF08519C"/>
        <rFont val="Calibri"/>
        <family val="2"/>
        <scheme val="minor"/>
      </rPr>
      <t>e/TJ</t>
    </r>
  </si>
  <si>
    <t>stack emissions</t>
  </si>
  <si>
    <t>fraction of harvest to slash</t>
  </si>
  <si>
    <t>annual slash</t>
  </si>
  <si>
    <t>annual slash generated</t>
  </si>
  <si>
    <t>grid electricity emission factor</t>
  </si>
  <si>
    <t>as reported in literature</t>
  </si>
  <si>
    <t>harmonized units</t>
  </si>
  <si>
    <t>host crop</t>
  </si>
  <si>
    <t>corn</t>
  </si>
  <si>
    <t>crop fates (by mass)</t>
  </si>
  <si>
    <t>feedstock energy in standing carbon</t>
  </si>
  <si>
    <r>
      <t>kgCO</t>
    </r>
    <r>
      <rPr>
        <b/>
        <vertAlign val="subscript"/>
        <sz val="10"/>
        <color rgb="FF08519C"/>
        <rFont val="Calibri"/>
        <family val="2"/>
        <scheme val="minor"/>
      </rPr>
      <t>2</t>
    </r>
    <r>
      <rPr>
        <b/>
        <sz val="9"/>
        <color rgb="FF08519C"/>
        <rFont val="Calibri"/>
        <family val="2"/>
        <scheme val="minor"/>
      </rPr>
      <t>e/Mg</t>
    </r>
  </si>
  <si>
    <t>NR-546</t>
  </si>
  <si>
    <t>Table S1</t>
  </si>
  <si>
    <r>
      <t>kgCO</t>
    </r>
    <r>
      <rPr>
        <b/>
        <vertAlign val="subscript"/>
        <sz val="10"/>
        <color rgb="FF08519C"/>
        <rFont val="Calibri"/>
        <family val="2"/>
        <scheme val="minor"/>
      </rPr>
      <t>2</t>
    </r>
    <r>
      <rPr>
        <b/>
        <sz val="9"/>
        <color rgb="FF08519C"/>
        <rFont val="Calibri"/>
        <family val="2"/>
        <scheme val="minor"/>
      </rPr>
      <t>e/Mg-km</t>
    </r>
  </si>
  <si>
    <t>feedstock HHV lost in drying to 7% m.c.</t>
  </si>
  <si>
    <t>annual demand for feedstock energy</t>
  </si>
  <si>
    <t>annual demand for feedstock carbon</t>
  </si>
  <si>
    <t>annual demand for standing carbon</t>
  </si>
  <si>
    <t>moisture content of green feedstock</t>
  </si>
  <si>
    <t>annual demand for green feedstock</t>
  </si>
  <si>
    <t>annual feedstock transport emissions</t>
  </si>
  <si>
    <r>
      <t>MgCO</t>
    </r>
    <r>
      <rPr>
        <b/>
        <vertAlign val="subscript"/>
        <sz val="9"/>
        <color rgb="FF08519C"/>
        <rFont val="Calibri"/>
        <family val="2"/>
        <scheme val="minor"/>
      </rPr>
      <t>2</t>
    </r>
    <r>
      <rPr>
        <b/>
        <sz val="9"/>
        <color rgb="FF08519C"/>
        <rFont val="Calibri"/>
        <family val="2"/>
        <scheme val="minor"/>
      </rPr>
      <t>e</t>
    </r>
  </si>
  <si>
    <r>
      <t>MgCO</t>
    </r>
    <r>
      <rPr>
        <b/>
        <vertAlign val="subscript"/>
        <sz val="9"/>
        <color rgb="FF08519C"/>
        <rFont val="Calibri"/>
        <family val="2"/>
        <scheme val="minor"/>
      </rPr>
      <t>2</t>
    </r>
    <r>
      <rPr>
        <b/>
        <sz val="9"/>
        <color rgb="FF08519C"/>
        <rFont val="Calibri"/>
        <family val="2"/>
        <scheme val="minor"/>
      </rPr>
      <t>e/TJ pellets</t>
    </r>
  </si>
  <si>
    <t>annual dryer emissions</t>
  </si>
  <si>
    <r>
      <t>MgCO</t>
    </r>
    <r>
      <rPr>
        <b/>
        <vertAlign val="subscript"/>
        <sz val="9"/>
        <color rgb="FF08519C"/>
        <rFont val="Calibri"/>
        <family val="2"/>
        <scheme val="minor"/>
      </rPr>
      <t>2</t>
    </r>
  </si>
  <si>
    <t>annual demand for pellet energy</t>
  </si>
  <si>
    <t>pellet transport distance</t>
  </si>
  <si>
    <t>pellet ocean transport (7,127 km)</t>
  </si>
  <si>
    <t>pellet ocean transport</t>
  </si>
  <si>
    <t>pellet moisture content</t>
  </si>
  <si>
    <t>pellet mill emissions (excl. drying)</t>
  </si>
  <si>
    <t>Table S1; denominator is pellet mass at 7% m.c., not feedstock mass.</t>
  </si>
  <si>
    <t>Denominator converted to green feedstock mass at 50% m.c.</t>
  </si>
  <si>
    <t>feedstock transport per Hanssen et al</t>
  </si>
  <si>
    <t>feedstock m.c.</t>
  </si>
  <si>
    <t>pellet m.c.</t>
  </si>
  <si>
    <t>feedstock/pellet mass ratio</t>
  </si>
  <si>
    <t>unitless</t>
  </si>
  <si>
    <t>feedstock transport EF (50 km)</t>
  </si>
  <si>
    <t>feedstock transport EF</t>
  </si>
  <si>
    <t>green feedstock/C mass ratio</t>
  </si>
  <si>
    <t>pellet HHV</t>
  </si>
  <si>
    <t>MJ/kg pellets</t>
  </si>
  <si>
    <t>Mg/yr</t>
  </si>
  <si>
    <t>TOTAL combustion emissions</t>
  </si>
  <si>
    <t>relating to agriculture/silviculture</t>
  </si>
  <si>
    <t>pellet energy demand</t>
  </si>
  <si>
    <t>pellet mass demand</t>
  </si>
  <si>
    <t>TOTAL pellet mass demand</t>
  </si>
  <si>
    <t xml:space="preserve">   each feedstock has a different HHV, resulting in a different pellet HHV.</t>
  </si>
  <si>
    <t xml:space="preserve">   On the dashboard the user is specifying fractions of feedstock by energy, not mass.</t>
  </si>
  <si>
    <t>The mass ratios among harvest types differ slightly from the energy ratios because</t>
  </si>
  <si>
    <t>feedstock drying</t>
  </si>
  <si>
    <t>A104</t>
  </si>
  <si>
    <t>linear step</t>
  </si>
  <si>
    <t>with linear interpolation</t>
  </si>
  <si>
    <t>growth tables</t>
  </si>
  <si>
    <t>row 2: SRWC</t>
  </si>
  <si>
    <t>as published</t>
  </si>
  <si>
    <t>computed mass</t>
  </si>
  <si>
    <t>Fraction of thinnings harvest, that is subsequently removed from site for delivery to BECCS facility.</t>
  </si>
  <si>
    <r>
      <t xml:space="preserve">recovery function, </t>
    </r>
    <r>
      <rPr>
        <b/>
        <sz val="9"/>
        <color rgb="FF08519C"/>
        <rFont val="Calibri"/>
        <family val="2"/>
      </rPr>
      <t>β</t>
    </r>
    <r>
      <rPr>
        <b/>
        <vertAlign val="subscript"/>
        <sz val="9"/>
        <color rgb="FF08519C"/>
        <rFont val="Calibri"/>
        <family val="2"/>
      </rPr>
      <t>1</t>
    </r>
  </si>
  <si>
    <r>
      <t xml:space="preserve">recovery function, </t>
    </r>
    <r>
      <rPr>
        <b/>
        <sz val="9"/>
        <color rgb="FF08519C"/>
        <rFont val="Calibri"/>
        <family val="2"/>
      </rPr>
      <t>β</t>
    </r>
    <r>
      <rPr>
        <b/>
        <vertAlign val="subscript"/>
        <sz val="9"/>
        <color rgb="FF08519C"/>
        <rFont val="Calibri"/>
        <family val="2"/>
      </rPr>
      <t>2</t>
    </r>
  </si>
  <si>
    <r>
      <t>yr</t>
    </r>
    <r>
      <rPr>
        <b/>
        <vertAlign val="superscript"/>
        <sz val="9"/>
        <color rgb="FF08519C"/>
        <rFont val="Calibri"/>
        <family val="2"/>
        <scheme val="minor"/>
      </rPr>
      <t>-1</t>
    </r>
  </si>
  <si>
    <t>NR-562</t>
  </si>
  <si>
    <t>p.228</t>
  </si>
  <si>
    <t>augmented index of suppression, first rotation</t>
  </si>
  <si>
    <r>
      <t>This is the factor IS</t>
    </r>
    <r>
      <rPr>
        <b/>
        <vertAlign val="subscript"/>
        <sz val="9"/>
        <color rgb="FF08519C"/>
        <rFont val="Calibri"/>
        <family val="2"/>
        <scheme val="minor"/>
      </rPr>
      <t>t1</t>
    </r>
    <r>
      <rPr>
        <b/>
        <vertAlign val="superscript"/>
        <sz val="9"/>
        <color rgb="FF08519C"/>
        <rFont val="Calibri"/>
        <family val="2"/>
      </rPr>
      <t>β1</t>
    </r>
    <r>
      <rPr>
        <b/>
        <sz val="9"/>
        <color rgb="FF08519C"/>
        <rFont val="Calibri"/>
        <family val="2"/>
      </rPr>
      <t xml:space="preserve"> in Pienaar's time-dependent equation.</t>
    </r>
  </si>
  <si>
    <t>landscape inputs: forest thinning</t>
  </si>
  <si>
    <t>switchgrass</t>
  </si>
  <si>
    <t>kJ/kg</t>
  </si>
  <si>
    <t>NR-563</t>
  </si>
  <si>
    <t>p.10</t>
  </si>
  <si>
    <t>wt%C</t>
  </si>
  <si>
    <t>p.10, at 11.99% m.c.</t>
  </si>
  <si>
    <t>fraction of crop removed for BECCS</t>
  </si>
  <si>
    <t>Equal to the landscape's aboveground primary productivity.</t>
  </si>
  <si>
    <t>landscape required</t>
  </si>
  <si>
    <t>mean field-to-pelletizer distance</t>
  </si>
  <si>
    <r>
      <t xml:space="preserve">Moisture content when transported from field to pelletizer. If there is some drying in field then this is the moisture content </t>
    </r>
    <r>
      <rPr>
        <b/>
        <i/>
        <sz val="9"/>
        <color rgb="FF08519C"/>
        <rFont val="Calibri"/>
        <family val="2"/>
        <scheme val="minor"/>
      </rPr>
      <t>after</t>
    </r>
    <r>
      <rPr>
        <b/>
        <sz val="9"/>
        <color rgb="FF08519C"/>
        <rFont val="Calibri"/>
        <family val="2"/>
        <scheme val="minor"/>
      </rPr>
      <t xml:space="preserve"> field drying.</t>
    </r>
  </si>
  <si>
    <t>electricity demand</t>
  </si>
  <si>
    <t>removed by agricultural host</t>
  </si>
  <si>
    <t>annual waste available</t>
  </si>
  <si>
    <r>
      <t>Positive values of CO</t>
    </r>
    <r>
      <rPr>
        <b/>
        <vertAlign val="subscript"/>
        <sz val="9"/>
        <color theme="0"/>
        <rFont val="Calibri"/>
        <family val="2"/>
        <scheme val="minor"/>
      </rPr>
      <t>2</t>
    </r>
    <r>
      <rPr>
        <b/>
        <sz val="9"/>
        <color theme="0"/>
        <rFont val="Calibri"/>
        <family val="2"/>
        <scheme val="minor"/>
      </rPr>
      <t xml:space="preserve"> or CO</t>
    </r>
    <r>
      <rPr>
        <b/>
        <vertAlign val="subscript"/>
        <sz val="9"/>
        <color theme="0"/>
        <rFont val="Calibri"/>
        <family val="2"/>
        <scheme val="minor"/>
      </rPr>
      <t>2</t>
    </r>
    <r>
      <rPr>
        <b/>
        <sz val="9"/>
        <color theme="0"/>
        <rFont val="Calibri"/>
        <family val="2"/>
        <scheme val="minor"/>
      </rPr>
      <t>e mean emissions to the atmosphere; negative values mean sequestration.</t>
    </r>
  </si>
  <si>
    <t>mean mill-to-pelletizer distance</t>
  </si>
  <si>
    <t>feedstock transport emissions</t>
  </si>
  <si>
    <t>see table</t>
  </si>
  <si>
    <t>input: power plant characteristics</t>
  </si>
  <si>
    <t>fuel</t>
  </si>
  <si>
    <t>input: BECCS fuel mix</t>
  </si>
  <si>
    <t>fraction</t>
  </si>
  <si>
    <t>boolean choice</t>
  </si>
  <si>
    <t>yes</t>
  </si>
  <si>
    <t>no</t>
  </si>
  <si>
    <r>
      <t>TgCO</t>
    </r>
    <r>
      <rPr>
        <b/>
        <vertAlign val="subscript"/>
        <sz val="10"/>
        <color rgb="FF08519C"/>
        <rFont val="Calibri"/>
        <family val="2"/>
        <scheme val="minor"/>
      </rPr>
      <t>2</t>
    </r>
    <r>
      <rPr>
        <b/>
        <sz val="9"/>
        <color rgb="FF08519C"/>
        <rFont val="Calibri"/>
        <family val="2"/>
        <scheme val="minor"/>
      </rPr>
      <t>e/TJ</t>
    </r>
  </si>
  <si>
    <t>demonstration year</t>
  </si>
  <si>
    <t>growth year</t>
  </si>
  <si>
    <t>clearcut plot sequestration &amp; stock in temporal context, MgC/ha-yr</t>
  </si>
  <si>
    <t>model year</t>
  </si>
  <si>
    <t>new carbon stock</t>
  </si>
  <si>
    <t>© 2021 Hammerschlag LLC</t>
  </si>
  <si>
    <t>For technical assistance please contact:
   roel@hammerschlag.llc
   Roel Hammerschlag
   tel. 360-339-6038
   skype: r.hammerschlag</t>
  </si>
  <si>
    <t>drying energy &amp; emissions</t>
  </si>
  <si>
    <t>harvesting &amp; pellet production (except drying)</t>
  </si>
  <si>
    <t>heat requirement of drying</t>
  </si>
  <si>
    <r>
      <t>GJ/MgH</t>
    </r>
    <r>
      <rPr>
        <b/>
        <vertAlign val="subscript"/>
        <sz val="9"/>
        <color rgb="FF08519C"/>
        <rFont val="Calibri"/>
        <family val="2"/>
        <scheme val="minor"/>
      </rPr>
      <t>2</t>
    </r>
    <r>
      <rPr>
        <b/>
        <sz val="9"/>
        <color rgb="FF08519C"/>
        <rFont val="Calibri"/>
        <family val="2"/>
        <scheme val="minor"/>
      </rPr>
      <t>O</t>
    </r>
  </si>
  <si>
    <t>Table S1; calculated value</t>
  </si>
  <si>
    <r>
      <t>kgCO</t>
    </r>
    <r>
      <rPr>
        <b/>
        <vertAlign val="subscript"/>
        <sz val="9"/>
        <color rgb="FF08519C"/>
        <rFont val="Calibri"/>
        <family val="2"/>
        <scheme val="minor"/>
      </rPr>
      <t>2</t>
    </r>
    <r>
      <rPr>
        <b/>
        <sz val="9"/>
        <color rgb="FF08519C"/>
        <rFont val="Calibri"/>
        <family val="2"/>
        <scheme val="minor"/>
      </rPr>
      <t>e/Mg pellets</t>
    </r>
  </si>
  <si>
    <t>as computed by Hanssen et al</t>
  </si>
  <si>
    <t>foregone sequestration</t>
  </si>
  <si>
    <t>annual generation</t>
  </si>
  <si>
    <t>Hanssen et al</t>
  </si>
  <si>
    <t>Ray 2019</t>
  </si>
  <si>
    <t>southern softwood, biogenic component</t>
  </si>
  <si>
    <t>NR-568</t>
  </si>
  <si>
    <t>southern softwood, fossil component</t>
  </si>
  <si>
    <t>bf</t>
  </si>
  <si>
    <t>in3</t>
  </si>
  <si>
    <t>bfTOin3</t>
  </si>
  <si>
    <t>density of softwood</t>
  </si>
  <si>
    <r>
      <t>lb/ft</t>
    </r>
    <r>
      <rPr>
        <b/>
        <vertAlign val="superscript"/>
        <sz val="9"/>
        <color rgb="FF08519C"/>
        <rFont val="Calibri"/>
        <family val="2"/>
        <scheme val="minor"/>
      </rPr>
      <t>3</t>
    </r>
  </si>
  <si>
    <t>HHV of softwood</t>
  </si>
  <si>
    <t>p.73</t>
  </si>
  <si>
    <t>loblolly pine (bone dry)</t>
  </si>
  <si>
    <t>pine (bone dry)</t>
  </si>
  <si>
    <t>HA-531</t>
  </si>
  <si>
    <t>p.76</t>
  </si>
  <si>
    <t>pine (15% m.c.)</t>
  </si>
  <si>
    <t>p.198</t>
  </si>
  <si>
    <t>NR-569</t>
  </si>
  <si>
    <t>Table 2, p.1499</t>
  </si>
  <si>
    <r>
      <t>kg/m</t>
    </r>
    <r>
      <rPr>
        <b/>
        <vertAlign val="superscript"/>
        <sz val="9"/>
        <color rgb="FF08519C"/>
        <rFont val="Calibri"/>
        <family val="2"/>
        <scheme val="minor"/>
      </rPr>
      <t>3</t>
    </r>
  </si>
  <si>
    <t>loblolly pine (green/106% m.c.)</t>
  </si>
  <si>
    <t>typical assumed moisture content</t>
  </si>
  <si>
    <t>see note</t>
  </si>
  <si>
    <t>https://www.wood-database.com/wood-articles/average-dried-weight/</t>
  </si>
  <si>
    <r>
      <t>kgCO</t>
    </r>
    <r>
      <rPr>
        <b/>
        <vertAlign val="subscript"/>
        <sz val="9"/>
        <color rgb="FF08519C"/>
        <rFont val="Calibri"/>
        <family val="2"/>
        <scheme val="minor"/>
      </rPr>
      <t>2</t>
    </r>
    <r>
      <rPr>
        <b/>
        <sz val="9"/>
        <color rgb="FF08519C"/>
        <rFont val="Calibri"/>
        <family val="2"/>
        <scheme val="minor"/>
      </rPr>
      <t>/Mbf</t>
    </r>
  </si>
  <si>
    <t>Bergman &amp; Bowe 2007</t>
  </si>
  <si>
    <r>
      <t>kgCO</t>
    </r>
    <r>
      <rPr>
        <b/>
        <vertAlign val="subscript"/>
        <sz val="9"/>
        <color rgb="FF08519C"/>
        <rFont val="Calibri"/>
        <family val="2"/>
        <scheme val="minor"/>
      </rPr>
      <t>2</t>
    </r>
    <r>
      <rPr>
        <b/>
        <sz val="9"/>
        <color rgb="FF08519C"/>
        <rFont val="Calibri"/>
        <family val="2"/>
        <scheme val="minor"/>
      </rPr>
      <t>/m</t>
    </r>
    <r>
      <rPr>
        <b/>
        <vertAlign val="superscript"/>
        <sz val="9"/>
        <color rgb="FF08519C"/>
        <rFont val="Calibri"/>
        <family val="2"/>
        <scheme val="minor"/>
      </rPr>
      <t>3</t>
    </r>
  </si>
  <si>
    <t>NR-570</t>
  </si>
  <si>
    <r>
      <t>all on-site biogenic CO</t>
    </r>
    <r>
      <rPr>
        <b/>
        <vertAlign val="subscript"/>
        <sz val="9"/>
        <color rgb="FF08519C"/>
        <rFont val="Calibri"/>
        <family val="2"/>
        <scheme val="minor"/>
      </rPr>
      <t>2</t>
    </r>
  </si>
  <si>
    <r>
      <t>all on-site fossil CO</t>
    </r>
    <r>
      <rPr>
        <b/>
        <vertAlign val="subscript"/>
        <sz val="9"/>
        <color rgb="FF08519C"/>
        <rFont val="Calibri"/>
        <family val="2"/>
        <scheme val="minor"/>
      </rPr>
      <t>2</t>
    </r>
  </si>
  <si>
    <t>Uasuf 2010</t>
  </si>
  <si>
    <t>energy requirement of drying</t>
  </si>
  <si>
    <t>target m.c. of drying</t>
  </si>
  <si>
    <t>m.c.</t>
  </si>
  <si>
    <t>NR-571</t>
  </si>
  <si>
    <t>p.7, "12% or less."</t>
  </si>
  <si>
    <t>MJ/Mg pellets</t>
  </si>
  <si>
    <t>Thek &amp; Obernberger 2004</t>
  </si>
  <si>
    <t>kWh/Mg pellets</t>
  </si>
  <si>
    <t>NR-574</t>
  </si>
  <si>
    <t>Table 6, p.689.</t>
  </si>
  <si>
    <r>
      <t>kWh/Mg H</t>
    </r>
    <r>
      <rPr>
        <b/>
        <vertAlign val="subscript"/>
        <sz val="9"/>
        <color rgb="FF08519C"/>
        <rFont val="Calibri"/>
        <family val="2"/>
        <scheme val="minor"/>
      </rPr>
      <t>2</t>
    </r>
    <r>
      <rPr>
        <b/>
        <sz val="9"/>
        <color rgb="FF08519C"/>
        <rFont val="Calibri"/>
        <family val="2"/>
        <scheme val="minor"/>
      </rPr>
      <t>O</t>
    </r>
  </si>
  <si>
    <t>Table 1, p.674.</t>
  </si>
  <si>
    <t>This assumes a certain amount of field drying, since true green is often near 100% m.c.</t>
  </si>
  <si>
    <t>pellets m.c.</t>
  </si>
  <si>
    <t>pelletizer feedstock m.c.</t>
  </si>
  <si>
    <t>dryer feedstock m.c.</t>
  </si>
  <si>
    <t>dry mass in pellets</t>
  </si>
  <si>
    <r>
      <t>H</t>
    </r>
    <r>
      <rPr>
        <b/>
        <vertAlign val="subscript"/>
        <sz val="9"/>
        <color rgb="FF08519C"/>
        <rFont val="Calibri"/>
        <family val="2"/>
        <scheme val="minor"/>
      </rPr>
      <t>2</t>
    </r>
    <r>
      <rPr>
        <b/>
        <sz val="9"/>
        <color rgb="FF08519C"/>
        <rFont val="Calibri"/>
        <family val="2"/>
        <scheme val="minor"/>
      </rPr>
      <t>O mass in pelletizer feedstock</t>
    </r>
  </si>
  <si>
    <t>Mg/Mg pellets</t>
  </si>
  <si>
    <r>
      <t>H</t>
    </r>
    <r>
      <rPr>
        <b/>
        <vertAlign val="subscript"/>
        <sz val="9"/>
        <color rgb="FF08519C"/>
        <rFont val="Calibri"/>
        <family val="2"/>
        <scheme val="minor"/>
      </rPr>
      <t>2</t>
    </r>
    <r>
      <rPr>
        <b/>
        <sz val="9"/>
        <color rgb="FF08519C"/>
        <rFont val="Calibri"/>
        <family val="2"/>
        <scheme val="minor"/>
      </rPr>
      <t>O mass in dryer feedstock</t>
    </r>
  </si>
  <si>
    <r>
      <t>H</t>
    </r>
    <r>
      <rPr>
        <b/>
        <vertAlign val="subscript"/>
        <sz val="9"/>
        <color rgb="FF08519C"/>
        <rFont val="Calibri"/>
        <family val="2"/>
        <scheme val="minor"/>
      </rPr>
      <t>2</t>
    </r>
    <r>
      <rPr>
        <b/>
        <sz val="9"/>
        <color rgb="FF08519C"/>
        <rFont val="Calibri"/>
        <family val="2"/>
        <scheme val="minor"/>
      </rPr>
      <t>O to evaporate</t>
    </r>
  </si>
  <si>
    <r>
      <t>molecular weight of H</t>
    </r>
    <r>
      <rPr>
        <b/>
        <vertAlign val="subscript"/>
        <sz val="9"/>
        <color rgb="FF08519C"/>
        <rFont val="Calibri"/>
        <family val="2"/>
        <scheme val="minor"/>
      </rPr>
      <t>2</t>
    </r>
    <r>
      <rPr>
        <b/>
        <sz val="9"/>
        <color rgb="FF08519C"/>
        <rFont val="Calibri"/>
        <family val="2"/>
        <scheme val="minor"/>
      </rPr>
      <t>O</t>
    </r>
  </si>
  <si>
    <t>HA-518</t>
  </si>
  <si>
    <t>p.4-98</t>
  </si>
  <si>
    <t>kJ/mol</t>
  </si>
  <si>
    <t>p.6-132</t>
  </si>
  <si>
    <t>kJ/g</t>
  </si>
  <si>
    <r>
      <t>enthalpy of vaporization at 25</t>
    </r>
    <r>
      <rPr>
        <b/>
        <sz val="9"/>
        <color rgb="FF08519C"/>
        <rFont val="Calibri"/>
        <family val="2"/>
      </rPr>
      <t>°C</t>
    </r>
  </si>
  <si>
    <t>fraction of feedstock lost to drying</t>
  </si>
  <si>
    <t>check against internet source</t>
  </si>
  <si>
    <r>
      <t>link.springer.com (this is probably at 100</t>
    </r>
    <r>
      <rPr>
        <b/>
        <sz val="9"/>
        <color rgb="FF08519C"/>
        <rFont val="Calibri"/>
        <family val="2"/>
      </rPr>
      <t>°C, not 25°C)</t>
    </r>
  </si>
  <si>
    <t>" applied to 50%-12% dry</t>
  </si>
  <si>
    <t>harmonized</t>
  </si>
  <si>
    <t>study</t>
  </si>
  <si>
    <t>emissions</t>
  </si>
  <si>
    <t>Table 5, p.455. Denominator is 12% m.c. lumber.</t>
  </si>
  <si>
    <t>"Electrical energy is required by all four unit processes while most thermal energy is required by the drying process." p.453</t>
  </si>
  <si>
    <t>"The thermal energy required for drying...major source being wood fuel produced on-site from the sawing process." p.453</t>
  </si>
  <si>
    <t>thermal energy requirement</t>
  </si>
  <si>
    <t>p.453.</t>
  </si>
  <si>
    <t>benchmarks for harmonized values</t>
  </si>
  <si>
    <t>HA-551</t>
  </si>
  <si>
    <t>p.187</t>
  </si>
  <si>
    <t>loblolly pine, 12% m.c.</t>
  </si>
  <si>
    <t>northern white pine, 12% m.c.</t>
  </si>
  <si>
    <t>white fir, 12% m.c.</t>
  </si>
  <si>
    <t>douglas fir, 12% m.c.</t>
  </si>
  <si>
    <t>p.82</t>
  </si>
  <si>
    <t>slash pine, 12% m.c.</t>
  </si>
  <si>
    <t>p.185</t>
  </si>
  <si>
    <t>density of wood at 12% m.c.</t>
  </si>
  <si>
    <t>"Thermal energy produced on-site makes up the largest propoertion of energy used on-site." p.454</t>
  </si>
  <si>
    <t>energy requirement</t>
  </si>
  <si>
    <t>density of water</t>
  </si>
  <si>
    <r>
      <t>Mg/m</t>
    </r>
    <r>
      <rPr>
        <b/>
        <vertAlign val="superscript"/>
        <sz val="9"/>
        <color rgb="FF08519C"/>
        <rFont val="Calibri"/>
        <family val="2"/>
        <scheme val="minor"/>
      </rPr>
      <t>3</t>
    </r>
  </si>
  <si>
    <r>
      <t>GJ/m</t>
    </r>
    <r>
      <rPr>
        <b/>
        <vertAlign val="superscript"/>
        <sz val="9"/>
        <color rgb="FF08519C"/>
        <rFont val="Calibri"/>
        <family val="2"/>
        <scheme val="minor"/>
      </rPr>
      <t>3</t>
    </r>
    <r>
      <rPr>
        <b/>
        <sz val="9"/>
        <color rgb="FF08519C"/>
        <rFont val="Calibri"/>
        <family val="2"/>
        <scheme val="minor"/>
      </rPr>
      <t xml:space="preserve"> lumber</t>
    </r>
  </si>
  <si>
    <t>lumber-pellet equivalent</t>
  </si>
  <si>
    <r>
      <t>Mg pellets/m</t>
    </r>
    <r>
      <rPr>
        <b/>
        <vertAlign val="superscript"/>
        <sz val="9"/>
        <color rgb="FF08519C"/>
        <rFont val="Calibri"/>
        <family val="2"/>
        <scheme val="minor"/>
      </rPr>
      <t>3</t>
    </r>
    <r>
      <rPr>
        <b/>
        <sz val="9"/>
        <color rgb="FF08519C"/>
        <rFont val="Calibri"/>
        <family val="2"/>
        <scheme val="minor"/>
      </rPr>
      <t xml:space="preserve"> lumber</t>
    </r>
  </si>
  <si>
    <r>
      <t>Mg lumber/m</t>
    </r>
    <r>
      <rPr>
        <b/>
        <vertAlign val="superscript"/>
        <sz val="9"/>
        <color rgb="FF08519C"/>
        <rFont val="Calibri"/>
        <family val="2"/>
        <scheme val="minor"/>
      </rPr>
      <t>3</t>
    </r>
    <r>
      <rPr>
        <b/>
        <sz val="9"/>
        <color rgb="FF08519C"/>
        <rFont val="Calibri"/>
        <family val="2"/>
        <scheme val="minor"/>
      </rPr>
      <t xml:space="preserve"> lumber</t>
    </r>
  </si>
  <si>
    <t>Mg pellets/Mg lumber</t>
  </si>
  <si>
    <t>mass ratio for equiv. energy value</t>
  </si>
  <si>
    <r>
      <t>kgCO</t>
    </r>
    <r>
      <rPr>
        <b/>
        <vertAlign val="subscript"/>
        <sz val="9"/>
        <color rgb="FF08519C"/>
        <rFont val="Calibri"/>
        <family val="2"/>
        <scheme val="minor"/>
      </rPr>
      <t>2</t>
    </r>
    <r>
      <rPr>
        <b/>
        <sz val="9"/>
        <color rgb="FF08519C"/>
        <rFont val="Calibri"/>
        <family val="2"/>
        <scheme val="minor"/>
      </rPr>
      <t>/m</t>
    </r>
    <r>
      <rPr>
        <b/>
        <vertAlign val="superscript"/>
        <sz val="9"/>
        <color rgb="FF08519C"/>
        <rFont val="Calibri"/>
        <family val="2"/>
        <scheme val="minor"/>
      </rPr>
      <t>3</t>
    </r>
    <r>
      <rPr>
        <b/>
        <sz val="9"/>
        <color rgb="FF08519C"/>
        <rFont val="Calibri"/>
        <family val="2"/>
        <scheme val="minor"/>
      </rPr>
      <t xml:space="preserve"> lumber</t>
    </r>
  </si>
  <si>
    <r>
      <t>MgCO</t>
    </r>
    <r>
      <rPr>
        <b/>
        <vertAlign val="subscript"/>
        <sz val="9"/>
        <color rgb="FF08519C"/>
        <rFont val="Calibri"/>
        <family val="2"/>
        <scheme val="minor"/>
      </rPr>
      <t>2</t>
    </r>
    <r>
      <rPr>
        <b/>
        <sz val="9"/>
        <color rgb="FF08519C"/>
        <rFont val="Calibri"/>
        <family val="2"/>
        <scheme val="minor"/>
      </rPr>
      <t>/Mg pellets</t>
    </r>
  </si>
  <si>
    <t>HHV of finished pellets</t>
  </si>
  <si>
    <t>NR-575</t>
  </si>
  <si>
    <t>Table 2</t>
  </si>
  <si>
    <t>max</t>
  </si>
  <si>
    <t>nominal</t>
  </si>
  <si>
    <t>[need to find IPCC 2006 cite]</t>
  </si>
  <si>
    <r>
      <t>kgCO</t>
    </r>
    <r>
      <rPr>
        <b/>
        <vertAlign val="subscript"/>
        <sz val="9"/>
        <color rgb="FF08519C"/>
        <rFont val="Calibri"/>
        <family val="2"/>
        <scheme val="minor"/>
      </rPr>
      <t>2</t>
    </r>
    <r>
      <rPr>
        <b/>
        <sz val="9"/>
        <color rgb="FF08519C"/>
        <rFont val="Calibri"/>
        <family val="2"/>
        <scheme val="minor"/>
      </rPr>
      <t>e/GJ</t>
    </r>
  </si>
  <si>
    <t>wood pellet emission factor</t>
  </si>
  <si>
    <t>IPCC wood emission factor</t>
  </si>
  <si>
    <r>
      <t>MgCO</t>
    </r>
    <r>
      <rPr>
        <b/>
        <vertAlign val="subscript"/>
        <sz val="9"/>
        <color rgb="FF08519C"/>
        <rFont val="Calibri"/>
        <family val="2"/>
        <scheme val="minor"/>
      </rPr>
      <t>2</t>
    </r>
    <r>
      <rPr>
        <b/>
        <sz val="9"/>
        <color rgb="FF08519C"/>
        <rFont val="Calibri"/>
        <family val="2"/>
        <scheme val="minor"/>
      </rPr>
      <t>e/Mg pellets</t>
    </r>
  </si>
  <si>
    <t>bark &amp; feedstock combustion for drying</t>
  </si>
  <si>
    <t>feedstock required for drying</t>
  </si>
  <si>
    <t>LHV of drying feedstock</t>
  </si>
  <si>
    <t>MJ/Mg fuel</t>
  </si>
  <si>
    <t>Mg fuel/Mg pellets</t>
  </si>
  <si>
    <t>emissions (inferred only)</t>
  </si>
  <si>
    <t>energy requirement not stated</t>
  </si>
  <si>
    <t>bfTOm3</t>
  </si>
  <si>
    <t>cm3</t>
  </si>
  <si>
    <t>bfTOcm3</t>
  </si>
  <si>
    <r>
      <t>MgCO</t>
    </r>
    <r>
      <rPr>
        <b/>
        <vertAlign val="subscript"/>
        <sz val="9"/>
        <color rgb="FF08519C"/>
        <rFont val="Calibri"/>
        <family val="2"/>
        <scheme val="minor"/>
      </rPr>
      <t>2</t>
    </r>
    <r>
      <rPr>
        <b/>
        <sz val="9"/>
        <color rgb="FF08519C"/>
        <rFont val="Calibri"/>
        <family val="2"/>
        <scheme val="minor"/>
      </rPr>
      <t>/m</t>
    </r>
    <r>
      <rPr>
        <b/>
        <vertAlign val="superscript"/>
        <sz val="9"/>
        <color rgb="FF08519C"/>
        <rFont val="Calibri"/>
        <family val="2"/>
        <scheme val="minor"/>
      </rPr>
      <t>3</t>
    </r>
    <r>
      <rPr>
        <b/>
        <sz val="9"/>
        <color rgb="FF08519C"/>
        <rFont val="Calibri"/>
        <family val="2"/>
        <scheme val="minor"/>
      </rPr>
      <t xml:space="preserve"> lumber</t>
    </r>
  </si>
  <si>
    <t>kWh/t pellets</t>
  </si>
  <si>
    <t>MJ/t pellets</t>
  </si>
  <si>
    <r>
      <t>GJ/m</t>
    </r>
    <r>
      <rPr>
        <vertAlign val="superscript"/>
        <sz val="9"/>
        <color theme="1"/>
        <rFont val="Calibri"/>
        <family val="2"/>
        <scheme val="minor"/>
      </rPr>
      <t>3</t>
    </r>
    <r>
      <rPr>
        <sz val="9"/>
        <color theme="1"/>
        <rFont val="Calibri"/>
        <family val="2"/>
        <scheme val="minor"/>
      </rPr>
      <t xml:space="preserve"> lumber</t>
    </r>
  </si>
  <si>
    <t>heat energy required for drying</t>
  </si>
  <si>
    <t>GHG emissions of heat energy</t>
  </si>
  <si>
    <r>
      <t>kgCO</t>
    </r>
    <r>
      <rPr>
        <vertAlign val="subscript"/>
        <sz val="9"/>
        <color theme="1"/>
        <rFont val="Calibri"/>
        <family val="2"/>
        <scheme val="minor"/>
      </rPr>
      <t>2</t>
    </r>
    <r>
      <rPr>
        <sz val="9"/>
        <color theme="1"/>
        <rFont val="Calibri"/>
        <family val="2"/>
        <scheme val="minor"/>
      </rPr>
      <t>/m</t>
    </r>
    <r>
      <rPr>
        <vertAlign val="superscript"/>
        <sz val="9"/>
        <color theme="1"/>
        <rFont val="Calibri"/>
        <family val="2"/>
        <scheme val="minor"/>
      </rPr>
      <t>3</t>
    </r>
    <r>
      <rPr>
        <sz val="9"/>
        <color theme="1"/>
        <rFont val="Calibri"/>
        <family val="2"/>
        <scheme val="minor"/>
      </rPr>
      <t xml:space="preserve"> lumber</t>
    </r>
  </si>
  <si>
    <t>t fuel/t pellets</t>
  </si>
  <si>
    <t>Hanssen et al 2017</t>
  </si>
  <si>
    <r>
      <t>GJ/t H</t>
    </r>
    <r>
      <rPr>
        <vertAlign val="subscript"/>
        <sz val="9"/>
        <color theme="1"/>
        <rFont val="Calibri"/>
        <family val="2"/>
        <scheme val="minor"/>
      </rPr>
      <t>2</t>
    </r>
    <r>
      <rPr>
        <sz val="9"/>
        <color theme="1"/>
        <rFont val="Calibri"/>
        <family val="2"/>
        <scheme val="minor"/>
      </rPr>
      <t>O</t>
    </r>
  </si>
  <si>
    <r>
      <t>kgCO</t>
    </r>
    <r>
      <rPr>
        <vertAlign val="subscript"/>
        <sz val="9"/>
        <color theme="1"/>
        <rFont val="Calibri"/>
        <family val="2"/>
        <scheme val="minor"/>
      </rPr>
      <t>2</t>
    </r>
    <r>
      <rPr>
        <sz val="9"/>
        <color theme="1"/>
        <rFont val="Calibri"/>
        <family val="2"/>
        <scheme val="minor"/>
      </rPr>
      <t>e/t pellets</t>
    </r>
  </si>
  <si>
    <r>
      <t>kgCO</t>
    </r>
    <r>
      <rPr>
        <vertAlign val="subscript"/>
        <sz val="9"/>
        <color theme="1"/>
        <rFont val="Calibri"/>
        <family val="2"/>
        <scheme val="minor"/>
      </rPr>
      <t>2</t>
    </r>
    <r>
      <rPr>
        <sz val="9"/>
        <color theme="1"/>
        <rFont val="Calibri"/>
        <family val="2"/>
        <scheme val="minor"/>
      </rPr>
      <t>/Mbf lumber</t>
    </r>
  </si>
  <si>
    <t>Barber &amp; van Lear 1984</t>
  </si>
  <si>
    <t>residues from logging 41-yr loblolly plantation</t>
  </si>
  <si>
    <t>kg/ha</t>
  </si>
  <si>
    <t>NR-577</t>
  </si>
  <si>
    <t>Table 1, p.907.</t>
  </si>
  <si>
    <t>large branches</t>
  </si>
  <si>
    <t>medium branches</t>
  </si>
  <si>
    <t>small branches</t>
  </si>
  <si>
    <t>branch bark</t>
  </si>
  <si>
    <t>foliage</t>
  </si>
  <si>
    <t>total</t>
  </si>
  <si>
    <t>mass before logging</t>
  </si>
  <si>
    <t>Mg/ha</t>
  </si>
  <si>
    <t>p.907</t>
  </si>
  <si>
    <t>mass fraction left as slash</t>
  </si>
  <si>
    <t>Wade 1969</t>
  </si>
  <si>
    <t>rule-of-thumb oven dry crown mass</t>
  </si>
  <si>
    <t>See publication for DBH-to-crown weight formula &amp; table.</t>
  </si>
  <si>
    <t>All analysis is for loblolly.</t>
  </si>
  <si>
    <t>cord</t>
  </si>
  <si>
    <t>cordTOft3</t>
  </si>
  <si>
    <t>cordTOm3</t>
  </si>
  <si>
    <t>dry mass in denominator</t>
  </si>
  <si>
    <t>loblolly pine, 12% m.c. basis</t>
  </si>
  <si>
    <t>loblolly pine, bone dry</t>
  </si>
  <si>
    <t>lb/cord harvested</t>
  </si>
  <si>
    <r>
      <t>Mg/m</t>
    </r>
    <r>
      <rPr>
        <b/>
        <vertAlign val="superscript"/>
        <sz val="9"/>
        <color rgb="FF08519C"/>
        <rFont val="Calibri"/>
        <family val="2"/>
        <scheme val="minor"/>
      </rPr>
      <t>3</t>
    </r>
    <r>
      <rPr>
        <b/>
        <sz val="9"/>
        <color rgb="FF08519C"/>
        <rFont val="Calibri"/>
        <family val="2"/>
        <scheme val="minor"/>
      </rPr>
      <t xml:space="preserve"> harvested</t>
    </r>
  </si>
  <si>
    <t>Eisenbies et al 2009</t>
  </si>
  <si>
    <t>[provides mass of slash but without mass of harvest]</t>
  </si>
  <si>
    <t>cite #14 seems promising but USDA PDF is misformatted.</t>
  </si>
  <si>
    <t>Joint Research Centre 2021</t>
  </si>
  <si>
    <t>biomass extracted from forest harvest</t>
  </si>
  <si>
    <t>NR-582</t>
  </si>
  <si>
    <t>p.34</t>
  </si>
  <si>
    <t>harvest residues</t>
  </si>
  <si>
    <t>source values for harvest residues</t>
  </si>
  <si>
    <t>NR-579</t>
  </si>
  <si>
    <t>p.3.</t>
  </si>
  <si>
    <t>MgCO2/Mg pellets</t>
  </si>
  <si>
    <r>
      <t>tCO</t>
    </r>
    <r>
      <rPr>
        <b/>
        <i/>
        <vertAlign val="subscript"/>
        <sz val="8"/>
        <color theme="1"/>
        <rFont val="Arial Narrow"/>
        <family val="2"/>
      </rPr>
      <t>2</t>
    </r>
    <r>
      <rPr>
        <b/>
        <i/>
        <sz val="8"/>
        <color theme="1"/>
        <rFont val="Arial Narrow"/>
        <family val="2"/>
      </rPr>
      <t>e/t pellets</t>
    </r>
  </si>
  <si>
    <t>Ghaffariyan 2013</t>
  </si>
  <si>
    <t>Nice mathematical treatment, but relationship to harvest volume is not considered.</t>
  </si>
  <si>
    <t>stems 5-15 cm diameter</t>
  </si>
  <si>
    <t>Schnepf et al 2009</t>
  </si>
  <si>
    <t>crown biomass</t>
  </si>
  <si>
    <t>merchantable bark</t>
  </si>
  <si>
    <t>merchantable wood</t>
  </si>
  <si>
    <t>crown as fraction of gross</t>
  </si>
  <si>
    <t>lb/acre</t>
  </si>
  <si>
    <t>NR-584</t>
  </si>
  <si>
    <t>Table 1, p.6.</t>
  </si>
  <si>
    <t>loblolly pine</t>
  </si>
  <si>
    <t>species mix</t>
  </si>
  <si>
    <t>slash as</t>
  </si>
  <si>
    <t>of gross</t>
  </si>
  <si>
    <t>mixed conifer</t>
  </si>
  <si>
    <t>European avg.</t>
  </si>
  <si>
    <t>slash per pellet</t>
  </si>
  <si>
    <t>pellet per feedstock</t>
  </si>
  <si>
    <t>emissions multiplier</t>
  </si>
  <si>
    <t>emissions of decay</t>
  </si>
  <si>
    <t>minimum slash</t>
  </si>
  <si>
    <t>minimum emissions of decay</t>
  </si>
  <si>
    <t>maximum emissions of decay</t>
  </si>
  <si>
    <t>maximum slash</t>
  </si>
  <si>
    <t>squared error</t>
  </si>
  <si>
    <t>&lt;--sum</t>
  </si>
  <si>
    <t>Clearcut of a 25-year-old plantation forest on December 31 of year 0.</t>
  </si>
  <si>
    <t>scenario parameter</t>
  </si>
  <si>
    <r>
      <t>TgCO</t>
    </r>
    <r>
      <rPr>
        <vertAlign val="subscript"/>
        <sz val="9"/>
        <color theme="1"/>
        <rFont val="Calibri"/>
        <family val="2"/>
        <scheme val="minor"/>
      </rPr>
      <t>2</t>
    </r>
    <r>
      <rPr>
        <sz val="9"/>
        <color theme="1"/>
        <rFont val="Calibri"/>
        <family val="2"/>
        <scheme val="minor"/>
      </rPr>
      <t>e</t>
    </r>
  </si>
  <si>
    <t>pellets required</t>
  </si>
  <si>
    <r>
      <t>tCO</t>
    </r>
    <r>
      <rPr>
        <vertAlign val="subscript"/>
        <sz val="9"/>
        <color theme="1"/>
        <rFont val="Calibri"/>
        <family val="2"/>
        <scheme val="minor"/>
      </rPr>
      <t>2</t>
    </r>
    <r>
      <rPr>
        <sz val="9"/>
        <color theme="1"/>
        <rFont val="Calibri"/>
        <family val="2"/>
        <scheme val="minor"/>
      </rPr>
      <t>e/t pellets</t>
    </r>
  </si>
  <si>
    <t>annual heat demand</t>
  </si>
  <si>
    <t>electricity production</t>
  </si>
  <si>
    <t>heat input</t>
  </si>
  <si>
    <t>annual pellet demand</t>
  </si>
  <si>
    <t>Tg</t>
  </si>
  <si>
    <t>slash decay</t>
  </si>
  <si>
    <t>20-yr foregone sequestration</t>
  </si>
  <si>
    <r>
      <t>tCO</t>
    </r>
    <r>
      <rPr>
        <b/>
        <vertAlign val="subscript"/>
        <sz val="8"/>
        <color theme="1"/>
        <rFont val="Arial Narrow"/>
        <family val="2"/>
      </rPr>
      <t>2</t>
    </r>
    <r>
      <rPr>
        <b/>
        <sz val="8"/>
        <color theme="1"/>
        <rFont val="Arial Narrow"/>
        <family val="2"/>
      </rPr>
      <t>e/t pellets</t>
    </r>
  </si>
  <si>
    <r>
      <t>tCO</t>
    </r>
    <r>
      <rPr>
        <b/>
        <vertAlign val="subscript"/>
        <sz val="8"/>
        <color theme="1"/>
        <rFont val="Arial Narrow"/>
        <family val="2"/>
      </rPr>
      <t>2</t>
    </r>
    <r>
      <rPr>
        <b/>
        <sz val="8"/>
        <color theme="1"/>
        <rFont val="Arial Narrow"/>
        <family val="2"/>
      </rPr>
      <t>e/MWh</t>
    </r>
  </si>
  <si>
    <t>emissions source</t>
  </si>
  <si>
    <t>input basis</t>
  </si>
  <si>
    <t>output basis</t>
  </si>
  <si>
    <t>summary values used for published analysis</t>
  </si>
  <si>
    <t>minimum</t>
  </si>
  <si>
    <t>maximum</t>
  </si>
  <si>
    <t>−</t>
  </si>
  <si>
    <r>
      <t>tCO</t>
    </r>
    <r>
      <rPr>
        <b/>
        <vertAlign val="subscript"/>
        <sz val="9"/>
        <color rgb="FF08519C"/>
        <rFont val="Calibri"/>
        <family val="2"/>
        <scheme val="minor"/>
      </rPr>
      <t>2</t>
    </r>
    <r>
      <rPr>
        <b/>
        <sz val="9"/>
        <color rgb="FF08519C"/>
        <rFont val="Calibri"/>
        <family val="2"/>
        <scheme val="minor"/>
      </rPr>
      <t>e/MWh</t>
    </r>
  </si>
  <si>
    <t>reference emission rate A</t>
  </si>
  <si>
    <t>reference emission rate B</t>
  </si>
  <si>
    <t>NG CCCT</t>
  </si>
  <si>
    <r>
      <t>lbCO</t>
    </r>
    <r>
      <rPr>
        <b/>
        <vertAlign val="subscript"/>
        <sz val="9"/>
        <color rgb="FF08519C"/>
        <rFont val="Calibri"/>
        <family val="2"/>
        <scheme val="minor"/>
      </rPr>
      <t>2</t>
    </r>
    <r>
      <rPr>
        <b/>
        <sz val="9"/>
        <color rgb="FF08519C"/>
        <rFont val="Calibri"/>
        <family val="2"/>
        <scheme val="minor"/>
      </rPr>
      <t>e/MWh</t>
    </r>
  </si>
  <si>
    <t>eGRID 2018 national average (CR-507)</t>
  </si>
  <si>
    <t>Table 2 - energy requirement of drying from literature</t>
  </si>
  <si>
    <t>Table 1 - slash (tree crown) as fraction of harvest</t>
  </si>
  <si>
    <t>thinning year</t>
  </si>
  <si>
    <t>How long after planting is forest thinned. Must be less than rotation.</t>
  </si>
  <si>
    <t>thinning mass fraction</t>
  </si>
  <si>
    <t>recoverable fraction of harvest</t>
  </si>
  <si>
    <t>host forest carbon intensity at thin</t>
  </si>
  <si>
    <t>indices of suppression</t>
  </si>
  <si>
    <t>tract 1</t>
  </si>
  <si>
    <t>tract 2</t>
  </si>
  <si>
    <t>tract 3</t>
  </si>
  <si>
    <t>tract 4</t>
  </si>
  <si>
    <t>tract 5</t>
  </si>
  <si>
    <t>tract 6</t>
  </si>
  <si>
    <t>tract 7</t>
  </si>
  <si>
    <t>tract 8</t>
  </si>
  <si>
    <t>tract 9</t>
  </si>
  <si>
    <t>tract 10</t>
  </si>
  <si>
    <t>tract 11</t>
  </si>
  <si>
    <t>tract 12</t>
  </si>
  <si>
    <t>tract 13</t>
  </si>
  <si>
    <t>tract 14</t>
  </si>
  <si>
    <t>tract 15</t>
  </si>
  <si>
    <t>tract 16</t>
  </si>
  <si>
    <t>tract 17</t>
  </si>
  <si>
    <t>tract 18</t>
  </si>
  <si>
    <t>tract 19</t>
  </si>
  <si>
    <t>tract 20</t>
  </si>
  <si>
    <t>tract 21</t>
  </si>
  <si>
    <t>tract 22</t>
  </si>
  <si>
    <t>tract 23</t>
  </si>
  <si>
    <t>tract 24</t>
  </si>
  <si>
    <t>tract 25</t>
  </si>
  <si>
    <t>tract 26</t>
  </si>
  <si>
    <t>tract 27</t>
  </si>
  <si>
    <t>tract 28</t>
  </si>
  <si>
    <t>tract 29</t>
  </si>
  <si>
    <t>tract 30</t>
  </si>
  <si>
    <t>tract 31</t>
  </si>
  <si>
    <t>tract 32</t>
  </si>
  <si>
    <t>tract 33</t>
  </si>
  <si>
    <t>tract 34</t>
  </si>
  <si>
    <t>tract 35</t>
  </si>
  <si>
    <t>tract 36</t>
  </si>
  <si>
    <t>tract 37</t>
  </si>
  <si>
    <t>tract 38</t>
  </si>
  <si>
    <t>tract 39</t>
  </si>
  <si>
    <t>tract 40</t>
  </si>
  <si>
    <t>Same as tract size.</t>
  </si>
  <si>
    <t>years since thinning, tract 1</t>
  </si>
  <si>
    <r>
      <t>This is a HEURISTIC model. The purpose of the model is to compare the impacts of biomass policy choices on long-term greenhouse gas balances. It is NOT to be used to estimate actual quantities of biomass, energy, or GHGs associated with real-world operations. Simplifying assumptions that underlie this model are described in delivery memo NR-031.
The model follows these coding conventions:
1. Positive values of CO</t>
    </r>
    <r>
      <rPr>
        <b/>
        <vertAlign val="subscript"/>
        <sz val="9"/>
        <color rgb="FF08519C"/>
        <rFont val="Calibri"/>
        <family val="2"/>
        <scheme val="minor"/>
      </rPr>
      <t>2</t>
    </r>
    <r>
      <rPr>
        <b/>
        <sz val="9"/>
        <color rgb="FF08519C"/>
        <rFont val="Calibri"/>
        <family val="2"/>
        <scheme val="minor"/>
      </rPr>
      <t xml:space="preserve"> or CO</t>
    </r>
    <r>
      <rPr>
        <b/>
        <vertAlign val="subscript"/>
        <sz val="9"/>
        <color rgb="FF08519C"/>
        <rFont val="Calibri"/>
        <family val="2"/>
        <scheme val="minor"/>
      </rPr>
      <t>2</t>
    </r>
    <r>
      <rPr>
        <b/>
        <sz val="9"/>
        <color rgb="FF08519C"/>
        <rFont val="Calibri"/>
        <family val="2"/>
        <scheme val="minor"/>
      </rPr>
      <t xml:space="preserve">e mean emissions to the atmosphere; negative values mean removals from the atmosphere.
2. Positive values of C represent terrestrial biomass; negative values represent lost or foregone terrestrial biomass.
3. Biomass supporting generation in year </t>
    </r>
    <r>
      <rPr>
        <b/>
        <i/>
        <sz val="9"/>
        <color rgb="FF08519C"/>
        <rFont val="Calibri"/>
        <family val="2"/>
        <scheme val="minor"/>
      </rPr>
      <t>n</t>
    </r>
    <r>
      <rPr>
        <b/>
        <sz val="9"/>
        <color rgb="FF08519C"/>
        <rFont val="Calibri"/>
        <family val="2"/>
        <scheme val="minor"/>
      </rPr>
      <t xml:space="preserve"> is harvested on January 1 of year </t>
    </r>
    <r>
      <rPr>
        <b/>
        <i/>
        <sz val="9"/>
        <color rgb="FF08519C"/>
        <rFont val="Calibri"/>
        <family val="2"/>
        <scheme val="minor"/>
      </rPr>
      <t>n</t>
    </r>
    <r>
      <rPr>
        <b/>
        <sz val="9"/>
        <color rgb="FF08519C"/>
        <rFont val="Calibri"/>
        <family val="2"/>
        <scheme val="minor"/>
      </rPr>
      <t xml:space="preserve">.
4. Power plant operation and associated harvesting begin instantly on January 1 of year 1.
5a. An annual variable in year </t>
    </r>
    <r>
      <rPr>
        <b/>
        <i/>
        <sz val="9"/>
        <color rgb="FF08519C"/>
        <rFont val="Calibri"/>
        <family val="2"/>
        <scheme val="minor"/>
      </rPr>
      <t>n</t>
    </r>
    <r>
      <rPr>
        <b/>
        <sz val="9"/>
        <color rgb="FF08519C"/>
        <rFont val="Calibri"/>
        <family val="2"/>
        <scheme val="minor"/>
      </rPr>
      <t xml:space="preserve"> is the mass or energy flux integrated from January 1 to December 31 of year </t>
    </r>
    <r>
      <rPr>
        <b/>
        <i/>
        <sz val="9"/>
        <color rgb="FF08519C"/>
        <rFont val="Calibri"/>
        <family val="2"/>
        <scheme val="minor"/>
      </rPr>
      <t>n</t>
    </r>
    <r>
      <rPr>
        <b/>
        <sz val="9"/>
        <color rgb="FF08519C"/>
        <rFont val="Calibri"/>
        <family val="2"/>
        <scheme val="minor"/>
      </rPr>
      <t xml:space="preserve">;
5b. A cumulative variable in year </t>
    </r>
    <r>
      <rPr>
        <b/>
        <i/>
        <sz val="9"/>
        <color rgb="FF08519C"/>
        <rFont val="Calibri"/>
        <family val="2"/>
        <scheme val="minor"/>
      </rPr>
      <t>n</t>
    </r>
    <r>
      <rPr>
        <b/>
        <sz val="9"/>
        <color rgb="FF08519C"/>
        <rFont val="Calibri"/>
        <family val="2"/>
        <scheme val="minor"/>
      </rPr>
      <t xml:space="preserve"> is the total mass or energy on December 31 of year </t>
    </r>
    <r>
      <rPr>
        <b/>
        <i/>
        <sz val="9"/>
        <color rgb="FF08519C"/>
        <rFont val="Calibri"/>
        <family val="2"/>
        <scheme val="minor"/>
      </rPr>
      <t>n</t>
    </r>
    <r>
      <rPr>
        <b/>
        <sz val="9"/>
        <color rgb="FF08519C"/>
        <rFont val="Calibri"/>
        <family val="2"/>
        <scheme val="minor"/>
      </rPr>
      <t xml:space="preserve">; and
5c. A state or control variable in year </t>
    </r>
    <r>
      <rPr>
        <b/>
        <i/>
        <sz val="9"/>
        <color rgb="FF08519C"/>
        <rFont val="Calibri"/>
        <family val="2"/>
        <scheme val="minor"/>
      </rPr>
      <t>n</t>
    </r>
    <r>
      <rPr>
        <b/>
        <sz val="9"/>
        <color rgb="FF08519C"/>
        <rFont val="Calibri"/>
        <family val="2"/>
        <scheme val="minor"/>
      </rPr>
      <t xml:space="preserve"> is the value as of December 31 of year </t>
    </r>
    <r>
      <rPr>
        <b/>
        <i/>
        <sz val="9"/>
        <color rgb="FF08519C"/>
        <rFont val="Calibri"/>
        <family val="2"/>
        <scheme val="minor"/>
      </rPr>
      <t>n</t>
    </r>
    <r>
      <rPr>
        <b/>
        <sz val="9"/>
        <color rgb="FF08519C"/>
        <rFont val="Calibri"/>
        <family val="2"/>
        <scheme val="minor"/>
      </rPr>
      <t>.
6. Carbon sequestration on land is computed as a CO</t>
    </r>
    <r>
      <rPr>
        <b/>
        <vertAlign val="subscript"/>
        <sz val="9"/>
        <color rgb="FF08519C"/>
        <rFont val="Calibri"/>
        <family val="2"/>
        <scheme val="minor"/>
      </rPr>
      <t>2</t>
    </r>
    <r>
      <rPr>
        <b/>
        <sz val="9"/>
        <color rgb="FF08519C"/>
        <rFont val="Calibri"/>
        <family val="2"/>
        <scheme val="minor"/>
      </rPr>
      <t xml:space="preserve"> removal ONLY if (a) the carbon is removed from the landscape by the BECCS system or (b) the carbon is in a protected forest. All other carbon sequestration is considered climate-neutral. [Eventually, we may add (c) the carbon is permanently sequestered in soil].
(Coding conventions are NOT the same thing as simplifying assumptions, see the delivery memo NR-031.)</t>
    </r>
  </si>
  <si>
    <t>forest mass remaining after thin</t>
  </si>
  <si>
    <t>index of suppression</t>
  </si>
  <si>
    <t>model month</t>
  </si>
  <si>
    <t>Tract 16 stock</t>
  </si>
  <si>
    <t>thinning response year</t>
  </si>
  <si>
    <t>thin to</t>
  </si>
  <si>
    <t>on Jan.1</t>
  </si>
  <si>
    <t>first yr</t>
  </si>
  <si>
    <t>net seq. is</t>
  </si>
  <si>
    <t>of recovery;</t>
  </si>
  <si>
    <t>harvest rotation, thinning case</t>
  </si>
  <si>
    <t>forest carbon intensity</t>
  </si>
  <si>
    <t>forest carbon intensity with thinning</t>
  </si>
  <si>
    <t>forest carbon intensity at harvest, baseline case</t>
  </si>
  <si>
    <t>thinned forest carbon intensity</t>
  </si>
  <si>
    <t>MgC/ha-yr</t>
  </si>
  <si>
    <t>baseline stock</t>
  </si>
  <si>
    <t>modified stock</t>
  </si>
  <si>
    <t>baseline sequestration</t>
  </si>
  <si>
    <t>modified sequestration</t>
  </si>
  <si>
    <t>unharvested case</t>
  </si>
  <si>
    <t>harvested case</t>
  </si>
  <si>
    <t>baseline growth year</t>
  </si>
  <si>
    <t>modified growth year</t>
  </si>
  <si>
    <t>truncated index of suppression</t>
  </si>
  <si>
    <t>forest carbon intensity at harvest</t>
  </si>
  <si>
    <t>annual demand for land</t>
  </si>
  <si>
    <t>TOTAL</t>
  </si>
  <si>
    <t>stack</t>
  </si>
  <si>
    <t>feedstock transport</t>
  </si>
  <si>
    <t>pellet manufacture &amp; transport</t>
  </si>
  <si>
    <t>fuel extraction, refining &amp; transport</t>
  </si>
  <si>
    <t>cumulative plant requirements</t>
  </si>
  <si>
    <t>annual generation, gross</t>
  </si>
  <si>
    <t>TOTAL uncaptured biogenic</t>
  </si>
  <si>
    <t>Tables 3 &amp; 4 - Foregone Sequestration summaries</t>
  </si>
  <si>
    <r>
      <t>emissions, kgCO</t>
    </r>
    <r>
      <rPr>
        <b/>
        <vertAlign val="subscript"/>
        <sz val="8"/>
        <color theme="1"/>
        <rFont val="Arial Narrow"/>
        <family val="2"/>
      </rPr>
      <t>2</t>
    </r>
    <r>
      <rPr>
        <b/>
        <sz val="8"/>
        <color theme="1"/>
        <rFont val="Arial Narrow"/>
        <family val="2"/>
      </rPr>
      <t>e/MWh</t>
    </r>
  </si>
  <si>
    <t>foregone sequestration risk</t>
  </si>
  <si>
    <t>cum. generation, TWh</t>
  </si>
  <si>
    <t>allocated annual electricity demand</t>
  </si>
  <si>
    <r>
      <t>foregone seq., gCO</t>
    </r>
    <r>
      <rPr>
        <b/>
        <vertAlign val="subscript"/>
        <sz val="9"/>
        <color rgb="FF08519C"/>
        <rFont val="Calibri"/>
        <family val="2"/>
        <scheme val="minor"/>
      </rPr>
      <t>2</t>
    </r>
    <r>
      <rPr>
        <b/>
        <sz val="9"/>
        <color rgb="FF08519C"/>
        <rFont val="Calibri"/>
        <family val="2"/>
        <scheme val="minor"/>
      </rPr>
      <t>e/Wh</t>
    </r>
  </si>
  <si>
    <t>years to sequestration parity:</t>
  </si>
  <si>
    <t>sequestration parity</t>
  </si>
  <si>
    <r>
      <t>cumulative emissions, MgCO</t>
    </r>
    <r>
      <rPr>
        <vertAlign val="subscript"/>
        <sz val="8"/>
        <color theme="0"/>
        <rFont val="Arial Black"/>
        <family val="2"/>
      </rPr>
      <t>2</t>
    </r>
    <r>
      <rPr>
        <sz val="8"/>
        <color theme="0"/>
        <rFont val="Arial Black"/>
        <family val="2"/>
      </rPr>
      <t>e/ha</t>
    </r>
  </si>
  <si>
    <t>source A: Beaupre poplar from Chapman-Richards parameters</t>
  </si>
  <si>
    <t>source B2: Loblolly-shortleaf as Chapman-Richards curve fit to B1</t>
  </si>
  <si>
    <t>source C: user's Chapman-Richards sandbox</t>
  </si>
  <si>
    <t>final growth table referenced by model engine</t>
  </si>
  <si>
    <t>A</t>
  </si>
  <si>
    <t>B2</t>
  </si>
  <si>
    <t>Calculated by month rather than by year in order to produce smoothed graphics.</t>
  </si>
  <si>
    <t>Fraction of total aboveground forest mass felled during each thinning operation.</t>
  </si>
  <si>
    <t>commitment</t>
  </si>
  <si>
    <t>dashboard</t>
  </si>
  <si>
    <t>growth</t>
  </si>
  <si>
    <t>Table 1</t>
  </si>
  <si>
    <t>Tables 3-4</t>
  </si>
  <si>
    <t>Table 5</t>
  </si>
  <si>
    <t>Figures B1-B3</t>
  </si>
  <si>
    <t>lookup</t>
  </si>
  <si>
    <t>decay curve for forestry slash</t>
  </si>
  <si>
    <t>Felling of slash occurs on January 1 of year 1.</t>
  </si>
  <si>
    <t>Annual and cumulative decay emissions are as of December 31 (see coding conventions on sheet 'cover').</t>
  </si>
  <si>
    <t>decay fraction from source NR-557, p.797</t>
  </si>
  <si>
    <t>undecayed bulk</t>
  </si>
  <si>
    <t>remaining bulk</t>
  </si>
  <si>
    <t>fractional decay as of December 31 of each year</t>
  </si>
  <si>
    <t>fraction of slash decaying this year</t>
  </si>
  <si>
    <t>years since slash felled</t>
  </si>
  <si>
    <t>forest age (forest age is also the slash age)</t>
  </si>
  <si>
    <t>carbon lost to slash decay</t>
  </si>
  <si>
    <t>TOTAL carbon lost to slash decay</t>
  </si>
  <si>
    <t>reference tract (used for computing augmented rotation length in thinning harvest type)</t>
  </si>
  <si>
    <t>BECCS sequestration</t>
  </si>
  <si>
    <t>REF sequestration</t>
  </si>
  <si>
    <t>Foregone sequestration, intensive</t>
  </si>
  <si>
    <t>annual values, grouped by source</t>
  </si>
  <si>
    <t>cumulative values, grouped by source</t>
  </si>
  <si>
    <r>
      <t>feedstock drying, TgCO</t>
    </r>
    <r>
      <rPr>
        <b/>
        <u/>
        <vertAlign val="subscript"/>
        <sz val="10"/>
        <color rgb="FF08519C"/>
        <rFont val="Arial Narrow"/>
        <family val="2"/>
        <scheme val="major"/>
      </rPr>
      <t>2</t>
    </r>
    <r>
      <rPr>
        <b/>
        <u/>
        <sz val="10"/>
        <color rgb="FF08519C"/>
        <rFont val="Arial Narrow"/>
        <family val="2"/>
        <scheme val="major"/>
      </rPr>
      <t>e</t>
    </r>
  </si>
  <si>
    <r>
      <t>feedstock transport, TgCO</t>
    </r>
    <r>
      <rPr>
        <b/>
        <u/>
        <vertAlign val="subscript"/>
        <sz val="10"/>
        <color rgb="FF08519C"/>
        <rFont val="Arial Narrow"/>
        <family val="2"/>
        <scheme val="major"/>
      </rPr>
      <t>2</t>
    </r>
    <r>
      <rPr>
        <b/>
        <u/>
        <sz val="10"/>
        <color rgb="FF08519C"/>
        <rFont val="Arial Narrow"/>
        <family val="2"/>
        <scheme val="major"/>
      </rPr>
      <t>e</t>
    </r>
  </si>
  <si>
    <t>annual combustion emissions</t>
  </si>
  <si>
    <r>
      <t>TgCO</t>
    </r>
    <r>
      <rPr>
        <b/>
        <vertAlign val="subscript"/>
        <sz val="9"/>
        <color rgb="FF08519C"/>
        <rFont val="Calibri"/>
        <family val="2"/>
        <scheme val="minor"/>
      </rPr>
      <t>2</t>
    </r>
    <r>
      <rPr>
        <b/>
        <sz val="9"/>
        <color rgb="FF08519C"/>
        <rFont val="Calibri"/>
        <family val="2"/>
        <scheme val="minor"/>
      </rPr>
      <t>e</t>
    </r>
  </si>
  <si>
    <t>pellet mill emissions</t>
  </si>
  <si>
    <t>pellet transport emissions</t>
  </si>
  <si>
    <t>results rollup, BECCS case</t>
  </si>
  <si>
    <t>results rollup, REF case</t>
  </si>
  <si>
    <t>landscape inputs: SRWC</t>
  </si>
  <si>
    <t>landscape inputs: herbaceous crop</t>
  </si>
  <si>
    <t>all landscapes combined, ready for chart</t>
  </si>
  <si>
    <t>commercial harvest rotation</t>
  </si>
  <si>
    <t>This is the UNDERLYING clearcut rotation length. The clearcut is not used for BECCS.</t>
  </si>
  <si>
    <t>commercial harvest rotation, REF case</t>
  </si>
  <si>
    <t>This is the UNDERLYING clearcut rotation length.</t>
  </si>
  <si>
    <t>slash age (slash age is also the forest age)</t>
  </si>
  <si>
    <t>forest carbon at harvest</t>
  </si>
  <si>
    <t>fraction of commercial harvest lost to slash</t>
  </si>
  <si>
    <t>fraction of slash recovered for BECCS</t>
  </si>
  <si>
    <t>landscape inputs: forestry waste</t>
  </si>
  <si>
    <t>slash carbon recovered for BECCS</t>
  </si>
  <si>
    <t>gross demand for land</t>
  </si>
  <si>
    <t>slash carbon left in forest, BECCS case</t>
  </si>
  <si>
    <t>slash carbon left in forest, REF case</t>
  </si>
  <si>
    <r>
      <t>net sequestration, TgCO</t>
    </r>
    <r>
      <rPr>
        <b/>
        <u/>
        <vertAlign val="subscript"/>
        <sz val="10"/>
        <color rgb="FF08519C"/>
        <rFont val="Arial Narrow"/>
        <family val="2"/>
        <scheme val="major"/>
      </rPr>
      <t>2</t>
    </r>
    <r>
      <rPr>
        <b/>
        <u/>
        <sz val="10"/>
        <color rgb="FF08519C"/>
        <rFont val="Arial Narrow"/>
        <family val="2"/>
        <scheme val="major"/>
      </rPr>
      <t>e</t>
    </r>
  </si>
  <si>
    <r>
      <t>net residue decay, TgCO</t>
    </r>
    <r>
      <rPr>
        <b/>
        <u/>
        <vertAlign val="subscript"/>
        <sz val="10"/>
        <color rgb="FF08519C"/>
        <rFont val="Arial Narrow"/>
        <family val="2"/>
        <scheme val="major"/>
      </rPr>
      <t>2</t>
    </r>
    <r>
      <rPr>
        <b/>
        <u/>
        <sz val="10"/>
        <color rgb="FF08519C"/>
        <rFont val="Arial Narrow"/>
        <family val="2"/>
        <scheme val="major"/>
      </rPr>
      <t>e</t>
    </r>
  </si>
  <si>
    <t>landscape inputs: agricultural waste</t>
  </si>
  <si>
    <t>LOG</t>
  </si>
  <si>
    <t>THIN</t>
  </si>
  <si>
    <t>HERB</t>
  </si>
  <si>
    <t>AG</t>
  </si>
  <si>
    <t>MILL</t>
  </si>
  <si>
    <t>After field drying.</t>
  </si>
  <si>
    <t>removed for BECCS feedstock</t>
  </si>
  <si>
    <t>to field decay</t>
  </si>
  <si>
    <t>annual residue, BECCS</t>
  </si>
  <si>
    <t>annual residue, REF</t>
  </si>
  <si>
    <t>Total</t>
  </si>
  <si>
    <t>multi-year decay and sequestration - HERB harvest type</t>
  </si>
  <si>
    <t>multi-year decay and sequestration - SRWC harvest type</t>
  </si>
  <si>
    <t>BECCS harvest residue</t>
  </si>
  <si>
    <t>multi-year decay and sequestration - LOG harvest type</t>
  </si>
  <si>
    <t>multi-year decay and sequestration - THIN harvest type</t>
  </si>
  <si>
    <t>BECCS residue decay</t>
  </si>
  <si>
    <t>REF residue decay</t>
  </si>
  <si>
    <t>multi-year decay and sequestration - SLASH harvest type</t>
  </si>
  <si>
    <t>SLASH</t>
  </si>
  <si>
    <t>Figures B1-B3: Foregone sequestration on single tract, THIN harvest type</t>
  </si>
  <si>
    <r>
      <t xml:space="preserve">event     </t>
    </r>
    <r>
      <rPr>
        <b/>
        <sz val="9"/>
        <color rgb="FFC00000"/>
        <rFont val="Calibri"/>
        <family val="2"/>
        <scheme val="minor"/>
      </rPr>
      <t xml:space="preserve">search this way → to find management changes </t>
    </r>
    <r>
      <rPr>
        <b/>
        <sz val="9"/>
        <color rgb="FFC00000"/>
        <rFont val="Calibri"/>
        <family val="2"/>
      </rPr>
      <t>→</t>
    </r>
  </si>
  <si>
    <t>yield</t>
  </si>
  <si>
    <t>switchgrass, U.S. Southeast, min.</t>
  </si>
  <si>
    <t>dry t/ha</t>
  </si>
  <si>
    <t>Table 4.11, p.113</t>
  </si>
  <si>
    <t>switchgrass, U.S. Southeast, max.</t>
  </si>
  <si>
    <t>weeping lovegrass, U.S. Southeast, min.</t>
  </si>
  <si>
    <t>weeping lovegrass, U.S. Southeast, max.</t>
  </si>
  <si>
    <t>napier grass, U.S. Southeast, min.</t>
  </si>
  <si>
    <t>napier grass, U.S. Southeast, max.</t>
  </si>
  <si>
    <t>This is the GROSS yield of the host crop.</t>
  </si>
  <si>
    <t>corn stover</t>
  </si>
  <si>
    <t>p.2214</t>
  </si>
  <si>
    <t>ratio of grain to gross yield</t>
  </si>
  <si>
    <t>[mass basis]</t>
  </si>
  <si>
    <t>NR-588</t>
  </si>
  <si>
    <t>NR-589</t>
  </si>
  <si>
    <t>Table 1, p.129. Dry basis.</t>
  </si>
  <si>
    <t>grain yield, "low cut" scenario</t>
  </si>
  <si>
    <t>grain yield, U.S. projected 2030 avg.</t>
  </si>
  <si>
    <t>gross yield, U.S. projected 2030 avg.</t>
  </si>
  <si>
    <t>stover yield, "low cut" scenario</t>
  </si>
  <si>
    <t>nominal harvest index</t>
  </si>
  <si>
    <t>p.130.</t>
  </si>
  <si>
    <t>mg/g</t>
  </si>
  <si>
    <t>Table 2, p.130.</t>
  </si>
  <si>
    <t>Table 8, p.134.</t>
  </si>
  <si>
    <t>gross yield</t>
  </si>
  <si>
    <t>ready for chart</t>
  </si>
  <si>
    <t>extraction &amp; refining</t>
  </si>
  <si>
    <t>baseline depression</t>
  </si>
  <si>
    <t>spreadsheet automation</t>
  </si>
  <si>
    <t>slider outputs</t>
  </si>
  <si>
    <t>residue decay</t>
  </si>
  <si>
    <t>augmented sequestration (-)</t>
  </si>
  <si>
    <t>avoided residue decay (-)</t>
  </si>
  <si>
    <t>TOTAL slider outputs</t>
  </si>
  <si>
    <t>normalized slider outputs</t>
  </si>
  <si>
    <t>n/a</t>
  </si>
  <si>
    <t>% of generation</t>
  </si>
  <si>
    <t>output: cumulative emissions, BECCS case</t>
  </si>
  <si>
    <t>output: cumulative emissions, REF case</t>
  </si>
  <si>
    <t>input: harvest type characteristics</t>
  </si>
  <si>
    <t>hectares</t>
  </si>
  <si>
    <t>% of</t>
  </si>
  <si>
    <t>harvest left</t>
  </si>
  <si>
    <t>in field</t>
  </si>
  <si>
    <t>field to</t>
  </si>
  <si>
    <t>pelletizer</t>
  </si>
  <si>
    <t>mean km</t>
  </si>
  <si>
    <t>landscape inputs: clearcutting (pulpwood plantation)</t>
  </si>
  <si>
    <t>n.a.</t>
  </si>
  <si>
    <t>landscape inputs: industrial waste</t>
  </si>
  <si>
    <t>TOTAL hectares required:</t>
  </si>
  <si>
    <t>NR-030(i)</t>
  </si>
  <si>
    <t>Release Notes</t>
  </si>
  <si>
    <t>release</t>
  </si>
  <si>
    <t>date</t>
  </si>
  <si>
    <t>who</t>
  </si>
  <si>
    <t>RH</t>
  </si>
  <si>
    <t>First beta-level release for NRDC internal review.</t>
  </si>
  <si>
    <t>BECCS Emissions Simulator</t>
  </si>
  <si>
    <t>NR-030(j)</t>
  </si>
  <si>
    <t>Does not include drying, which is computed separately by harvest type.</t>
  </si>
  <si>
    <t>feedstock</t>
  </si>
  <si>
    <t>sawdust</t>
  </si>
  <si>
    <t>m.c. as received</t>
  </si>
  <si>
    <t>m.c. after drying</t>
  </si>
  <si>
    <t>m.c. of pellet</t>
  </si>
  <si>
    <t>not stated</t>
  </si>
  <si>
    <t>Table 1 (cont.), p.675.</t>
  </si>
  <si>
    <t>dryer emissions</t>
  </si>
  <si>
    <t>pellet plant feedstock m.c.</t>
  </si>
  <si>
    <r>
      <rPr>
        <b/>
        <i/>
        <sz val="9"/>
        <color rgb="FF08519C"/>
        <rFont val="Calibri"/>
        <family val="2"/>
        <scheme val="minor"/>
      </rPr>
      <t>After</t>
    </r>
    <r>
      <rPr>
        <b/>
        <sz val="9"/>
        <color rgb="FF08519C"/>
        <rFont val="Calibri"/>
        <family val="2"/>
        <scheme val="minor"/>
      </rPr>
      <t xml:space="preserve"> drying.</t>
    </r>
  </si>
  <si>
    <r>
      <t>mass H</t>
    </r>
    <r>
      <rPr>
        <b/>
        <vertAlign val="subscript"/>
        <sz val="9"/>
        <color rgb="FF08519C"/>
        <rFont val="Calibri"/>
        <family val="2"/>
        <scheme val="minor"/>
      </rPr>
      <t>2</t>
    </r>
    <r>
      <rPr>
        <b/>
        <sz val="9"/>
        <color rgb="FF08519C"/>
        <rFont val="Calibri"/>
        <family val="2"/>
        <scheme val="minor"/>
      </rPr>
      <t>O evaporated</t>
    </r>
  </si>
  <si>
    <t>d.b.</t>
  </si>
  <si>
    <t>MJ/kg d.b.</t>
  </si>
  <si>
    <t>average energy demand of drying</t>
  </si>
  <si>
    <t>Theck &amp; Obernberger 2004</t>
  </si>
  <si>
    <r>
      <t>J/gH</t>
    </r>
    <r>
      <rPr>
        <vertAlign val="subscript"/>
        <sz val="9"/>
        <color rgb="FF08519C"/>
        <rFont val="Calibri"/>
        <family val="2"/>
        <scheme val="minor"/>
      </rPr>
      <t>2</t>
    </r>
    <r>
      <rPr>
        <b/>
        <sz val="9"/>
        <color rgb="FF08519C"/>
        <rFont val="Calibri"/>
        <family val="2"/>
        <scheme val="minor"/>
      </rPr>
      <t>O</t>
    </r>
  </si>
  <si>
    <t>J/g</t>
  </si>
  <si>
    <r>
      <t>gH</t>
    </r>
    <r>
      <rPr>
        <b/>
        <vertAlign val="subscript"/>
        <sz val="9"/>
        <color rgb="FF08519C"/>
        <rFont val="Calibri"/>
        <family val="2"/>
        <scheme val="minor"/>
      </rPr>
      <t>2</t>
    </r>
    <r>
      <rPr>
        <b/>
        <sz val="9"/>
        <color rgb="FF08519C"/>
        <rFont val="Calibri"/>
        <family val="2"/>
        <scheme val="minor"/>
      </rPr>
      <t>O/g d.b.</t>
    </r>
  </si>
  <si>
    <t>J/g d.b.</t>
  </si>
  <si>
    <t>MJ/MJ feedstock</t>
  </si>
  <si>
    <t>The dryer fuel must evaporate its own water content, as well.</t>
  </si>
  <si>
    <t>energy intensity of drying</t>
  </si>
  <si>
    <t>annual energy of drying</t>
  </si>
  <si>
    <t>Includes feedstock needed for drying.</t>
  </si>
  <si>
    <t>energy of vaporization</t>
  </si>
  <si>
    <t>starting m.c.</t>
  </si>
  <si>
    <t>NR-590</t>
  </si>
  <si>
    <t>p.6</t>
  </si>
  <si>
    <r>
      <t>mass H</t>
    </r>
    <r>
      <rPr>
        <b/>
        <vertAlign val="subscript"/>
        <sz val="9"/>
        <color rgb="FF08519C"/>
        <rFont val="Calibri"/>
        <family val="2"/>
        <scheme val="minor"/>
      </rPr>
      <t>2</t>
    </r>
    <r>
      <rPr>
        <b/>
        <sz val="9"/>
        <color rgb="FF08519C"/>
        <rFont val="Calibri"/>
        <family val="2"/>
        <scheme val="minor"/>
      </rPr>
      <t>O in green lumber</t>
    </r>
  </si>
  <si>
    <t>m.c. of kiln-dried lumber</t>
  </si>
  <si>
    <t>density of kiln-dried lumber</t>
  </si>
  <si>
    <t>bone dry density of lumber</t>
  </si>
  <si>
    <r>
      <t>mass H</t>
    </r>
    <r>
      <rPr>
        <b/>
        <vertAlign val="subscript"/>
        <sz val="9"/>
        <color rgb="FF08519C"/>
        <rFont val="Calibri"/>
        <family val="2"/>
        <scheme val="minor"/>
      </rPr>
      <t>2</t>
    </r>
    <r>
      <rPr>
        <b/>
        <sz val="9"/>
        <color rgb="FF08519C"/>
        <rFont val="Calibri"/>
        <family val="2"/>
        <scheme val="minor"/>
      </rPr>
      <t>O vaporized</t>
    </r>
  </si>
  <si>
    <t>p.6. There is tremendous ambiguity throughout the paper, about the m.c. of the functional</t>
  </si>
  <si>
    <r>
      <t xml:space="preserve">   unit, 1 m</t>
    </r>
    <r>
      <rPr>
        <b/>
        <vertAlign val="superscript"/>
        <sz val="9"/>
        <color rgb="FF08519C"/>
        <rFont val="Calibri"/>
        <family val="2"/>
        <scheme val="minor"/>
      </rPr>
      <t>3</t>
    </r>
    <r>
      <rPr>
        <b/>
        <sz val="9"/>
        <color rgb="FF08519C"/>
        <rFont val="Calibri"/>
        <family val="2"/>
        <scheme val="minor"/>
      </rPr>
      <t xml:space="preserve"> of "planed dry lumber."</t>
    </r>
  </si>
  <si>
    <t>MJ/Mg lumber</t>
  </si>
  <si>
    <r>
      <t>MJ/Mg H</t>
    </r>
    <r>
      <rPr>
        <b/>
        <vertAlign val="subscript"/>
        <sz val="9"/>
        <color rgb="FF08519C"/>
        <rFont val="Calibri"/>
        <family val="2"/>
        <scheme val="minor"/>
      </rPr>
      <t>2</t>
    </r>
    <r>
      <rPr>
        <b/>
        <sz val="9"/>
        <color rgb="FF08519C"/>
        <rFont val="Calibri"/>
        <family val="2"/>
        <scheme val="minor"/>
      </rPr>
      <t>O</t>
    </r>
  </si>
  <si>
    <r>
      <t>Mg H</t>
    </r>
    <r>
      <rPr>
        <b/>
        <vertAlign val="subscript"/>
        <sz val="9"/>
        <color rgb="FF08519C"/>
        <rFont val="Calibri"/>
        <family val="2"/>
        <scheme val="minor"/>
      </rPr>
      <t>2</t>
    </r>
    <r>
      <rPr>
        <b/>
        <sz val="9"/>
        <color rgb="FF08519C"/>
        <rFont val="Calibri"/>
        <family val="2"/>
        <scheme val="minor"/>
      </rPr>
      <t>O/Mg lumber d.b.</t>
    </r>
  </si>
  <si>
    <t xml:space="preserve">   LHV vs. HHV MATTERS, because the kiln is fired with GREEN feedstock!</t>
  </si>
  <si>
    <t>p.66 (also note three similar sources cited on p.33).</t>
  </si>
  <si>
    <t>energy of vaporization computed from first principles</t>
  </si>
  <si>
    <t>enthalpy of vaporization at 25°C</t>
  </si>
  <si>
    <t>p.66.</t>
  </si>
  <si>
    <t>m.c. entering kiln</t>
  </si>
  <si>
    <t>m.c. leaving kiln</t>
  </si>
  <si>
    <t>Hansen et al 2017</t>
  </si>
  <si>
    <t>Excludes Bergman &amp; Bowe 2007 (outlier)</t>
  </si>
  <si>
    <t>" as percent of theoretical limit</t>
  </si>
  <si>
    <t>Seems almost unbelievably efficient.</t>
  </si>
  <si>
    <t>Add 'releases' tab.</t>
  </si>
  <si>
    <r>
      <t>Compute average J/gH</t>
    </r>
    <r>
      <rPr>
        <b/>
        <vertAlign val="subscript"/>
        <sz val="9"/>
        <color rgb="FF08519C"/>
        <rFont val="Calibri"/>
        <family val="2"/>
        <scheme val="minor"/>
      </rPr>
      <t>2</t>
    </r>
    <r>
      <rPr>
        <b/>
        <sz val="9"/>
        <color rgb="FF08519C"/>
        <rFont val="Calibri"/>
        <family val="2"/>
        <scheme val="minor"/>
      </rPr>
      <t>O kiln energy requirement from multiple publications.</t>
    </r>
  </si>
  <si>
    <t>Note: Herbaceous slash (harvest residue) decay is fast. Hence the BECCS case decay emissions are not modeled in this tab, but computed as an instantaneous value in tab 'HERB'.</t>
  </si>
  <si>
    <t>BECCS users may use the values in column "slash as fraction of gross" as a guideline for specifying harvest types.</t>
  </si>
  <si>
    <t>Values in column "heat energy required for drying" function as a comparator for similar results produced by the BECCS Emissions Simulator.</t>
  </si>
  <si>
    <t>Table 2 is not a BECCS Emissions Simulator output. It is a normalized summary of values from literature.</t>
  </si>
  <si>
    <t>Table 1 is not a BECCS Emissions Simulator output. It is a normalized summary of values from literature.</t>
  </si>
  <si>
    <t>row 3: LOG</t>
  </si>
  <si>
    <t>row 4: THIN</t>
  </si>
  <si>
    <t>row 5: SLASH (unused)</t>
  </si>
  <si>
    <t>row 6: REF afforestation</t>
  </si>
  <si>
    <t>THIN harvest type</t>
  </si>
  <si>
    <t>LOG harvest type</t>
  </si>
  <si>
    <t>heat rate</t>
  </si>
  <si>
    <t>or</t>
  </si>
  <si>
    <t>MJTOmmBtu</t>
  </si>
  <si>
    <t>User's BECCS plant specifications</t>
  </si>
  <si>
    <t>BECCS plant operating data allocated to LOG</t>
  </si>
  <si>
    <t>The carbon stock values in the first section utilize the same growth curve as the LOG harvest type in the model engine.</t>
  </si>
  <si>
    <t>LOG-REF</t>
  </si>
  <si>
    <t>annual sequestration</t>
  </si>
  <si>
    <t>TgC</t>
  </si>
  <si>
    <t>cumulative sequestration</t>
  </si>
  <si>
    <t>landscape touched</t>
  </si>
  <si>
    <t>number of tracts</t>
  </si>
  <si>
    <t>area</t>
  </si>
  <si>
    <t>ea</t>
  </si>
  <si>
    <t>Mha</t>
  </si>
  <si>
    <r>
      <t>MgCO</t>
    </r>
    <r>
      <rPr>
        <b/>
        <vertAlign val="subscript"/>
        <sz val="9"/>
        <color rgb="FF08519C"/>
        <rFont val="Calibri"/>
        <family val="2"/>
        <scheme val="minor"/>
      </rPr>
      <t>2</t>
    </r>
    <r>
      <rPr>
        <b/>
        <sz val="9"/>
        <color rgb="FF08519C"/>
        <rFont val="Calibri"/>
        <family val="2"/>
        <scheme val="minor"/>
      </rPr>
      <t>e/ha</t>
    </r>
  </si>
  <si>
    <t>GRAPH PREP (EXTENSIVE)</t>
  </si>
  <si>
    <t>GRAPH PREP (INTENSIVE)</t>
  </si>
  <si>
    <t>BECCS (LOG harvest type)</t>
  </si>
  <si>
    <t>BECCS plant operating data allocated to THIN</t>
  </si>
  <si>
    <t>Figure 3 - clearcut plot stock in temporal context, MgC/ha</t>
  </si>
  <si>
    <t>Figures 4 &amp; 5 - clearcut plot new stock in temporal context, MgC/ha</t>
  </si>
  <si>
    <r>
      <t>Figure 6 - cumulative emissions, MgCO</t>
    </r>
    <r>
      <rPr>
        <vertAlign val="subscript"/>
        <sz val="8"/>
        <color theme="0"/>
        <rFont val="Arial Black"/>
        <family val="2"/>
      </rPr>
      <t>2</t>
    </r>
    <r>
      <rPr>
        <sz val="8"/>
        <color theme="0"/>
        <rFont val="Arial Black"/>
        <family val="2"/>
      </rPr>
      <t>e/ha</t>
    </r>
  </si>
  <si>
    <t>☜ "100% " is recommended to make interpretation more intuitive.</t>
  </si>
  <si>
    <t>Figure 7, Foregone Sequestration on Multiple Tracts, LOG harvest type</t>
  </si>
  <si>
    <t>Requested by Sami Yassa 2021-07-19.</t>
  </si>
  <si>
    <t>harvest type mix, DRAX 2020</t>
  </si>
  <si>
    <t>wood industry residues</t>
  </si>
  <si>
    <t>branches &amp; tops</t>
  </si>
  <si>
    <t>thinnings</t>
  </si>
  <si>
    <t>low-grade roundwood</t>
  </si>
  <si>
    <t>aboriculture</t>
  </si>
  <si>
    <t>agriculture</t>
  </si>
  <si>
    <t>NR-591</t>
  </si>
  <si>
    <t>p.54. Mg presumably wet-basis?</t>
  </si>
  <si>
    <t>risk at DRAX</t>
  </si>
  <si>
    <r>
      <t>kgCO</t>
    </r>
    <r>
      <rPr>
        <b/>
        <vertAlign val="subscript"/>
        <sz val="9"/>
        <color rgb="FF08519C"/>
        <rFont val="Calibri"/>
        <family val="2"/>
        <scheme val="minor"/>
      </rPr>
      <t>2</t>
    </r>
    <r>
      <rPr>
        <b/>
        <sz val="9"/>
        <color rgb="FF08519C"/>
        <rFont val="Calibri"/>
        <family val="2"/>
        <scheme val="minor"/>
      </rPr>
      <t>e/MWh</t>
    </r>
  </si>
  <si>
    <t>nominal foregone sequestration risk</t>
  </si>
  <si>
    <t>BECCS Emission Simulator results as published</t>
  </si>
  <si>
    <t>THIN nominal risk</t>
  </si>
  <si>
    <t>LOG nominal risk</t>
  </si>
  <si>
    <t>NR-040a</t>
  </si>
  <si>
    <t>harvest type mix, DRAX 2020 (conformed)</t>
  </si>
  <si>
    <t>harvest type U.S. mix, DRAX 2020</t>
  </si>
  <si>
    <t>harvest type global mix, DRAX 2020</t>
  </si>
  <si>
    <t>Conformed to support draft Report NR-040a.</t>
  </si>
  <si>
    <t>tsHERB</t>
  </si>
  <si>
    <t>tsSRWC</t>
  </si>
  <si>
    <t>tsLOG</t>
  </si>
  <si>
    <t>tsTHIN</t>
  </si>
  <si>
    <t>tsSLASH</t>
  </si>
  <si>
    <t>BECCS rollup</t>
  </si>
  <si>
    <t>REF rollup</t>
  </si>
  <si>
    <t>params</t>
  </si>
  <si>
    <t>decay</t>
  </si>
  <si>
    <t>Figures 3-6</t>
  </si>
  <si>
    <t>Figure 7</t>
  </si>
  <si>
    <t>releases</t>
  </si>
  <si>
    <r>
      <t>CH</t>
    </r>
    <r>
      <rPr>
        <b/>
        <vertAlign val="subscript"/>
        <sz val="9"/>
        <color rgb="FF08519C"/>
        <rFont val="Calibri"/>
        <family val="2"/>
        <scheme val="minor"/>
      </rPr>
      <t>4</t>
    </r>
    <r>
      <rPr>
        <b/>
        <sz val="9"/>
        <color rgb="FF08519C"/>
        <rFont val="Calibri"/>
        <family val="2"/>
        <scheme val="minor"/>
      </rPr>
      <t>/CO</t>
    </r>
    <r>
      <rPr>
        <b/>
        <vertAlign val="subscript"/>
        <sz val="9"/>
        <color rgb="FF08519C"/>
        <rFont val="Calibri"/>
        <family val="2"/>
        <scheme val="minor"/>
      </rPr>
      <t>2</t>
    </r>
    <r>
      <rPr>
        <b/>
        <sz val="9"/>
        <color rgb="FF08519C"/>
        <rFont val="Calibri"/>
        <family val="2"/>
        <scheme val="minor"/>
      </rPr>
      <t xml:space="preserve"> mass ratio</t>
    </r>
  </si>
  <si>
    <t>atomic mass of H</t>
  </si>
  <si>
    <t>loblolly pine (whole tree)</t>
  </si>
  <si>
    <t>NR-593</t>
  </si>
  <si>
    <t>p.23, Table 2.4. From Acquah et al 2016.</t>
  </si>
  <si>
    <t>loblolly pine (bole)</t>
  </si>
  <si>
    <t>p.23, Table 2.4. From Owen et al 2016.</t>
  </si>
  <si>
    <t>loblolly pine (bole, debarked)</t>
  </si>
  <si>
    <t>p.23, Table 2.4. From Taylor et al 2012.</t>
  </si>
  <si>
    <r>
      <t>p.23, Table 2.4. From Mas</t>
    </r>
    <r>
      <rPr>
        <b/>
        <sz val="9"/>
        <color rgb="FF08519C"/>
        <rFont val="Calibri"/>
        <family val="2"/>
      </rPr>
      <t>iá et al 2007.</t>
    </r>
  </si>
  <si>
    <t>p.23, Table 2.4. From Cutshall et al 2011.</t>
  </si>
  <si>
    <t>source B1: Loblolly-shortleaf from numerical analysis (USDA Forest Vegetation Simulator - source A104 Table A39)</t>
  </si>
  <si>
    <t>[fit to A104]</t>
  </si>
  <si>
    <t>m.c. as rec'd</t>
  </si>
  <si>
    <t>at kiln</t>
  </si>
  <si>
    <t>dry basis</t>
  </si>
  <si>
    <t>by weight d.b.</t>
  </si>
  <si>
    <t>foregone sequestration risk at Drax</t>
  </si>
  <si>
    <t>gross land area</t>
  </si>
  <si>
    <t>NR-597</t>
  </si>
  <si>
    <t>000 acres</t>
  </si>
  <si>
    <t>forestland</t>
  </si>
  <si>
    <t>timberland</t>
  </si>
  <si>
    <t>planted</t>
  </si>
  <si>
    <t>natural origin</t>
  </si>
  <si>
    <t>TOTAL timberland</t>
  </si>
  <si>
    <t>reserved</t>
  </si>
  <si>
    <t>other</t>
  </si>
  <si>
    <t>TOTAL forestland</t>
  </si>
  <si>
    <t>p.71, Table 1a</t>
  </si>
  <si>
    <t>U.S. Southeast (published units)</t>
  </si>
  <si>
    <t>U.S. Southeast (SI units)</t>
  </si>
  <si>
    <t>global electricity consumption</t>
  </si>
  <si>
    <t>IEA https://www.iea.org/fuels-and-technologies/electricity</t>
  </si>
  <si>
    <t>aTW</t>
  </si>
  <si>
    <t>aGW</t>
  </si>
  <si>
    <t>Figures 3-6: Foregone sequestration on single tract, LOG harvest type</t>
  </si>
  <si>
    <t>(REF) heat rate</t>
  </si>
  <si>
    <r>
      <t>GWP CH</t>
    </r>
    <r>
      <rPr>
        <b/>
        <vertAlign val="subscript"/>
        <sz val="9"/>
        <color rgb="FF08519C"/>
        <rFont val="Calibri"/>
        <family val="2"/>
        <scheme val="minor"/>
      </rPr>
      <t>4</t>
    </r>
    <r>
      <rPr>
        <b/>
        <sz val="9"/>
        <color rgb="FF08519C"/>
        <rFont val="Calibri"/>
        <family val="2"/>
        <scheme val="minor"/>
      </rPr>
      <t xml:space="preserve"> (mass-basis)</t>
    </r>
  </si>
  <si>
    <r>
      <t>GWP N</t>
    </r>
    <r>
      <rPr>
        <b/>
        <vertAlign val="subscript"/>
        <sz val="9"/>
        <color rgb="FF08519C"/>
        <rFont val="Calibri"/>
        <family val="2"/>
        <scheme val="minor"/>
      </rPr>
      <t>2</t>
    </r>
    <r>
      <rPr>
        <b/>
        <sz val="9"/>
        <color rgb="FF08519C"/>
        <rFont val="Calibri"/>
        <family val="2"/>
        <scheme val="minor"/>
      </rPr>
      <t>O (mass-basis)</t>
    </r>
  </si>
  <si>
    <r>
      <t>GWP CH</t>
    </r>
    <r>
      <rPr>
        <b/>
        <vertAlign val="subscript"/>
        <sz val="9"/>
        <color rgb="FF08519C"/>
        <rFont val="Calibri"/>
        <family val="2"/>
        <scheme val="minor"/>
      </rPr>
      <t>4</t>
    </r>
    <r>
      <rPr>
        <b/>
        <sz val="9"/>
        <color rgb="FF08519C"/>
        <rFont val="Calibri"/>
        <family val="2"/>
        <scheme val="minor"/>
      </rPr>
      <t xml:space="preserve"> (atomic carbon-basis)</t>
    </r>
  </si>
  <si>
    <r>
      <t>CO</t>
    </r>
    <r>
      <rPr>
        <b/>
        <vertAlign val="subscript"/>
        <sz val="9"/>
        <color rgb="FF08519C"/>
        <rFont val="Calibri"/>
        <family val="2"/>
        <scheme val="minor"/>
      </rPr>
      <t>2</t>
    </r>
    <r>
      <rPr>
        <b/>
        <sz val="9"/>
        <color rgb="FF08519C"/>
        <rFont val="Calibri"/>
        <family val="2"/>
        <scheme val="minor"/>
      </rPr>
      <t>/C mass ratio</t>
    </r>
  </si>
  <si>
    <r>
      <t>carbon-basis GWP of CH</t>
    </r>
    <r>
      <rPr>
        <b/>
        <vertAlign val="subscript"/>
        <sz val="9"/>
        <color rgb="FF08519C"/>
        <rFont val="Calibri"/>
        <family val="2"/>
        <scheme val="minor"/>
      </rPr>
      <t>4</t>
    </r>
  </si>
  <si>
    <r>
      <t>atomic mass of CH</t>
    </r>
    <r>
      <rPr>
        <b/>
        <vertAlign val="subscript"/>
        <sz val="9"/>
        <color rgb="FF08519C"/>
        <rFont val="Calibri"/>
        <family val="2"/>
        <scheme val="minor"/>
      </rPr>
      <t>4</t>
    </r>
  </si>
  <si>
    <r>
      <t>atomic mass of CO</t>
    </r>
    <r>
      <rPr>
        <b/>
        <vertAlign val="subscript"/>
        <sz val="9"/>
        <color rgb="FF08519C"/>
        <rFont val="Calibri"/>
        <family val="2"/>
        <scheme val="minor"/>
      </rPr>
      <t>2</t>
    </r>
  </si>
  <si>
    <t>Appendix D: landscape scale comparators</t>
  </si>
  <si>
    <t>NR-030(k)</t>
  </si>
  <si>
    <t>Appendix D</t>
  </si>
  <si>
    <t>[none]</t>
  </si>
  <si>
    <t>Various minor corrections responding to peer review by T Buchholz, D Quiggin, P Miller &amp; J Skene. Tighten conformance to nomenclature &amp; arrangement of Study Report NR-040(c). Assemble bibliography and create formal release for reference by NRDC Science Center.</t>
  </si>
  <si>
    <t>HA-546</t>
  </si>
  <si>
    <t>NR-598</t>
  </si>
  <si>
    <t>CR-507</t>
  </si>
  <si>
    <t>James E. Smith et al., “Methods for Calculating Forest Ecosystem and Harvested Carbon with Standard Estimates for Forest Types of the United States,” General Technical Report (Forest Service, United States Department of Agriculture (USDA), 2006), http://www.actrees.org/files/Research/ne_gtr343.pdf</t>
  </si>
  <si>
    <t>Thomas J Glover and Richard A Young, Desk Ref, 4th Ed. (Littleton, Colo.: Sequoia Pub., 2012)</t>
  </si>
  <si>
    <t>Energy Efficiency &amp; Renewable Energy, “EPAct Transportation Regulatory Activities: Fuel Conversion Factors to Gasoline Gallon Equivalents,” U.S. Department of Energy, 2013, http://www1.eere.energy.gov/vehiclesandfuels/epact/fuel_conversion_factors.html</t>
  </si>
  <si>
    <t>U.S. EPA, “EGRID Summary Tables 2018” (U.S. EPA, March 9, 2020), https://www.epa.gov/egrid/download-data</t>
  </si>
  <si>
    <t>U.S. EPA Center for Corporate Climate Leadership, “Emission Factors for Greenhouse Gas Inventories” (U.S. Environmental Protection Agency, November 19, 2015), https://www.epa.gov/sites/production/files/2015-12/documents/emission-factors_nov_2015.pdf</t>
  </si>
  <si>
    <t>William M. Haynes and David R. Lide, eds., CRC Handbook of Chemistry and Physics: A Ready-Reference Book of Chemical and Physical Data, 94. ed., 2013–2014 (Boca Raton, Fla.: CRC Press, 2013)</t>
  </si>
  <si>
    <t>Donald L. Klass, Biomass for Renewable Energy, Fuels, and Chemicals (San Diego: Academic Press, 1998)</t>
  </si>
  <si>
    <t>William H. Schlesinger and Ronald Amundson, “Managing for Soil Carbon Sequestration: Let’s Get Realistic,” Global Change Biology 25, no. 2 (February 2019): 386–89, https://doi.org/10.1111/gcb.14478</t>
  </si>
  <si>
    <t>Eric Meier, Wood!: Identifying and Using Hundreds of Woods Worldwide, 2016</t>
  </si>
  <si>
    <t>Steef V. Hanssen et al., “Wood Pellets, What Else? Greenhouse Gas Parity Times of European Electricity from Wood Pellets Produced in the South-Eastern United States Using Different Softwood Feedstocks,” GCB Bioenergy 9, no. 9 (September 2017): 1406–22, https://doi.org/10.1111/gcbb.12426</t>
  </si>
  <si>
    <t>L V Pienaar, “An Approximation of Basal Area Growth after Thinning Based on Growth in Unthinned Plantations,” Forest Science 25, no. 2 (1979): 223–32</t>
  </si>
  <si>
    <t>Xiaoyun Qin et al., “Switchgrass as an Alternate Feedstock for Power Generation: Integrated Environmental, Energy, and Economic Life-Cycle Analysis,” February 15, 2005</t>
  </si>
  <si>
    <t>Charles Ray, “Kiln Drying Impact on Climate Change” (New England Kiln Drying Association, December 18, 2019)</t>
  </si>
  <si>
    <t>Thomas L. Eberhardt, Joseph Dahlen, and Laurence Schimleck, “Species Comparison of the Physical Properties of Loblolly and Slash Pine Wood and Bark,” Canadian Journal of Forest Research 47, no. 11 (November 2017): 1495–1505, https://doi.org/10.1139/cjfr-2017-0091</t>
  </si>
  <si>
    <t>Bowe Bergman, “Environmental Impact of Producing Hardwood Lumber Using Life-Cycle Inventory,” WOOD AND FIBER SCIENCE 40 (2008): 11</t>
  </si>
  <si>
    <t>Augusto Uasuf, “Economic and Environmental Assessment of an International Wood Pellets Supply Chain: A Case Study of Wood Pellets Export from Northeast Argentina to Europe,” 2010</t>
  </si>
  <si>
    <t>Gerold Thek and Ingwald Obernberger, “Wood Pellet Production Costs under Austrian and in Comparison to Swedish Framework Conditions,” Biomass and Bioenergy 27, no. 6 (December 2004): 671–93, https://doi.org/10.1016/j.biombioe.2003.07.007</t>
  </si>
  <si>
    <t>Natural Resources Canada, “Primer for Solid Biofuels: Definitions, Classes/Grades and Fuel Properties,” Solid Biofuels Bulletin No. 2 (Natural Resources Canada, n.d.)</t>
  </si>
  <si>
    <t>BL Barber and DH Van Lear, “Weight Loss and Nutrient Dynamics in Decomposing Woody Loblolly Pine Logging Slash,” Soil Science Society of America Journal 48, no. 4 (1984): 906–10</t>
  </si>
  <si>
    <t>Dale D Wade, Estimating Slash Quantity from Standing Loblolly Pine, vol. 125 (Southeastern Forest Experiment Station, US Department of Agriculture, Forest …, 1969)</t>
  </si>
  <si>
    <t>European Commission. Joint Research Centre., The Use of Woody Biomass for Energy Production in the EU. (LU: Publications Office, 2021), https://data.europa.eu/doi/10.2760/831621</t>
  </si>
  <si>
    <t>Chris Schnepf et al., “Managing Organic Debris for Forest Health,” Pacific Northwest Extension (University of Idaho, 2009)</t>
  </si>
  <si>
    <t>Kanwarpal S. Dhugga, “Maize Biomass Yield and Composition for Biofuels,” Crop Science 47, no. 6 (November 2007): 2211–27, https://doi.org/10.2135/cropsci2007.05.0299</t>
  </si>
  <si>
    <t>R Hoskinson et al., “Engineering, Nutrient Removal, and Feedstock Conversion Evaluations of Four Corn Stover Harvest Scenarios,” Biomass and Bioenergy 31, no. 2–3 (February 2007): 126–36, https://doi.org/10.1016/j.biombioe.2006.07.006</t>
  </si>
  <si>
    <t>Richard Bergman and Scott Bowe, “Life-Cycle Inventory of Hardwood Lumber Manufacturing in the Northeast and North Central United States,” Phase II Final Report Module C, CORRIM (University of Washington, January 2008)</t>
  </si>
  <si>
    <t>Philip Cox, “Driven by Our Purpose: Drax Group Plc Annual Report and Accounts 2020” (Drax Group PLC, 2021)</t>
  </si>
  <si>
    <t>Thomas Loxley, “Within Tree Fuel Quality of Loblolly Pine” (Auburn University, 2018)</t>
  </si>
  <si>
    <t>Sonja N. Oswalt et al., “Forest Resources of the United States, 2017: A Technical Document Supporting the Forest Service 2020 RPA Assessment” (Washington, DC: U.S. Department of Agriculture, Forest Service, March 2019), https://www.fs.usda.gov/treesearch/pubs/57903</t>
  </si>
  <si>
    <t>Rolf Bungart and Reinhard F. Hüttl, “Growth Dynamics and Biomass Accumulation of 8-Year-Old Hybrid Poplar Clones in a Short-Rotation Plantation on a Clayey-Sandy Mining Substrate with Respect to Plant Nutrition and Water Budget,” European Journal of Forest Research 123, no. 2 (2004): 105–15</t>
  </si>
  <si>
    <t>Greenhouse Gas Protocol, “Global Warming Potentials” (World Resources Institute, 2016).</t>
  </si>
  <si>
    <t>BECCS energy demand</t>
  </si>
  <si>
    <t>Boundary Dam 3</t>
  </si>
  <si>
    <t>NR-600</t>
  </si>
  <si>
    <t>decrease in power output, Shand retrofit design</t>
  </si>
  <si>
    <t>p.63; adds load of reclaimer</t>
  </si>
  <si>
    <t>MEA typical</t>
  </si>
  <si>
    <t>NR-601</t>
  </si>
  <si>
    <t>p.653 (includes four confirming citations)</t>
  </si>
  <si>
    <t>efficiency penalty</t>
  </si>
  <si>
    <t>%-pts</t>
  </si>
  <si>
    <t>capture rate, post-combustion carbon capture</t>
  </si>
  <si>
    <t>energy demand, compression transport &amp; injection</t>
  </si>
  <si>
    <t>p.659. Citing Cifre et al.</t>
  </si>
  <si>
    <t>efficiency penalty, MEA</t>
  </si>
  <si>
    <t>efficiency penalty, membrane</t>
  </si>
  <si>
    <t>energy demand, post-combustion 90% capture</t>
  </si>
  <si>
    <t>p.660, Table 3. Citing Maas et al.</t>
  </si>
  <si>
    <t>p.658. Citing Oexmann 2011.</t>
  </si>
  <si>
    <t>p.658. Citing Ramezan 2007.</t>
  </si>
  <si>
    <t>p.63.</t>
  </si>
  <si>
    <t>Slide 11</t>
  </si>
  <si>
    <t>base case efficiency penalty</t>
  </si>
  <si>
    <t>penalty reduction through optimization</t>
  </si>
  <si>
    <t>Slide 20</t>
  </si>
  <si>
    <t>NR-602</t>
  </si>
  <si>
    <t>NR-603</t>
  </si>
  <si>
    <t>increase in heat rate, new coal plant (MIN)</t>
  </si>
  <si>
    <t>increase in heat rate, new coal plant (MAX)</t>
  </si>
  <si>
    <t>p.151, Table 3.7.</t>
  </si>
  <si>
    <t>increase in heat rate, advanced coal (MIN)</t>
  </si>
  <si>
    <t>increase in heat rate, advanced coal (MAX)</t>
  </si>
  <si>
    <t>p.164, Table 3.13.</t>
  </si>
  <si>
    <t>p.16, Table 2.</t>
  </si>
  <si>
    <t>increase in heat rate, existing coal</t>
  </si>
  <si>
    <t>NR-605</t>
  </si>
  <si>
    <t>increase in heat rate, new supercritical coal</t>
  </si>
  <si>
    <t>increase in heat rate, new oxy-coal</t>
  </si>
  <si>
    <t>reference efficiency</t>
  </si>
  <si>
    <t>Slide 4</t>
  </si>
  <si>
    <t>NR-606</t>
  </si>
  <si>
    <t>p.17</t>
  </si>
  <si>
    <t>efficiency penalty, MEA (MIN)</t>
  </si>
  <si>
    <t>efficiency penalty, MEA (MAX)</t>
  </si>
  <si>
    <t>efficiency penalty, MEA (NOM)</t>
  </si>
  <si>
    <t>efficiency penalty, advanced technology</t>
  </si>
  <si>
    <t>p.18</t>
  </si>
  <si>
    <t>capture loss</t>
  </si>
  <si>
    <t>Shand design alternative</t>
  </si>
  <si>
    <t>pp.87-88.</t>
  </si>
  <si>
    <t>carbon capture efficiency</t>
  </si>
  <si>
    <t>pellet carbon lost</t>
  </si>
  <si>
    <t>pellet mass that is carbon</t>
  </si>
  <si>
    <r>
      <t>emissions, tCO</t>
    </r>
    <r>
      <rPr>
        <vertAlign val="subscript"/>
        <sz val="9"/>
        <color theme="1"/>
        <rFont val="Calibri"/>
        <family val="2"/>
        <scheme val="minor"/>
      </rPr>
      <t>2</t>
    </r>
    <r>
      <rPr>
        <sz val="9"/>
        <color theme="1"/>
        <rFont val="Calibri"/>
        <family val="2"/>
        <scheme val="minor"/>
      </rPr>
      <t>e/t pellets</t>
    </r>
  </si>
  <si>
    <t>Table 5 is not a BECCS Emissions Simulator output. It is a normalized summary of capture loss estimates.</t>
  </si>
  <si>
    <t>-----------</t>
  </si>
  <si>
    <t>Table 6 - Uncaptured Biogenic Emissions Summary</t>
  </si>
  <si>
    <t>HHV basis</t>
  </si>
  <si>
    <t>CC energy penalty</t>
  </si>
  <si>
    <t>increase in heat rate</t>
  </si>
  <si>
    <t>efficiency without CC</t>
  </si>
  <si>
    <t>net efficiency</t>
  </si>
  <si>
    <t>(REF) avg. heat rate of U.S. coal plant</t>
  </si>
  <si>
    <t>EIA Electric Power Annual</t>
  </si>
  <si>
    <t>Btu/kWh</t>
  </si>
  <si>
    <t>(REF) avg. efficiency of U.S. coal plant</t>
  </si>
  <si>
    <t>(REF) 90th percentile efficiency of U.S. coal plant</t>
  </si>
  <si>
    <t>NR-607</t>
  </si>
  <si>
    <t>p.15, Table 2.</t>
  </si>
  <si>
    <t>Live version of table (use to roll up results under different plant heat rates).</t>
  </si>
  <si>
    <t>Hard-coded version of table</t>
  </si>
  <si>
    <t>MJ/t</t>
  </si>
  <si>
    <r>
      <t>tCO</t>
    </r>
    <r>
      <rPr>
        <b/>
        <vertAlign val="subscript"/>
        <sz val="8"/>
        <color theme="1"/>
        <rFont val="Arial Narrow"/>
        <family val="2"/>
      </rPr>
      <t>2</t>
    </r>
    <r>
      <rPr>
        <b/>
        <sz val="8"/>
        <color theme="1"/>
        <rFont val="Arial Narrow"/>
        <family val="2"/>
      </rPr>
      <t>e/mmBtu</t>
    </r>
  </si>
  <si>
    <t>CCS efficiency penalty</t>
  </si>
  <si>
    <t>Table C1x: LOG harvest type, integrated carbon capture (LIVE table)</t>
  </si>
  <si>
    <t>Table C2x: THIN harvest type, integrated carbon capture (LIVE table)</t>
  </si>
  <si>
    <t>Table C1: LOG harvest type, integrated carbon capture (hard coded table)</t>
  </si>
  <si>
    <t>Table C2: THIN harvest type, integrated carbon capture (hard coded table)</t>
  </si>
  <si>
    <t>Table C3: LOG harvest type, segregated efficiency penalty</t>
  </si>
  <si>
    <t>Table C4: THIN harvest type, segregated efficiency penalty</t>
  </si>
  <si>
    <t>Tables C1-C4 - Alternative Presentation of Results</t>
  </si>
  <si>
    <t>values in this row are copied from Table C1x above</t>
  </si>
  <si>
    <t>values in this row are copied from Table C2x above</t>
  </si>
  <si>
    <t>Tables C1-C4</t>
  </si>
  <si>
    <t>stack emissions without CCS</t>
  </si>
  <si>
    <t>Requested by Nathanael Greene 2021-08-23.</t>
  </si>
  <si>
    <t>LOG pellets</t>
  </si>
  <si>
    <t>THIN pellets</t>
  </si>
  <si>
    <t>emission rate of pellets</t>
  </si>
  <si>
    <t>TJTOmmBtu</t>
  </si>
  <si>
    <r>
      <t>tCO</t>
    </r>
    <r>
      <rPr>
        <b/>
        <vertAlign val="subscript"/>
        <sz val="9"/>
        <color rgb="FF08519C"/>
        <rFont val="Calibri"/>
        <family val="2"/>
        <scheme val="minor"/>
      </rPr>
      <t>2</t>
    </r>
    <r>
      <rPr>
        <b/>
        <sz val="9"/>
        <color rgb="FF08519C"/>
        <rFont val="Calibri"/>
        <family val="2"/>
        <scheme val="minor"/>
      </rPr>
      <t>e/mmBtu</t>
    </r>
  </si>
  <si>
    <t>emission rate of prime mover</t>
  </si>
  <si>
    <t>stack emissions before carbon capture</t>
  </si>
  <si>
    <t>at the prime mover's heat rate</t>
  </si>
  <si>
    <t>at the CCS plant heat rate</t>
  </si>
  <si>
    <r>
      <t xml:space="preserve">with addenda to support Report NR-040(f),
</t>
    </r>
    <r>
      <rPr>
        <b/>
        <i/>
        <sz val="14"/>
        <color rgb="FF08519C"/>
        <rFont val="Arial Narrow"/>
        <family val="2"/>
        <scheme val="major"/>
      </rPr>
      <t>Uncaptured Biogenic Emissions of BECCS Fueled by Forestry Feedstocks</t>
    </r>
  </si>
  <si>
    <t>NR-030(m)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</si>
</sst>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3">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
    <numFmt numFmtId="166" formatCode="#,##0.00000"/>
    <numFmt numFmtId="167" formatCode="#,##0.0"/>
    <numFmt numFmtId="168" formatCode="#,##0.000000"/>
    <numFmt numFmtId="169" formatCode="0.0000"/>
    <numFmt numFmtId="170" formatCode="0.000"/>
    <numFmt numFmtId="171" formatCode="0.00000"/>
    <numFmt numFmtId="172" formatCode="0.0000000"/>
    <numFmt numFmtId="173" formatCode="0.000000"/>
    <numFmt numFmtId="174" formatCode="0.0000E+00"/>
    <numFmt numFmtId="175" formatCode="0.000E+00"/>
    <numFmt numFmtId="176" formatCode="0.0"/>
    <numFmt numFmtId="177" formatCode="#,##0.0000000"/>
    <numFmt numFmtId="178" formatCode="[$-409]mmmm\ d\,\ yyyy;@"/>
    <numFmt numFmtId="179" formatCode="yyyy\-mm\-dd"/>
    <numFmt numFmtId="180" formatCode="[Red]0;[Red]\-0;&quot;o.k.&quot;;[Red]General"/>
    <numFmt numFmtId="181" formatCode="0.0%"/>
    <numFmt numFmtId="182" formatCode="&quot;tract&quot;\ 0"/>
  </numFmts>
  <fonts count="62" x14ac:knownFonts="1">
    <font>
      <b/>
      <sz val="9"/>
      <color rgb="FF08519C"/>
      <name val="Calibri"/>
      <family val="2"/>
      <scheme val="minor"/>
    </font>
    <font>
      <sz val="9"/>
      <color theme="1"/>
      <name val="Calibri"/>
      <family val="2"/>
    </font>
    <font>
      <sz val="11"/>
      <color theme="1"/>
      <name val="Calibri"/>
      <family val="2"/>
      <scheme val="minor"/>
    </font>
    <font>
      <sz val="9"/>
      <name val="Calibri"/>
      <family val="2"/>
      <scheme val="minor"/>
    </font>
    <font>
      <b/>
      <sz val="9"/>
      <color theme="1"/>
      <name val="Calibri"/>
      <family val="2"/>
      <scheme val="minor"/>
    </font>
    <font>
      <sz val="9"/>
      <color theme="1"/>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8"/>
      <color theme="3"/>
      <name val="Arial Narrow"/>
      <family val="2"/>
      <scheme val="major"/>
    </font>
    <font>
      <b/>
      <sz val="11"/>
      <color theme="1"/>
      <name val="Calibri"/>
      <family val="2"/>
      <scheme val="minor"/>
    </font>
    <font>
      <b/>
      <sz val="10"/>
      <color theme="3"/>
      <name val="Calibri"/>
      <family val="2"/>
      <scheme val="minor"/>
    </font>
    <font>
      <b/>
      <vertAlign val="superscript"/>
      <sz val="10"/>
      <color theme="3"/>
      <name val="Calibri"/>
      <family val="2"/>
      <scheme val="minor"/>
    </font>
    <font>
      <b/>
      <sz val="9"/>
      <color rgb="FF0070C0"/>
      <name val="Arial Narrow"/>
      <family val="2"/>
    </font>
    <font>
      <b/>
      <sz val="10"/>
      <color theme="1"/>
      <name val="Calibri"/>
      <family val="2"/>
      <scheme val="minor"/>
    </font>
    <font>
      <b/>
      <i/>
      <sz val="10"/>
      <color rgb="FF08519C"/>
      <name val="Calibri"/>
      <family val="2"/>
      <scheme val="minor"/>
    </font>
    <font>
      <i/>
      <sz val="9"/>
      <color rgb="FF08519C"/>
      <name val="Calibri"/>
      <family val="2"/>
      <scheme val="minor"/>
    </font>
    <font>
      <b/>
      <sz val="10"/>
      <color rgb="FFE31A1C"/>
      <name val="Calibri"/>
      <family val="2"/>
      <scheme val="minor"/>
    </font>
    <font>
      <sz val="8"/>
      <color theme="0"/>
      <name val="Arial Black"/>
      <family val="2"/>
    </font>
    <font>
      <b/>
      <sz val="9"/>
      <color rgb="FF08306B"/>
      <name val="Calibri"/>
      <family val="2"/>
      <scheme val="minor"/>
    </font>
    <font>
      <b/>
      <u/>
      <sz val="10"/>
      <color rgb="FF08519C"/>
      <name val="Arial Narrow"/>
      <family val="2"/>
      <scheme val="major"/>
    </font>
    <font>
      <b/>
      <sz val="8"/>
      <color theme="0"/>
      <name val="Arial Narrow"/>
      <family val="2"/>
    </font>
    <font>
      <b/>
      <u/>
      <sz val="9"/>
      <color theme="11"/>
      <name val="Calibri"/>
      <family val="2"/>
      <scheme val="minor"/>
    </font>
    <font>
      <b/>
      <u/>
      <sz val="9"/>
      <color rgb="FF7030A0"/>
      <name val="Calibri"/>
      <family val="2"/>
      <scheme val="minor"/>
    </font>
    <font>
      <b/>
      <sz val="9"/>
      <color theme="0"/>
      <name val="Calibri"/>
      <family val="2"/>
      <scheme val="minor"/>
    </font>
    <font>
      <b/>
      <sz val="18"/>
      <color rgb="FF08519C"/>
      <name val="Arial Narrow"/>
      <family val="2"/>
      <scheme val="major"/>
    </font>
    <font>
      <b/>
      <sz val="8"/>
      <color rgb="FF08519C"/>
      <name val="Arial Narrow"/>
      <family val="2"/>
      <scheme val="major"/>
    </font>
    <font>
      <b/>
      <sz val="9"/>
      <color rgb="FFFD8D3C"/>
      <name val="Calibri"/>
      <family val="2"/>
      <scheme val="minor"/>
    </font>
    <font>
      <b/>
      <sz val="10"/>
      <color rgb="FF08519C"/>
      <name val="Calibri"/>
      <family val="2"/>
    </font>
    <font>
      <b/>
      <vertAlign val="subscript"/>
      <sz val="9"/>
      <color rgb="FF08519C"/>
      <name val="Calibri"/>
      <family val="2"/>
      <scheme val="minor"/>
    </font>
    <font>
      <b/>
      <sz val="9"/>
      <color rgb="FF08519C"/>
      <name val="Calibri"/>
      <family val="2"/>
    </font>
    <font>
      <b/>
      <vertAlign val="subscript"/>
      <sz val="10"/>
      <color rgb="FF08519C"/>
      <name val="Calibri"/>
      <family val="2"/>
      <scheme val="minor"/>
    </font>
    <font>
      <b/>
      <i/>
      <sz val="9"/>
      <color rgb="FF08519C"/>
      <name val="Calibri"/>
      <family val="2"/>
      <scheme val="minor"/>
    </font>
    <font>
      <b/>
      <sz val="8"/>
      <name val="Calibri"/>
      <family val="2"/>
      <scheme val="minor"/>
    </font>
    <font>
      <b/>
      <vertAlign val="subscript"/>
      <sz val="9"/>
      <color theme="0"/>
      <name val="Calibri"/>
      <family val="2"/>
      <scheme val="minor"/>
    </font>
    <font>
      <b/>
      <vertAlign val="subscript"/>
      <sz val="9"/>
      <color rgb="FF08519C"/>
      <name val="Calibri"/>
      <family val="2"/>
    </font>
    <font>
      <b/>
      <vertAlign val="superscript"/>
      <sz val="9"/>
      <color rgb="FF08519C"/>
      <name val="Calibri"/>
      <family val="2"/>
      <scheme val="minor"/>
    </font>
    <font>
      <b/>
      <vertAlign val="superscript"/>
      <sz val="9"/>
      <color rgb="FF08519C"/>
      <name val="Calibri"/>
      <family val="2"/>
    </font>
    <font>
      <b/>
      <sz val="9"/>
      <color rgb="FFC00000"/>
      <name val="Calibri"/>
      <family val="2"/>
      <scheme val="minor"/>
    </font>
    <font>
      <b/>
      <sz val="8"/>
      <color theme="1"/>
      <name val="Arial Narrow"/>
      <family val="2"/>
    </font>
    <font>
      <vertAlign val="subscript"/>
      <sz val="9"/>
      <color theme="1"/>
      <name val="Calibri"/>
      <family val="2"/>
      <scheme val="minor"/>
    </font>
    <font>
      <vertAlign val="superscript"/>
      <sz val="9"/>
      <color theme="1"/>
      <name val="Calibri"/>
      <family val="2"/>
      <scheme val="minor"/>
    </font>
    <font>
      <b/>
      <i/>
      <sz val="8"/>
      <color theme="1"/>
      <name val="Arial Narrow"/>
      <family val="2"/>
    </font>
    <font>
      <b/>
      <i/>
      <vertAlign val="subscript"/>
      <sz val="8"/>
      <color theme="1"/>
      <name val="Arial Narrow"/>
      <family val="2"/>
    </font>
    <font>
      <b/>
      <vertAlign val="subscript"/>
      <sz val="8"/>
      <color theme="1"/>
      <name val="Arial Narrow"/>
      <family val="2"/>
    </font>
    <font>
      <b/>
      <sz val="9"/>
      <color indexed="81"/>
      <name val="Tahoma"/>
      <family val="2"/>
    </font>
    <font>
      <b/>
      <u/>
      <vertAlign val="subscript"/>
      <sz val="10"/>
      <color rgb="FF08519C"/>
      <name val="Arial Narrow"/>
      <family val="2"/>
      <scheme val="major"/>
    </font>
    <font>
      <vertAlign val="subscript"/>
      <sz val="8"/>
      <color theme="0"/>
      <name val="Arial Black"/>
      <family val="2"/>
    </font>
    <font>
      <b/>
      <sz val="9"/>
      <color rgb="FFC00000"/>
      <name val="Calibri"/>
      <family val="2"/>
    </font>
    <font>
      <vertAlign val="subscript"/>
      <sz val="9"/>
      <color rgb="FF08519C"/>
      <name val="Calibri"/>
      <family val="2"/>
      <scheme val="minor"/>
    </font>
    <font>
      <b/>
      <sz val="14"/>
      <color rgb="FF08519C"/>
      <name val="Arial Narrow"/>
      <family val="2"/>
      <scheme val="major"/>
    </font>
    <font>
      <b/>
      <i/>
      <sz val="14"/>
      <color rgb="FF08519C"/>
      <name val="Arial Narrow"/>
      <family val="2"/>
      <scheme val="maj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CC"/>
      </patternFill>
    </fill>
    <fill>
      <patternFill patternType="solid">
        <fgColor theme="0"/>
        <bgColor indexed="64"/>
      </patternFill>
    </fill>
    <fill>
      <patternFill patternType="solid">
        <fgColor rgb="FFFAFFB9"/>
        <bgColor indexed="64"/>
      </patternFill>
    </fill>
    <fill>
      <patternFill patternType="solid">
        <fgColor rgb="FFFFBDBD"/>
        <bgColor indexed="64"/>
      </patternFill>
    </fill>
    <fill>
      <patternFill patternType="solid">
        <fgColor rgb="FFC00000"/>
        <bgColor indexed="64"/>
      </patternFill>
    </fill>
    <fill>
      <patternFill patternType="solid">
        <fgColor rgb="FFD9D9D9"/>
        <bgColor indexed="64"/>
      </patternFill>
    </fill>
    <fill>
      <patternFill patternType="solid">
        <fgColor rgb="FF2171B5"/>
        <bgColor indexed="64"/>
      </patternFill>
    </fill>
    <fill>
      <patternFill patternType="solid">
        <fgColor rgb="FF238B45"/>
        <bgColor indexed="64"/>
      </patternFill>
    </fill>
    <fill>
      <patternFill patternType="solid">
        <fgColor rgb="FFFED976"/>
        <bgColor indexed="64"/>
      </patternFill>
    </fill>
    <fill>
      <patternFill patternType="solid">
        <fgColor rgb="FF08306B"/>
        <bgColor indexed="64"/>
      </patternFill>
    </fill>
    <fill>
      <patternFill patternType="darkUp">
        <fgColor rgb="FFD9D9D9"/>
        <bgColor theme="0"/>
      </patternFill>
    </fill>
    <fill>
      <patternFill patternType="solid">
        <fgColor theme="0"/>
        <bgColor auto="1"/>
      </patternFill>
    </fill>
    <fill>
      <patternFill patternType="solid">
        <fgColor rgb="FFFFA3A3"/>
        <bgColor indexed="64"/>
      </patternFill>
    </fill>
  </fills>
  <borders count="41">
    <border>
      <left/>
      <right/>
      <top/>
      <bottom/>
      <diagonal/>
    </border>
    <border>
      <left style="thin">
        <color theme="0"/>
      </left>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3" tint="-0.499984740745262"/>
      </left>
      <right style="thin">
        <color theme="3" tint="-0.499984740745262"/>
      </right>
      <top style="thin">
        <color theme="3" tint="-0.499984740745262"/>
      </top>
      <bottom style="thin">
        <color theme="3" tint="-0.499984740745262"/>
      </bottom>
      <diagonal/>
    </border>
    <border>
      <left style="thin">
        <color theme="1"/>
      </left>
      <right style="thin">
        <color theme="1"/>
      </right>
      <top style="thin">
        <color theme="1"/>
      </top>
      <bottom style="thin">
        <color theme="1"/>
      </bottom>
      <diagonal/>
    </border>
    <border>
      <left/>
      <right/>
      <top/>
      <bottom style="thin">
        <color rgb="FF08306B"/>
      </bottom>
      <diagonal/>
    </border>
    <border>
      <left style="thin">
        <color rgb="FF238B45"/>
      </left>
      <right style="thin">
        <color rgb="FF238B45"/>
      </right>
      <top style="thin">
        <color rgb="FF238B45"/>
      </top>
      <bottom style="thin">
        <color rgb="FF238B45"/>
      </bottom>
      <diagonal/>
    </border>
    <border diagonalUp="1" diagonalDown="1">
      <left style="thin">
        <color theme="0"/>
      </left>
      <right style="thin">
        <color theme="0"/>
      </right>
      <top style="thin">
        <color theme="0"/>
      </top>
      <bottom style="thin">
        <color theme="0"/>
      </bottom>
      <diagonal style="thin">
        <color rgb="FF08519C"/>
      </diagonal>
    </border>
    <border>
      <left style="thin">
        <color rgb="FF08306B"/>
      </left>
      <right/>
      <top style="thin">
        <color rgb="FF08306B"/>
      </top>
      <bottom style="thin">
        <color rgb="FF08306B"/>
      </bottom>
      <diagonal/>
    </border>
    <border>
      <left/>
      <right/>
      <top style="thin">
        <color rgb="FF08306B"/>
      </top>
      <bottom style="thin">
        <color rgb="FF08306B"/>
      </bottom>
      <diagonal/>
    </border>
    <border>
      <left/>
      <right style="thin">
        <color rgb="FF08306B"/>
      </right>
      <top style="thin">
        <color rgb="FF08306B"/>
      </top>
      <bottom style="thin">
        <color rgb="FF08306B"/>
      </bottom>
      <diagonal/>
    </border>
    <border>
      <left/>
      <right/>
      <top style="medium">
        <color theme="1"/>
      </top>
      <bottom/>
      <diagonal/>
    </border>
    <border>
      <left/>
      <right/>
      <top/>
      <bottom style="thin">
        <color theme="1"/>
      </bottom>
      <diagonal/>
    </border>
    <border>
      <left/>
      <right/>
      <top style="medium">
        <color auto="1"/>
      </top>
      <bottom/>
      <diagonal/>
    </border>
    <border>
      <left/>
      <right/>
      <top/>
      <bottom style="thin">
        <color auto="1"/>
      </bottom>
      <diagonal/>
    </border>
    <border>
      <left/>
      <right/>
      <top style="medium">
        <color auto="1"/>
      </top>
      <bottom style="thin">
        <color theme="1"/>
      </bottom>
      <diagonal/>
    </border>
    <border>
      <left/>
      <right/>
      <top style="medium">
        <color auto="1"/>
      </top>
      <bottom style="thin">
        <color auto="1"/>
      </bottom>
      <diagonal/>
    </border>
    <border>
      <left/>
      <right/>
      <top style="thin">
        <color auto="1"/>
      </top>
      <bottom style="medium">
        <color auto="1"/>
      </bottom>
      <diagonal/>
    </border>
    <border>
      <left/>
      <right/>
      <top style="thin">
        <color rgb="FF08306B"/>
      </top>
      <bottom/>
      <diagonal/>
    </border>
    <border>
      <left/>
      <right/>
      <top style="thin">
        <color theme="0"/>
      </top>
      <bottom/>
      <diagonal/>
    </border>
    <border>
      <left style="thin">
        <color theme="0"/>
      </left>
      <right/>
      <top/>
      <bottom/>
      <diagonal/>
    </border>
    <border>
      <left/>
      <right style="thin">
        <color theme="0"/>
      </right>
      <top/>
      <bottom/>
      <diagonal/>
    </border>
    <border>
      <left/>
      <right/>
      <top style="thin">
        <color auto="1"/>
      </top>
      <bottom/>
      <diagonal/>
    </border>
    <border>
      <left/>
      <right/>
      <top style="medium">
        <color theme="1"/>
      </top>
      <bottom style="thin">
        <color theme="1"/>
      </bottom>
      <diagonal/>
    </border>
  </borders>
  <cellStyleXfs count="69">
    <xf numFmtId="0" fontId="0" fillId="33" borderId="0" applyNumberFormat="0">
      <alignment vertical="top"/>
    </xf>
    <xf numFmtId="44" fontId="5" fillId="0" borderId="0" applyFont="0" applyFill="0" applyBorder="0" applyAlignment="0" applyProtection="0"/>
    <xf numFmtId="0" fontId="6" fillId="0" borderId="0" applyNumberFormat="0" applyFill="0" applyBorder="0" applyAlignment="0" applyProtection="0">
      <protection locked="0"/>
    </xf>
    <xf numFmtId="43" fontId="5" fillId="0" borderId="0" applyFont="0" applyFill="0" applyBorder="0" applyAlignment="0" applyProtection="0">
      <protection locked="0"/>
    </xf>
    <xf numFmtId="41" fontId="5" fillId="0" borderId="0" applyFont="0" applyFill="0" applyBorder="0" applyAlignment="0" applyProtection="0">
      <protection locked="0"/>
    </xf>
    <xf numFmtId="42" fontId="5" fillId="0" borderId="0" applyFont="0" applyFill="0" applyBorder="0" applyAlignment="0" applyProtection="0">
      <protection locked="0"/>
    </xf>
    <xf numFmtId="0" fontId="7" fillId="0" borderId="5" applyNumberFormat="0" applyFill="0" applyAlignment="0" applyProtection="0">
      <protection locked="0"/>
    </xf>
    <xf numFmtId="0" fontId="8" fillId="0" borderId="6" applyNumberFormat="0" applyFill="0" applyAlignment="0" applyProtection="0">
      <protection locked="0"/>
    </xf>
    <xf numFmtId="0" fontId="9" fillId="0" borderId="7" applyNumberFormat="0" applyFill="0" applyAlignment="0" applyProtection="0">
      <protection locked="0"/>
    </xf>
    <xf numFmtId="0" fontId="9" fillId="0" borderId="0" applyNumberFormat="0" applyFill="0" applyBorder="0" applyAlignment="0" applyProtection="0">
      <protection locked="0"/>
    </xf>
    <xf numFmtId="0" fontId="10" fillId="2" borderId="0" applyNumberFormat="0" applyBorder="0" applyAlignment="0" applyProtection="0">
      <protection locked="0"/>
    </xf>
    <xf numFmtId="0" fontId="11" fillId="3" borderId="0" applyNumberFormat="0" applyBorder="0" applyAlignment="0" applyProtection="0">
      <protection locked="0"/>
    </xf>
    <xf numFmtId="0" fontId="12" fillId="4" borderId="0" applyNumberFormat="0" applyBorder="0" applyAlignment="0" applyProtection="0">
      <protection locked="0"/>
    </xf>
    <xf numFmtId="0" fontId="13" fillId="5" borderId="8" applyNumberFormat="0" applyAlignment="0" applyProtection="0">
      <protection locked="0"/>
    </xf>
    <xf numFmtId="0" fontId="14" fillId="6" borderId="9" applyNumberFormat="0" applyAlignment="0" applyProtection="0"/>
    <xf numFmtId="0" fontId="15" fillId="6" borderId="8" applyNumberFormat="0" applyAlignment="0" applyProtection="0">
      <protection locked="0"/>
    </xf>
    <xf numFmtId="0" fontId="16" fillId="0" borderId="10" applyNumberFormat="0" applyFill="0" applyAlignment="0" applyProtection="0">
      <protection locked="0"/>
    </xf>
    <xf numFmtId="0" fontId="17" fillId="7" borderId="11" applyNumberFormat="0" applyAlignment="0" applyProtection="0">
      <protection locked="0"/>
    </xf>
    <xf numFmtId="0" fontId="18" fillId="8" borderId="0" applyNumberFormat="0" applyBorder="0" applyAlignment="0" applyProtection="0">
      <protection locked="0"/>
    </xf>
    <xf numFmtId="0" fontId="2" fillId="9" borderId="0" applyNumberFormat="0" applyBorder="0" applyAlignment="0" applyProtection="0">
      <protection locked="0"/>
    </xf>
    <xf numFmtId="0" fontId="2" fillId="10" borderId="0" applyNumberFormat="0" applyBorder="0" applyAlignment="0" applyProtection="0">
      <protection locked="0"/>
    </xf>
    <xf numFmtId="0" fontId="18" fillId="11" borderId="0" applyNumberFormat="0" applyBorder="0" applyAlignment="0" applyProtection="0">
      <protection locked="0"/>
    </xf>
    <xf numFmtId="0" fontId="18" fillId="12" borderId="0" applyNumberFormat="0" applyBorder="0" applyAlignment="0" applyProtection="0">
      <protection locked="0"/>
    </xf>
    <xf numFmtId="0" fontId="2" fillId="13" borderId="0" applyNumberFormat="0" applyBorder="0" applyAlignment="0" applyProtection="0">
      <protection locked="0"/>
    </xf>
    <xf numFmtId="0" fontId="2" fillId="14" borderId="0" applyNumberFormat="0" applyBorder="0" applyAlignment="0" applyProtection="0">
      <protection locked="0"/>
    </xf>
    <xf numFmtId="0" fontId="18" fillId="15" borderId="0" applyNumberFormat="0" applyBorder="0" applyAlignment="0" applyProtection="0">
      <protection locked="0"/>
    </xf>
    <xf numFmtId="0" fontId="18" fillId="16" borderId="0" applyNumberFormat="0" applyBorder="0" applyAlignment="0" applyProtection="0">
      <protection locked="0"/>
    </xf>
    <xf numFmtId="0" fontId="2" fillId="17" borderId="0" applyNumberFormat="0" applyBorder="0" applyAlignment="0" applyProtection="0">
      <protection locked="0"/>
    </xf>
    <xf numFmtId="0" fontId="2" fillId="18" borderId="0" applyNumberFormat="0" applyBorder="0" applyAlignment="0" applyProtection="0">
      <protection locked="0"/>
    </xf>
    <xf numFmtId="0" fontId="18" fillId="19" borderId="0" applyNumberFormat="0" applyBorder="0" applyAlignment="0" applyProtection="0">
      <protection locked="0"/>
    </xf>
    <xf numFmtId="0" fontId="18" fillId="20" borderId="0" applyNumberFormat="0" applyBorder="0" applyAlignment="0" applyProtection="0">
      <protection locked="0"/>
    </xf>
    <xf numFmtId="0" fontId="2" fillId="21" borderId="0" applyNumberFormat="0" applyBorder="0" applyAlignment="0" applyProtection="0">
      <protection locked="0"/>
    </xf>
    <xf numFmtId="0" fontId="2" fillId="22" borderId="0" applyNumberFormat="0" applyBorder="0" applyAlignment="0" applyProtection="0">
      <protection locked="0"/>
    </xf>
    <xf numFmtId="0" fontId="18" fillId="23" borderId="0" applyNumberFormat="0" applyBorder="0" applyAlignment="0" applyProtection="0">
      <protection locked="0"/>
    </xf>
    <xf numFmtId="0" fontId="18" fillId="24" borderId="0" applyNumberFormat="0" applyBorder="0" applyAlignment="0" applyProtection="0">
      <protection locked="0"/>
    </xf>
    <xf numFmtId="0" fontId="2" fillId="25" borderId="0" applyNumberFormat="0" applyBorder="0" applyAlignment="0" applyProtection="0">
      <protection locked="0"/>
    </xf>
    <xf numFmtId="0" fontId="2" fillId="26" borderId="0" applyNumberFormat="0" applyBorder="0" applyAlignment="0" applyProtection="0">
      <protection locked="0"/>
    </xf>
    <xf numFmtId="0" fontId="18" fillId="27" borderId="0" applyNumberFormat="0" applyBorder="0" applyAlignment="0" applyProtection="0">
      <protection locked="0"/>
    </xf>
    <xf numFmtId="0" fontId="18" fillId="28" borderId="0" applyNumberFormat="0" applyBorder="0" applyAlignment="0" applyProtection="0">
      <protection locked="0"/>
    </xf>
    <xf numFmtId="0" fontId="2" fillId="29" borderId="0" applyNumberFormat="0" applyBorder="0" applyAlignment="0" applyProtection="0">
      <protection locked="0"/>
    </xf>
    <xf numFmtId="0" fontId="2" fillId="30" borderId="0" applyNumberFormat="0" applyBorder="0" applyAlignment="0" applyProtection="0">
      <protection locked="0"/>
    </xf>
    <xf numFmtId="0" fontId="18" fillId="31" borderId="0" applyNumberFormat="0" applyBorder="0" applyAlignment="0" applyProtection="0">
      <protection locked="0"/>
    </xf>
    <xf numFmtId="9" fontId="5" fillId="0" borderId="0" applyFont="0" applyFill="0" applyBorder="0" applyAlignment="0" applyProtection="0"/>
    <xf numFmtId="0" fontId="19" fillId="0" borderId="0" applyNumberFormat="0" applyFill="0" applyBorder="0" applyAlignment="0" applyProtection="0"/>
    <xf numFmtId="0" fontId="20" fillId="0" borderId="12" applyNumberFormat="0" applyFill="0" applyAlignment="0" applyProtection="0"/>
    <xf numFmtId="0" fontId="31" fillId="41" borderId="17" applyNumberFormat="0">
      <alignment horizontal="center"/>
    </xf>
    <xf numFmtId="0" fontId="28" fillId="38" borderId="17" applyNumberFormat="0">
      <alignment horizontal="left"/>
    </xf>
    <xf numFmtId="49" fontId="35" fillId="33" borderId="0" applyNumberFormat="0" applyProtection="0">
      <alignment horizontal="left" vertical="center"/>
      <protection locked="0"/>
    </xf>
    <xf numFmtId="49" fontId="30" fillId="33" borderId="0" applyNumberFormat="0"/>
    <xf numFmtId="0" fontId="34" fillId="36" borderId="17" applyNumberFormat="0" applyAlignment="0"/>
    <xf numFmtId="0" fontId="21" fillId="32" borderId="0" applyNumberFormat="0" applyAlignment="0" applyProtection="0"/>
    <xf numFmtId="2" fontId="4" fillId="33" borderId="0" applyNumberFormat="0" applyAlignment="0">
      <alignment vertical="top"/>
    </xf>
    <xf numFmtId="0" fontId="37" fillId="33" borderId="0" applyNumberFormat="0" applyAlignment="0">
      <alignment vertical="top"/>
    </xf>
    <xf numFmtId="0" fontId="24" fillId="34" borderId="20" applyNumberFormat="0" applyAlignment="0">
      <alignment vertical="top"/>
      <protection locked="0"/>
    </xf>
    <xf numFmtId="0" fontId="33" fillId="33" borderId="0" applyNumberFormat="0" applyFill="0" applyBorder="0" applyAlignment="0" applyProtection="0">
      <alignment vertical="top"/>
    </xf>
    <xf numFmtId="0" fontId="24" fillId="35" borderId="21" applyNumberFormat="0" applyAlignment="0">
      <alignment vertical="top"/>
    </xf>
    <xf numFmtId="0" fontId="29" fillId="37" borderId="17" applyNumberFormat="0" applyAlignment="0">
      <alignment vertical="top"/>
    </xf>
    <xf numFmtId="0" fontId="4" fillId="44" borderId="17" applyNumberFormat="0" applyFont="0" applyBorder="0" applyAlignment="0" applyProtection="0">
      <alignment vertical="top"/>
    </xf>
    <xf numFmtId="0" fontId="29" fillId="40" borderId="17" applyNumberFormat="0" applyAlignment="0">
      <alignment vertical="top"/>
      <protection locked="0"/>
    </xf>
    <xf numFmtId="180" fontId="4" fillId="33" borderId="0">
      <alignment horizontal="center" vertical="top"/>
    </xf>
    <xf numFmtId="3" fontId="29" fillId="43" borderId="24">
      <alignment horizontal="center" vertical="top"/>
    </xf>
    <xf numFmtId="0" fontId="32" fillId="33" borderId="0" applyNumberFormat="0" applyFill="0" applyBorder="0" applyAlignment="0" applyProtection="0">
      <alignment vertical="top"/>
    </xf>
    <xf numFmtId="0" fontId="36" fillId="33" borderId="22" applyNumberFormat="0" applyProtection="0">
      <alignment horizontal="center"/>
    </xf>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3" fontId="4" fillId="33" borderId="23" applyNumberFormat="0" applyFont="0" applyAlignment="0">
      <alignment vertical="top"/>
    </xf>
    <xf numFmtId="0" fontId="29" fillId="42" borderId="17" applyNumberFormat="0" applyAlignment="0">
      <alignment vertical="top"/>
    </xf>
  </cellStyleXfs>
  <cellXfs count="373">
    <xf numFmtId="0" fontId="0" fillId="33" borderId="0" xfId="0">
      <alignment vertical="top"/>
    </xf>
    <xf numFmtId="0" fontId="0" fillId="33" borderId="0" xfId="0">
      <alignment vertical="top"/>
    </xf>
    <xf numFmtId="0" fontId="3" fillId="33" borderId="0" xfId="0" applyFont="1">
      <alignment vertical="top"/>
    </xf>
    <xf numFmtId="167" fontId="3" fillId="33" borderId="0" xfId="0" applyNumberFormat="1" applyFont="1">
      <alignment vertical="top"/>
    </xf>
    <xf numFmtId="0" fontId="3" fillId="33" borderId="0" xfId="0" applyFont="1" applyBorder="1">
      <alignment vertical="top"/>
    </xf>
    <xf numFmtId="0" fontId="31" fillId="41" borderId="17" xfId="45">
      <alignment horizontal="center"/>
    </xf>
    <xf numFmtId="0" fontId="31" fillId="41" borderId="14" xfId="45" applyBorder="1">
      <alignment horizontal="center"/>
    </xf>
    <xf numFmtId="0" fontId="31" fillId="41" borderId="15" xfId="45" applyBorder="1">
      <alignment horizontal="center"/>
    </xf>
    <xf numFmtId="0" fontId="31" fillId="41" borderId="3" xfId="45" applyBorder="1" applyAlignment="1">
      <alignment horizontal="centerContinuous"/>
    </xf>
    <xf numFmtId="0" fontId="31" fillId="41" borderId="13" xfId="45" applyBorder="1" applyAlignment="1">
      <alignment horizontal="centerContinuous"/>
    </xf>
    <xf numFmtId="0" fontId="31" fillId="41" borderId="4" xfId="45" applyBorder="1">
      <alignment horizontal="center"/>
    </xf>
    <xf numFmtId="0" fontId="31" fillId="41" borderId="2" xfId="45" applyBorder="1">
      <alignment horizontal="center"/>
    </xf>
    <xf numFmtId="0" fontId="0" fillId="33" borderId="0" xfId="0" applyAlignment="1">
      <alignment horizontal="center" vertical="top"/>
    </xf>
    <xf numFmtId="49" fontId="35" fillId="33" borderId="0" xfId="47">
      <alignment horizontal="left" vertical="center"/>
      <protection locked="0"/>
    </xf>
    <xf numFmtId="0" fontId="0" fillId="33" borderId="0" xfId="0" applyBorder="1">
      <alignment vertical="top"/>
    </xf>
    <xf numFmtId="9" fontId="0" fillId="33" borderId="0" xfId="0" applyNumberFormat="1" applyBorder="1" applyAlignment="1">
      <alignment vertical="top"/>
    </xf>
    <xf numFmtId="0" fontId="3" fillId="33" borderId="0" xfId="0" applyNumberFormat="1" applyFont="1" applyBorder="1" applyAlignment="1">
      <alignment vertical="top" wrapText="1"/>
    </xf>
    <xf numFmtId="0" fontId="3" fillId="33" borderId="0" xfId="0" applyFont="1" applyBorder="1" applyAlignment="1">
      <alignment vertical="top" wrapText="1"/>
    </xf>
    <xf numFmtId="0" fontId="3" fillId="0" borderId="3" xfId="0" applyFont="1" applyFill="1" applyBorder="1">
      <alignment vertical="top"/>
    </xf>
    <xf numFmtId="0" fontId="31" fillId="41" borderId="1" xfId="45" applyBorder="1" applyAlignment="1">
      <alignment horizontal="left"/>
    </xf>
    <xf numFmtId="0" fontId="31" fillId="41" borderId="18" xfId="45" applyBorder="1">
      <alignment horizontal="center"/>
    </xf>
    <xf numFmtId="0" fontId="0" fillId="33" borderId="0" xfId="0" applyNumberFormat="1">
      <alignment vertical="top"/>
    </xf>
    <xf numFmtId="2" fontId="0" fillId="33" borderId="0" xfId="0" applyNumberFormat="1">
      <alignment vertical="top"/>
    </xf>
    <xf numFmtId="168" fontId="0" fillId="33" borderId="0" xfId="0" applyNumberFormat="1">
      <alignment vertical="top"/>
    </xf>
    <xf numFmtId="0" fontId="30" fillId="33" borderId="0" xfId="48" applyNumberFormat="1" applyProtection="1"/>
    <xf numFmtId="2" fontId="4" fillId="33" borderId="0" xfId="51" applyNumberFormat="1">
      <alignment vertical="top"/>
    </xf>
    <xf numFmtId="164" fontId="4" fillId="33" borderId="0" xfId="51" applyNumberFormat="1">
      <alignment vertical="top"/>
    </xf>
    <xf numFmtId="0" fontId="4" fillId="33" borderId="0" xfId="51" applyNumberFormat="1">
      <alignment vertical="top"/>
    </xf>
    <xf numFmtId="4" fontId="4" fillId="33" borderId="0" xfId="51" applyNumberFormat="1">
      <alignment vertical="top"/>
    </xf>
    <xf numFmtId="167" fontId="4" fillId="33" borderId="0" xfId="51" applyNumberFormat="1">
      <alignment vertical="top"/>
    </xf>
    <xf numFmtId="3" fontId="4" fillId="33" borderId="0" xfId="51" applyNumberFormat="1">
      <alignment vertical="top"/>
    </xf>
    <xf numFmtId="169" fontId="4" fillId="33" borderId="0" xfId="51" applyNumberFormat="1">
      <alignment vertical="top"/>
    </xf>
    <xf numFmtId="170" fontId="4" fillId="33" borderId="0" xfId="51" applyNumberFormat="1">
      <alignment vertical="top"/>
    </xf>
    <xf numFmtId="171" fontId="4" fillId="33" borderId="0" xfId="51" applyNumberFormat="1">
      <alignment vertical="top"/>
    </xf>
    <xf numFmtId="172" fontId="4" fillId="33" borderId="0" xfId="51" applyNumberFormat="1">
      <alignment vertical="top"/>
    </xf>
    <xf numFmtId="166" fontId="4" fillId="33" borderId="0" xfId="51" applyNumberFormat="1">
      <alignment vertical="top"/>
    </xf>
    <xf numFmtId="173" fontId="4" fillId="33" borderId="0" xfId="51" applyNumberFormat="1">
      <alignment vertical="top"/>
    </xf>
    <xf numFmtId="175" fontId="4" fillId="33" borderId="0" xfId="51" applyNumberFormat="1">
      <alignment vertical="top"/>
    </xf>
    <xf numFmtId="165" fontId="4" fillId="33" borderId="0" xfId="51" applyNumberFormat="1">
      <alignment vertical="top"/>
    </xf>
    <xf numFmtId="176" fontId="4" fillId="33" borderId="0" xfId="51" applyNumberFormat="1">
      <alignment vertical="top"/>
    </xf>
    <xf numFmtId="1" fontId="4" fillId="33" borderId="0" xfId="51" applyNumberFormat="1">
      <alignment vertical="top"/>
    </xf>
    <xf numFmtId="168" fontId="4" fillId="33" borderId="0" xfId="51" applyNumberFormat="1">
      <alignment vertical="top"/>
    </xf>
    <xf numFmtId="177" fontId="4" fillId="33" borderId="0" xfId="51" applyNumberFormat="1">
      <alignment vertical="top"/>
    </xf>
    <xf numFmtId="171" fontId="0" fillId="33" borderId="0" xfId="0" applyNumberFormat="1">
      <alignment vertical="top"/>
    </xf>
    <xf numFmtId="176" fontId="0" fillId="33" borderId="0" xfId="0" applyNumberFormat="1">
      <alignment vertical="top"/>
    </xf>
    <xf numFmtId="0" fontId="35" fillId="33" borderId="0" xfId="47" applyNumberFormat="1" applyFill="1" applyProtection="1">
      <alignment horizontal="left" vertical="center"/>
    </xf>
    <xf numFmtId="0" fontId="31" fillId="41" borderId="1" xfId="45" applyBorder="1">
      <alignment horizontal="center"/>
    </xf>
    <xf numFmtId="0" fontId="0" fillId="33" borderId="0" xfId="0">
      <alignment vertical="top"/>
    </xf>
    <xf numFmtId="0" fontId="23" fillId="33" borderId="0" xfId="0" applyFont="1">
      <alignment vertical="top"/>
    </xf>
    <xf numFmtId="0" fontId="31" fillId="41" borderId="17" xfId="45" applyProtection="1">
      <alignment horizontal="center"/>
    </xf>
    <xf numFmtId="0" fontId="0" fillId="33" borderId="0" xfId="0" quotePrefix="1">
      <alignment vertical="top"/>
    </xf>
    <xf numFmtId="0" fontId="33" fillId="33" borderId="0" xfId="54">
      <alignment vertical="top"/>
    </xf>
    <xf numFmtId="0" fontId="33" fillId="33" borderId="0" xfId="54" applyBorder="1">
      <alignment vertical="top"/>
    </xf>
    <xf numFmtId="178" fontId="0" fillId="33" borderId="0" xfId="0" applyNumberFormat="1" applyAlignment="1">
      <alignment horizontal="left" vertical="top"/>
    </xf>
    <xf numFmtId="0" fontId="0" fillId="33" borderId="0" xfId="0">
      <alignment vertical="top"/>
    </xf>
    <xf numFmtId="0" fontId="0" fillId="33" borderId="0" xfId="0" applyBorder="1" applyAlignment="1">
      <alignment horizontal="center" vertical="top"/>
    </xf>
    <xf numFmtId="0" fontId="31" fillId="41" borderId="19" xfId="45" applyBorder="1" applyAlignment="1">
      <alignment horizontal="center"/>
    </xf>
    <xf numFmtId="0" fontId="28" fillId="38" borderId="17" xfId="46" applyAlignment="1" applyProtection="1">
      <alignment horizontal="center"/>
    </xf>
    <xf numFmtId="0" fontId="29" fillId="37" borderId="17" xfId="56">
      <alignment vertical="top"/>
    </xf>
    <xf numFmtId="3" fontId="29" fillId="37" borderId="17" xfId="56" applyNumberFormat="1">
      <alignment vertical="top"/>
    </xf>
    <xf numFmtId="171" fontId="29" fillId="37" borderId="17" xfId="56" applyNumberFormat="1">
      <alignment vertical="top"/>
    </xf>
    <xf numFmtId="174" fontId="29" fillId="37" borderId="17" xfId="56" applyNumberFormat="1">
      <alignment vertical="top"/>
    </xf>
    <xf numFmtId="4" fontId="29" fillId="37" borderId="17" xfId="56" applyNumberFormat="1">
      <alignment vertical="top"/>
    </xf>
    <xf numFmtId="1" fontId="29" fillId="37" borderId="17" xfId="56" applyNumberFormat="1">
      <alignment vertical="top"/>
    </xf>
    <xf numFmtId="165" fontId="29" fillId="37" borderId="17" xfId="56" applyNumberFormat="1">
      <alignment vertical="top"/>
    </xf>
    <xf numFmtId="175" fontId="29" fillId="37" borderId="17" xfId="56" applyNumberFormat="1">
      <alignment vertical="top"/>
    </xf>
    <xf numFmtId="0" fontId="29" fillId="37" borderId="17" xfId="56" applyNumberFormat="1">
      <alignment vertical="top"/>
    </xf>
    <xf numFmtId="166" fontId="29" fillId="37" borderId="17" xfId="56" applyNumberFormat="1">
      <alignment vertical="top"/>
    </xf>
    <xf numFmtId="164" fontId="29" fillId="37" borderId="17" xfId="56" applyNumberFormat="1">
      <alignment vertical="top"/>
    </xf>
    <xf numFmtId="0" fontId="0" fillId="38" borderId="17" xfId="0" applyNumberFormat="1" applyFill="1" applyBorder="1">
      <alignment vertical="top"/>
    </xf>
    <xf numFmtId="0" fontId="0" fillId="39" borderId="17" xfId="0" applyNumberFormat="1" applyFill="1" applyBorder="1">
      <alignment vertical="top"/>
    </xf>
    <xf numFmtId="0" fontId="0" fillId="40" borderId="17" xfId="0" applyNumberFormat="1" applyFill="1" applyBorder="1">
      <alignment vertical="top"/>
    </xf>
    <xf numFmtId="0" fontId="0" fillId="37" borderId="17" xfId="0" applyNumberFormat="1" applyFill="1" applyBorder="1">
      <alignment vertical="top"/>
    </xf>
    <xf numFmtId="0" fontId="0" fillId="33" borderId="0" xfId="0" applyAlignment="1">
      <alignment horizontal="left" vertical="top"/>
    </xf>
    <xf numFmtId="0" fontId="31" fillId="41" borderId="19" xfId="45" applyBorder="1" applyAlignment="1">
      <alignment horizontal="left"/>
    </xf>
    <xf numFmtId="0" fontId="31" fillId="41" borderId="18" xfId="45" applyBorder="1" applyAlignment="1">
      <alignment horizontal="left"/>
    </xf>
    <xf numFmtId="179" fontId="0" fillId="33" borderId="0" xfId="0" applyNumberFormat="1" applyAlignment="1">
      <alignment horizontal="left" vertical="top"/>
    </xf>
    <xf numFmtId="0" fontId="25" fillId="33" borderId="0" xfId="0" applyNumberFormat="1" applyFont="1">
      <alignment vertical="top"/>
    </xf>
    <xf numFmtId="0" fontId="29" fillId="37" borderId="17" xfId="56" applyAlignment="1">
      <alignment horizontal="center" vertical="top"/>
    </xf>
    <xf numFmtId="0" fontId="26" fillId="0" borderId="2" xfId="0" applyFont="1" applyFill="1" applyBorder="1" applyAlignment="1">
      <alignment horizontal="center" vertical="top"/>
    </xf>
    <xf numFmtId="3" fontId="0" fillId="33" borderId="0" xfId="0" applyNumberFormat="1">
      <alignment vertical="top"/>
    </xf>
    <xf numFmtId="0" fontId="33" fillId="33" borderId="0" xfId="54" applyAlignment="1">
      <alignment horizontal="left" vertical="top"/>
    </xf>
    <xf numFmtId="0" fontId="31" fillId="41" borderId="17" xfId="45" applyNumberFormat="1" applyProtection="1">
      <alignment horizontal="center"/>
    </xf>
    <xf numFmtId="0" fontId="31" fillId="41" borderId="17" xfId="45" applyAlignment="1" applyProtection="1">
      <alignment horizontal="left"/>
    </xf>
    <xf numFmtId="165" fontId="4" fillId="33" borderId="0" xfId="51" applyNumberFormat="1" applyAlignment="1">
      <alignment vertical="top"/>
    </xf>
    <xf numFmtId="0" fontId="0" fillId="33" borderId="0" xfId="0" applyAlignment="1">
      <alignment vertical="top"/>
    </xf>
    <xf numFmtId="0" fontId="35" fillId="33" borderId="0" xfId="47" applyNumberFormat="1" applyFill="1" applyAlignment="1" applyProtection="1">
      <alignment horizontal="left" vertical="center"/>
    </xf>
    <xf numFmtId="0" fontId="0" fillId="33" borderId="0" xfId="0" applyAlignment="1">
      <alignment vertical="top" wrapText="1"/>
    </xf>
    <xf numFmtId="4" fontId="29" fillId="40" borderId="17" xfId="58" applyNumberFormat="1" applyAlignment="1">
      <alignment vertical="top"/>
      <protection locked="0"/>
    </xf>
    <xf numFmtId="0" fontId="0" fillId="33" borderId="16" xfId="0" applyBorder="1" applyAlignment="1">
      <alignment vertical="top" wrapText="1"/>
    </xf>
    <xf numFmtId="0" fontId="35" fillId="33" borderId="0" xfId="47" applyNumberFormat="1" applyAlignment="1" applyProtection="1">
      <alignment horizontal="center" vertical="center"/>
    </xf>
    <xf numFmtId="0" fontId="31" fillId="41" borderId="17" xfId="45" applyAlignment="1" applyProtection="1">
      <alignment horizontal="center"/>
    </xf>
    <xf numFmtId="0" fontId="30" fillId="33" borderId="0" xfId="48" applyNumberFormat="1" applyAlignment="1" applyProtection="1">
      <alignment horizontal="center"/>
    </xf>
    <xf numFmtId="0" fontId="4" fillId="33" borderId="0" xfId="51" applyNumberFormat="1" applyAlignment="1">
      <alignment horizontal="center" vertical="top"/>
    </xf>
    <xf numFmtId="0" fontId="37" fillId="33" borderId="0" xfId="52" applyAlignment="1">
      <alignment horizontal="center" vertical="top"/>
    </xf>
    <xf numFmtId="0" fontId="4" fillId="33" borderId="23" xfId="67" applyNumberFormat="1" applyAlignment="1">
      <alignment horizontal="center" vertical="top"/>
    </xf>
    <xf numFmtId="0" fontId="33" fillId="33" borderId="0" xfId="54" applyAlignment="1">
      <alignment horizontal="center" vertical="top"/>
    </xf>
    <xf numFmtId="0" fontId="0" fillId="40" borderId="17" xfId="58" applyFont="1" applyAlignment="1">
      <alignment horizontal="center" vertical="top"/>
      <protection locked="0"/>
    </xf>
    <xf numFmtId="0" fontId="29" fillId="42" borderId="17" xfId="68" applyAlignment="1">
      <alignment horizontal="center" vertical="top"/>
    </xf>
    <xf numFmtId="0" fontId="4" fillId="44" borderId="17" xfId="57" applyAlignment="1">
      <alignment horizontal="center" vertical="top"/>
    </xf>
    <xf numFmtId="0" fontId="27" fillId="33" borderId="0" xfId="0" applyFont="1" applyAlignment="1">
      <alignment horizontal="center" vertical="top"/>
    </xf>
    <xf numFmtId="3" fontId="29" fillId="43" borderId="24" xfId="60" applyAlignment="1">
      <alignment horizontal="center" vertical="top"/>
    </xf>
    <xf numFmtId="0" fontId="30" fillId="33" borderId="0" xfId="48" applyNumberFormat="1" applyAlignment="1" applyProtection="1">
      <alignment horizontal="left"/>
    </xf>
    <xf numFmtId="0" fontId="36" fillId="33" borderId="22" xfId="62" applyProtection="1">
      <alignment horizontal="center"/>
    </xf>
    <xf numFmtId="0" fontId="35" fillId="33" borderId="0" xfId="47" applyNumberFormat="1" applyFill="1" applyProtection="1">
      <alignment horizontal="left" vertical="center"/>
    </xf>
    <xf numFmtId="0" fontId="28" fillId="38" borderId="1" xfId="46" applyBorder="1" applyProtection="1">
      <alignment horizontal="left"/>
    </xf>
    <xf numFmtId="0" fontId="28" fillId="38" borderId="18" xfId="46" applyBorder="1" applyProtection="1">
      <alignment horizontal="left"/>
    </xf>
    <xf numFmtId="0" fontId="28" fillId="38" borderId="18" xfId="46" applyBorder="1" applyAlignment="1" applyProtection="1">
      <alignment horizontal="center"/>
    </xf>
    <xf numFmtId="0" fontId="28" fillId="38" borderId="19" xfId="46" applyBorder="1" applyProtection="1">
      <alignment horizontal="left"/>
    </xf>
    <xf numFmtId="0" fontId="28" fillId="38" borderId="1" xfId="46" applyBorder="1">
      <alignment horizontal="left"/>
    </xf>
    <xf numFmtId="0" fontId="28" fillId="38" borderId="18" xfId="46" applyBorder="1">
      <alignment horizontal="left"/>
    </xf>
    <xf numFmtId="0" fontId="28" fillId="38" borderId="19" xfId="46" applyBorder="1">
      <alignment horizontal="left"/>
    </xf>
    <xf numFmtId="0" fontId="28" fillId="38" borderId="1" xfId="46" applyNumberFormat="1" applyBorder="1" applyProtection="1">
      <alignment horizontal="left"/>
    </xf>
    <xf numFmtId="0" fontId="31" fillId="41" borderId="17" xfId="45" applyBorder="1">
      <alignment horizontal="center"/>
    </xf>
    <xf numFmtId="0" fontId="31" fillId="41" borderId="17" xfId="45" applyBorder="1" applyAlignment="1">
      <alignment horizontal="center"/>
    </xf>
    <xf numFmtId="0" fontId="38" fillId="33" borderId="0" xfId="0" applyNumberFormat="1" applyFont="1">
      <alignment vertical="top"/>
    </xf>
    <xf numFmtId="0" fontId="35" fillId="33" borderId="0" xfId="47" applyNumberFormat="1" applyFill="1" applyProtection="1">
      <alignment horizontal="left" vertical="center"/>
    </xf>
    <xf numFmtId="0" fontId="35" fillId="33" borderId="0" xfId="47" applyNumberFormat="1" applyFill="1" applyProtection="1">
      <alignment horizontal="left" vertical="center"/>
    </xf>
    <xf numFmtId="0" fontId="40" fillId="33" borderId="0" xfId="0" applyFont="1">
      <alignment vertical="top"/>
    </xf>
    <xf numFmtId="3" fontId="29" fillId="40" borderId="17" xfId="58" applyNumberFormat="1" applyAlignment="1">
      <alignment vertical="top"/>
      <protection locked="0"/>
    </xf>
    <xf numFmtId="9" fontId="29" fillId="40" borderId="17" xfId="58" applyNumberFormat="1" applyAlignment="1">
      <alignment vertical="top"/>
      <protection locked="0"/>
    </xf>
    <xf numFmtId="0" fontId="30" fillId="33" borderId="0" xfId="48" applyNumberFormat="1"/>
    <xf numFmtId="0" fontId="28" fillId="38" borderId="17" xfId="46">
      <alignment horizontal="left"/>
    </xf>
    <xf numFmtId="3" fontId="4" fillId="33" borderId="0" xfId="51" applyNumberFormat="1" applyAlignment="1">
      <alignment vertical="top"/>
    </xf>
    <xf numFmtId="3" fontId="4" fillId="33" borderId="0" xfId="51" applyNumberFormat="1" applyAlignment="1">
      <alignment horizontal="center" vertical="top"/>
    </xf>
    <xf numFmtId="9" fontId="4" fillId="33" borderId="0" xfId="51" applyNumberFormat="1" applyAlignment="1">
      <alignment vertical="top"/>
    </xf>
    <xf numFmtId="3" fontId="29" fillId="42" borderId="17" xfId="68" applyNumberFormat="1" applyAlignment="1">
      <alignment vertical="top"/>
    </xf>
    <xf numFmtId="0" fontId="0" fillId="33" borderId="1" xfId="0" applyBorder="1">
      <alignment vertical="top"/>
    </xf>
    <xf numFmtId="166" fontId="29" fillId="37" borderId="17" xfId="56" applyNumberFormat="1" applyProtection="1">
      <alignment vertical="top"/>
      <protection locked="0"/>
    </xf>
    <xf numFmtId="0" fontId="0" fillId="33" borderId="0" xfId="0" applyFont="1">
      <alignment vertical="top"/>
    </xf>
    <xf numFmtId="0" fontId="29" fillId="37" borderId="17" xfId="56" applyAlignment="1" applyProtection="1">
      <alignment horizontal="center" vertical="top"/>
      <protection locked="0"/>
    </xf>
    <xf numFmtId="165" fontId="29" fillId="37" borderId="17" xfId="56" applyNumberFormat="1" applyProtection="1">
      <alignment vertical="top"/>
      <protection locked="0"/>
    </xf>
    <xf numFmtId="164" fontId="37" fillId="33" borderId="0" xfId="52" applyNumberFormat="1" applyAlignment="1">
      <alignment vertical="top"/>
    </xf>
    <xf numFmtId="0" fontId="0" fillId="33" borderId="0" xfId="0" applyNumberFormat="1" applyFont="1">
      <alignment vertical="top"/>
    </xf>
    <xf numFmtId="0" fontId="29" fillId="37" borderId="17" xfId="56" applyProtection="1">
      <alignment vertical="top"/>
      <protection locked="0"/>
    </xf>
    <xf numFmtId="168" fontId="29" fillId="37" borderId="17" xfId="56" applyNumberFormat="1" applyAlignment="1" applyProtection="1">
      <alignment horizontal="center" vertical="top"/>
      <protection locked="0"/>
    </xf>
    <xf numFmtId="49" fontId="0" fillId="33" borderId="0" xfId="0" applyNumberFormat="1">
      <alignment vertical="top"/>
    </xf>
    <xf numFmtId="4" fontId="29" fillId="37" borderId="17" xfId="56" applyNumberFormat="1" applyProtection="1">
      <alignment vertical="top"/>
      <protection locked="0"/>
    </xf>
    <xf numFmtId="167" fontId="29" fillId="37" borderId="17" xfId="56" applyNumberFormat="1" applyProtection="1">
      <alignment vertical="top"/>
      <protection locked="0"/>
    </xf>
    <xf numFmtId="0" fontId="0" fillId="33" borderId="0" xfId="0" applyNumberFormat="1" applyFont="1" applyBorder="1">
      <alignment vertical="top"/>
    </xf>
    <xf numFmtId="49" fontId="0" fillId="33" borderId="0" xfId="0" applyNumberFormat="1" applyAlignment="1">
      <alignment horizontal="left" vertical="top"/>
    </xf>
    <xf numFmtId="167" fontId="4" fillId="33" borderId="0" xfId="51" applyNumberFormat="1" applyProtection="1">
      <alignment vertical="top"/>
      <protection locked="0"/>
    </xf>
    <xf numFmtId="9" fontId="29" fillId="40" borderId="17" xfId="58" applyNumberFormat="1" applyAlignment="1">
      <alignment horizontal="center" vertical="top"/>
      <protection locked="0"/>
    </xf>
    <xf numFmtId="3" fontId="29" fillId="40" borderId="17" xfId="58" applyNumberFormat="1" applyAlignment="1">
      <alignment horizontal="center" vertical="top"/>
      <protection locked="0"/>
    </xf>
    <xf numFmtId="165" fontId="31" fillId="41" borderId="17" xfId="45" applyNumberFormat="1">
      <alignment horizontal="center"/>
    </xf>
    <xf numFmtId="3" fontId="42" fillId="33" borderId="0" xfId="0" applyNumberFormat="1" applyFont="1" applyAlignment="1">
      <alignment horizontal="center" vertical="top"/>
    </xf>
    <xf numFmtId="167" fontId="4" fillId="33" borderId="0" xfId="51" applyNumberFormat="1" applyAlignment="1">
      <alignment horizontal="center" vertical="top"/>
    </xf>
    <xf numFmtId="4" fontId="4" fillId="33" borderId="0" xfId="51" applyNumberFormat="1" applyAlignment="1">
      <alignment horizontal="center" vertical="top"/>
    </xf>
    <xf numFmtId="0" fontId="0" fillId="33" borderId="0" xfId="0" applyNumberFormat="1" applyAlignment="1">
      <alignment horizontal="left" vertical="top"/>
    </xf>
    <xf numFmtId="0" fontId="35" fillId="33" borderId="0" xfId="47" applyNumberFormat="1" applyFill="1" applyProtection="1">
      <alignment horizontal="left" vertical="center"/>
    </xf>
    <xf numFmtId="165" fontId="31" fillId="41" borderId="4" xfId="45" applyNumberFormat="1" applyBorder="1">
      <alignment horizontal="center"/>
    </xf>
    <xf numFmtId="165" fontId="31" fillId="41" borderId="2" xfId="45" applyNumberFormat="1" applyBorder="1">
      <alignment horizontal="center"/>
    </xf>
    <xf numFmtId="0" fontId="0" fillId="33" borderId="0" xfId="0" applyNumberFormat="1" applyBorder="1">
      <alignment vertical="top"/>
    </xf>
    <xf numFmtId="0" fontId="35" fillId="33" borderId="0" xfId="47" applyNumberFormat="1" applyFill="1" applyProtection="1">
      <alignment horizontal="left" vertical="center"/>
    </xf>
    <xf numFmtId="3" fontId="4" fillId="33" borderId="0" xfId="51" applyNumberFormat="1" applyAlignment="1">
      <alignment vertical="top"/>
    </xf>
    <xf numFmtId="0" fontId="34" fillId="36" borderId="17" xfId="49" applyAlignment="1">
      <alignment vertical="top"/>
    </xf>
    <xf numFmtId="0" fontId="34" fillId="36" borderId="17" xfId="49" applyNumberFormat="1" applyAlignment="1">
      <alignment vertical="top"/>
    </xf>
    <xf numFmtId="3" fontId="4" fillId="33" borderId="0" xfId="51" applyNumberFormat="1" applyAlignment="1">
      <alignment vertical="top"/>
    </xf>
    <xf numFmtId="180" fontId="4" fillId="33" borderId="0" xfId="59">
      <alignment horizontal="center" vertical="top"/>
    </xf>
    <xf numFmtId="0" fontId="0" fillId="33" borderId="0" xfId="0" applyAlignment="1">
      <alignment horizontal="right" vertical="top"/>
    </xf>
    <xf numFmtId="9" fontId="0" fillId="33" borderId="0" xfId="0" applyNumberFormat="1" applyAlignment="1">
      <alignment horizontal="center" vertical="top"/>
    </xf>
    <xf numFmtId="0" fontId="28" fillId="38" borderId="19" xfId="46" applyBorder="1" applyAlignment="1" applyProtection="1">
      <alignment horizontal="center"/>
    </xf>
    <xf numFmtId="0" fontId="35" fillId="33" borderId="0" xfId="47" applyNumberFormat="1" applyProtection="1">
      <alignment horizontal="left" vertical="center"/>
    </xf>
    <xf numFmtId="0" fontId="0" fillId="33" borderId="0" xfId="0" applyNumberFormat="1" applyBorder="1" applyAlignment="1">
      <alignment horizontal="left" vertical="top"/>
    </xf>
    <xf numFmtId="3" fontId="29" fillId="37" borderId="17" xfId="56" applyNumberFormat="1" applyAlignment="1">
      <alignment vertical="top"/>
    </xf>
    <xf numFmtId="4" fontId="29" fillId="37" borderId="17" xfId="56" applyNumberFormat="1" applyAlignment="1">
      <alignment vertical="top"/>
    </xf>
    <xf numFmtId="0" fontId="35" fillId="33" borderId="0" xfId="47" applyNumberFormat="1" applyFill="1" applyProtection="1">
      <alignment horizontal="left" vertical="center"/>
    </xf>
    <xf numFmtId="0" fontId="0" fillId="33" borderId="0" xfId="0" quotePrefix="1" applyAlignment="1">
      <alignment horizontal="left" vertical="top"/>
    </xf>
    <xf numFmtId="3" fontId="4" fillId="33" borderId="0" xfId="51" applyNumberFormat="1" applyAlignment="1">
      <alignment vertical="top"/>
    </xf>
    <xf numFmtId="9" fontId="4" fillId="33" borderId="0" xfId="51" applyNumberFormat="1" applyAlignment="1">
      <alignment horizontal="center" vertical="top"/>
    </xf>
    <xf numFmtId="167" fontId="0" fillId="33" borderId="0" xfId="0" applyNumberFormat="1">
      <alignment vertical="top"/>
    </xf>
    <xf numFmtId="3" fontId="37" fillId="33" borderId="0" xfId="52" applyNumberFormat="1" applyAlignment="1">
      <alignment horizontal="center" vertical="top"/>
    </xf>
    <xf numFmtId="164" fontId="0" fillId="33" borderId="0" xfId="0" applyNumberFormat="1">
      <alignment vertical="top"/>
    </xf>
    <xf numFmtId="167" fontId="4" fillId="33" borderId="0" xfId="51" applyNumberFormat="1" applyAlignment="1">
      <alignment vertical="top"/>
    </xf>
    <xf numFmtId="164" fontId="4" fillId="33" borderId="0" xfId="51" applyNumberFormat="1" applyProtection="1">
      <alignment vertical="top"/>
      <protection locked="0"/>
    </xf>
    <xf numFmtId="164" fontId="4" fillId="33" borderId="0" xfId="51" applyNumberFormat="1" applyAlignment="1">
      <alignment vertical="top"/>
    </xf>
    <xf numFmtId="165" fontId="31" fillId="41" borderId="13" xfId="45" applyNumberFormat="1" applyBorder="1" applyAlignment="1">
      <alignment horizontal="centerContinuous"/>
    </xf>
    <xf numFmtId="165" fontId="31" fillId="41" borderId="15" xfId="45" applyNumberFormat="1" applyBorder="1">
      <alignment horizontal="center"/>
    </xf>
    <xf numFmtId="0" fontId="28" fillId="38" borderId="1" xfId="46" applyBorder="1" applyAlignment="1" applyProtection="1">
      <alignment horizontal="left" vertical="top"/>
    </xf>
    <xf numFmtId="0" fontId="28" fillId="38" borderId="18" xfId="46" applyBorder="1" applyAlignment="1" applyProtection="1">
      <alignment horizontal="centerContinuous" vertical="top"/>
    </xf>
    <xf numFmtId="3" fontId="0" fillId="33" borderId="0" xfId="0" applyNumberFormat="1" applyAlignment="1">
      <alignment horizontal="center" vertical="top"/>
    </xf>
    <xf numFmtId="167" fontId="4" fillId="44" borderId="0" xfId="57" applyNumberFormat="1" applyBorder="1" applyProtection="1">
      <alignment vertical="top"/>
      <protection locked="0"/>
    </xf>
    <xf numFmtId="9" fontId="29" fillId="37" borderId="17" xfId="56" applyNumberFormat="1" applyProtection="1">
      <alignment vertical="top"/>
      <protection locked="0"/>
    </xf>
    <xf numFmtId="4" fontId="4" fillId="33" borderId="0" xfId="51" applyNumberFormat="1" applyAlignment="1">
      <alignment vertical="top"/>
    </xf>
    <xf numFmtId="3" fontId="29" fillId="37" borderId="17" xfId="56" applyNumberFormat="1" applyProtection="1">
      <alignment vertical="top"/>
      <protection locked="0"/>
    </xf>
    <xf numFmtId="164" fontId="37" fillId="33" borderId="0" xfId="52" applyNumberFormat="1">
      <alignment vertical="top"/>
    </xf>
    <xf numFmtId="181" fontId="29" fillId="42" borderId="17" xfId="68" applyNumberFormat="1" applyAlignment="1">
      <alignment vertical="top"/>
    </xf>
    <xf numFmtId="167" fontId="29" fillId="37" borderId="17" xfId="56" applyNumberFormat="1" applyAlignment="1">
      <alignment horizontal="center" vertical="top"/>
    </xf>
    <xf numFmtId="167" fontId="37" fillId="33" borderId="0" xfId="52" applyNumberFormat="1" applyAlignment="1">
      <alignment horizontal="center" vertical="top"/>
    </xf>
    <xf numFmtId="0" fontId="35" fillId="33" borderId="0" xfId="47" applyNumberFormat="1" applyFill="1" applyProtection="1">
      <alignment horizontal="left" vertical="center"/>
    </xf>
    <xf numFmtId="164" fontId="29" fillId="37" borderId="17" xfId="56" applyNumberFormat="1" applyAlignment="1">
      <alignment vertical="top"/>
    </xf>
    <xf numFmtId="164" fontId="29" fillId="40" borderId="17" xfId="58" applyNumberFormat="1" applyAlignment="1">
      <alignment vertical="top"/>
      <protection locked="0"/>
    </xf>
    <xf numFmtId="10" fontId="29" fillId="37" borderId="17" xfId="56" applyNumberFormat="1" applyAlignment="1">
      <alignment vertical="top"/>
    </xf>
    <xf numFmtId="10" fontId="4" fillId="33" borderId="0" xfId="51" applyNumberFormat="1">
      <alignment vertical="top"/>
    </xf>
    <xf numFmtId="10" fontId="29" fillId="40" borderId="17" xfId="58" applyNumberFormat="1" applyAlignment="1">
      <alignment vertical="top"/>
      <protection locked="0"/>
    </xf>
    <xf numFmtId="0" fontId="48" fillId="33" borderId="0" xfId="0" applyFont="1">
      <alignment vertical="top"/>
    </xf>
    <xf numFmtId="0" fontId="35" fillId="33" borderId="0" xfId="47" applyNumberFormat="1" applyFill="1" applyProtection="1">
      <alignment horizontal="left" vertical="center"/>
    </xf>
    <xf numFmtId="0" fontId="42" fillId="33" borderId="0" xfId="0" applyNumberFormat="1" applyFont="1">
      <alignment vertical="top"/>
    </xf>
    <xf numFmtId="9" fontId="4" fillId="33" borderId="0" xfId="51" applyNumberFormat="1">
      <alignment vertical="top"/>
    </xf>
    <xf numFmtId="0" fontId="0" fillId="33" borderId="0" xfId="0" quotePrefix="1" applyAlignment="1">
      <alignment horizontal="center" vertical="top"/>
    </xf>
    <xf numFmtId="0" fontId="28" fillId="38" borderId="19" xfId="46" applyBorder="1" applyAlignment="1" applyProtection="1">
      <alignment horizontal="centerContinuous" vertical="top"/>
    </xf>
    <xf numFmtId="0" fontId="35" fillId="33" borderId="0" xfId="47" applyNumberFormat="1" applyFill="1" applyProtection="1">
      <alignment horizontal="left" vertical="center"/>
    </xf>
    <xf numFmtId="0" fontId="37" fillId="33" borderId="0" xfId="52" applyNumberFormat="1" applyAlignment="1">
      <alignment horizontal="center" vertical="top"/>
    </xf>
    <xf numFmtId="0" fontId="42" fillId="33" borderId="0" xfId="0" applyFont="1">
      <alignment vertical="top"/>
    </xf>
    <xf numFmtId="9" fontId="0" fillId="33" borderId="0" xfId="0" applyNumberFormat="1">
      <alignment vertical="top"/>
    </xf>
    <xf numFmtId="3" fontId="29" fillId="42" borderId="17" xfId="68" applyNumberFormat="1">
      <alignment vertical="top"/>
    </xf>
    <xf numFmtId="164" fontId="4" fillId="33" borderId="0" xfId="51" applyNumberFormat="1" applyAlignment="1">
      <alignment horizontal="center" vertical="top"/>
    </xf>
    <xf numFmtId="0" fontId="35" fillId="33" borderId="0" xfId="47" applyNumberFormat="1" applyFill="1" applyProtection="1">
      <alignment horizontal="left" vertical="center"/>
    </xf>
    <xf numFmtId="167" fontId="29" fillId="37" borderId="17" xfId="56" applyNumberFormat="1">
      <alignment vertical="top"/>
    </xf>
    <xf numFmtId="9" fontId="0" fillId="33" borderId="0" xfId="0" applyNumberFormat="1" applyFont="1">
      <alignment vertical="top"/>
    </xf>
    <xf numFmtId="9" fontId="29" fillId="37" borderId="17" xfId="56" applyNumberFormat="1" applyAlignment="1" applyProtection="1">
      <alignment horizontal="center" vertical="top"/>
      <protection locked="0"/>
    </xf>
    <xf numFmtId="4" fontId="0" fillId="33" borderId="0" xfId="0" applyNumberFormat="1">
      <alignment vertical="top"/>
    </xf>
    <xf numFmtId="9" fontId="29" fillId="40" borderId="17" xfId="58" applyNumberFormat="1">
      <alignment vertical="top"/>
      <protection locked="0"/>
    </xf>
    <xf numFmtId="164" fontId="29" fillId="37" borderId="17" xfId="56" applyNumberFormat="1" applyProtection="1">
      <alignment vertical="top"/>
      <protection locked="0"/>
    </xf>
    <xf numFmtId="0" fontId="35" fillId="33" borderId="0" xfId="47" applyNumberFormat="1" applyFill="1" applyProtection="1">
      <alignment horizontal="left" vertical="center"/>
    </xf>
    <xf numFmtId="0" fontId="0" fillId="33" borderId="0" xfId="0">
      <alignment vertical="top"/>
    </xf>
    <xf numFmtId="0" fontId="0" fillId="33" borderId="0" xfId="0" applyAlignment="1">
      <alignment horizontal="center" vertical="top"/>
    </xf>
    <xf numFmtId="167" fontId="29" fillId="42" borderId="17" xfId="68" applyNumberFormat="1">
      <alignment vertical="top"/>
    </xf>
    <xf numFmtId="0" fontId="29" fillId="44" borderId="17" xfId="57" applyFont="1" applyAlignment="1" applyProtection="1">
      <alignment horizontal="center" vertical="top"/>
      <protection locked="0"/>
    </xf>
    <xf numFmtId="0" fontId="35" fillId="33" borderId="0" xfId="47" applyNumberFormat="1" applyFill="1" applyProtection="1">
      <alignment horizontal="left" vertical="center"/>
    </xf>
    <xf numFmtId="3" fontId="4" fillId="33" borderId="23" xfId="67" applyNumberFormat="1">
      <alignment vertical="top"/>
    </xf>
    <xf numFmtId="164" fontId="4" fillId="33" borderId="23" xfId="67" applyNumberFormat="1">
      <alignment vertical="top"/>
    </xf>
    <xf numFmtId="0" fontId="49" fillId="33" borderId="28" xfId="45" applyNumberFormat="1" applyFont="1" applyFill="1" applyBorder="1">
      <alignment horizontal="center"/>
    </xf>
    <xf numFmtId="0" fontId="49" fillId="33" borderId="28" xfId="45" applyNumberFormat="1" applyFont="1" applyFill="1" applyBorder="1" applyAlignment="1">
      <alignment horizontal="centerContinuous"/>
    </xf>
    <xf numFmtId="0" fontId="49" fillId="33" borderId="0" xfId="45" applyNumberFormat="1" applyFont="1" applyFill="1" applyBorder="1">
      <alignment horizontal="center"/>
    </xf>
    <xf numFmtId="0" fontId="49" fillId="33" borderId="0" xfId="45" applyNumberFormat="1" applyFont="1" applyFill="1" applyBorder="1" applyAlignment="1">
      <alignment horizontal="centerContinuous"/>
    </xf>
    <xf numFmtId="0" fontId="49" fillId="33" borderId="29" xfId="45" applyNumberFormat="1" applyFont="1" applyFill="1" applyBorder="1" applyAlignment="1">
      <alignment horizontal="left"/>
    </xf>
    <xf numFmtId="0" fontId="49" fillId="33" borderId="29" xfId="45" applyNumberFormat="1" applyFont="1" applyFill="1" applyBorder="1">
      <alignment horizontal="center"/>
    </xf>
    <xf numFmtId="0" fontId="0" fillId="33" borderId="30" xfId="0" applyBorder="1">
      <alignment vertical="top"/>
    </xf>
    <xf numFmtId="0" fontId="5" fillId="33" borderId="0" xfId="0" applyFont="1" applyAlignment="1">
      <alignment vertical="center"/>
    </xf>
    <xf numFmtId="3" fontId="5" fillId="33" borderId="0" xfId="0" applyNumberFormat="1" applyFont="1" applyAlignment="1">
      <alignment horizontal="center" vertical="center"/>
    </xf>
    <xf numFmtId="164" fontId="5" fillId="33" borderId="0" xfId="0" applyNumberFormat="1" applyFont="1" applyAlignment="1">
      <alignment horizontal="center" vertical="center"/>
    </xf>
    <xf numFmtId="3" fontId="5" fillId="33" borderId="0" xfId="0" applyNumberFormat="1" applyFont="1" applyAlignment="1">
      <alignment horizontal="left" vertical="center"/>
    </xf>
    <xf numFmtId="0" fontId="5" fillId="33" borderId="0" xfId="0" applyNumberFormat="1" applyFont="1" applyBorder="1" applyAlignment="1">
      <alignment horizontal="right" vertical="center"/>
    </xf>
    <xf numFmtId="0" fontId="49" fillId="33" borderId="31" xfId="45" applyNumberFormat="1" applyFont="1" applyFill="1" applyBorder="1" applyAlignment="1">
      <alignment horizontal="centerContinuous"/>
    </xf>
    <xf numFmtId="0" fontId="52" fillId="33" borderId="29" xfId="45" applyNumberFormat="1" applyFont="1" applyFill="1" applyBorder="1">
      <alignment horizontal="center"/>
    </xf>
    <xf numFmtId="0" fontId="49" fillId="33" borderId="0" xfId="45" applyNumberFormat="1" applyFont="1" applyFill="1" applyBorder="1" applyAlignment="1">
      <alignment horizontal="left"/>
    </xf>
    <xf numFmtId="4" fontId="5" fillId="33" borderId="0" xfId="0" applyNumberFormat="1" applyFont="1" applyBorder="1" applyAlignment="1">
      <alignment horizontal="right" vertical="center"/>
    </xf>
    <xf numFmtId="3" fontId="5" fillId="33" borderId="0" xfId="0" applyNumberFormat="1" applyFont="1" applyBorder="1" applyAlignment="1">
      <alignment horizontal="right" vertical="center"/>
    </xf>
    <xf numFmtId="3" fontId="5" fillId="33" borderId="0" xfId="0" quotePrefix="1" applyNumberFormat="1" applyFont="1" applyAlignment="1">
      <alignment horizontal="center" vertical="center"/>
    </xf>
    <xf numFmtId="181" fontId="5" fillId="33" borderId="0" xfId="0" applyNumberFormat="1" applyFont="1" applyAlignment="1">
      <alignment horizontal="center" vertical="center"/>
    </xf>
    <xf numFmtId="181" fontId="5" fillId="33" borderId="0" xfId="0" quotePrefix="1" applyNumberFormat="1" applyFont="1" applyAlignment="1">
      <alignment horizontal="center" vertical="center"/>
    </xf>
    <xf numFmtId="0" fontId="5" fillId="33" borderId="0" xfId="0" applyNumberFormat="1" applyFont="1" applyBorder="1" applyAlignment="1">
      <alignment horizontal="center" vertical="center"/>
    </xf>
    <xf numFmtId="181" fontId="4" fillId="33" borderId="23" xfId="67" applyNumberFormat="1">
      <alignment vertical="top"/>
    </xf>
    <xf numFmtId="9" fontId="4" fillId="33" borderId="23" xfId="67" applyNumberFormat="1">
      <alignment vertical="top"/>
    </xf>
    <xf numFmtId="0" fontId="52" fillId="33" borderId="29" xfId="45" applyNumberFormat="1" applyFont="1" applyFill="1" applyBorder="1" applyAlignment="1">
      <alignment horizontal="center" vertical="center"/>
    </xf>
    <xf numFmtId="164" fontId="5" fillId="33" borderId="0" xfId="0" quotePrefix="1" applyNumberFormat="1" applyFont="1" applyAlignment="1">
      <alignment horizontal="center" vertical="center"/>
    </xf>
    <xf numFmtId="181" fontId="29" fillId="42" borderId="17" xfId="68" applyNumberFormat="1">
      <alignment vertical="top"/>
    </xf>
    <xf numFmtId="0" fontId="35" fillId="33" borderId="0" xfId="47" applyNumberFormat="1" applyFill="1" applyProtection="1">
      <alignment horizontal="left" vertical="center"/>
    </xf>
    <xf numFmtId="0" fontId="49" fillId="33" borderId="32" xfId="45" applyNumberFormat="1" applyFont="1" applyFill="1" applyBorder="1">
      <alignment horizontal="center"/>
    </xf>
    <xf numFmtId="0" fontId="0" fillId="33" borderId="0" xfId="0" applyAlignment="1">
      <alignment horizontal="center" vertical="top"/>
    </xf>
    <xf numFmtId="0" fontId="49" fillId="33" borderId="33" xfId="45" applyNumberFormat="1" applyFont="1" applyFill="1" applyBorder="1" applyAlignment="1">
      <alignment horizontal="centerContinuous"/>
    </xf>
    <xf numFmtId="0" fontId="49" fillId="33" borderId="32" xfId="45" applyNumberFormat="1" applyFont="1" applyFill="1" applyBorder="1" applyAlignment="1">
      <alignment horizontal="left"/>
    </xf>
    <xf numFmtId="0" fontId="0" fillId="33" borderId="0" xfId="0">
      <alignment vertical="top"/>
    </xf>
    <xf numFmtId="0" fontId="4" fillId="33" borderId="0" xfId="0" applyFont="1" applyAlignment="1">
      <alignment vertical="center"/>
    </xf>
    <xf numFmtId="0" fontId="0" fillId="33" borderId="0" xfId="0" applyProtection="1">
      <alignment vertical="top"/>
    </xf>
    <xf numFmtId="4" fontId="5" fillId="33" borderId="0" xfId="0" applyNumberFormat="1" applyFont="1" applyAlignment="1">
      <alignment horizontal="center" vertical="center"/>
    </xf>
    <xf numFmtId="0" fontId="4" fillId="33" borderId="0" xfId="45" applyNumberFormat="1" applyFont="1" applyFill="1" applyBorder="1" applyAlignment="1">
      <alignment horizontal="left"/>
    </xf>
    <xf numFmtId="0" fontId="4" fillId="33" borderId="0" xfId="45" applyNumberFormat="1" applyFont="1" applyFill="1" applyBorder="1">
      <alignment horizontal="center"/>
    </xf>
    <xf numFmtId="0" fontId="5" fillId="33" borderId="0" xfId="45" applyNumberFormat="1" applyFont="1" applyFill="1" applyBorder="1" applyAlignment="1">
      <alignment horizontal="centerContinuous"/>
    </xf>
    <xf numFmtId="167" fontId="5" fillId="33" borderId="0" xfId="45" applyNumberFormat="1" applyFont="1" applyFill="1" applyBorder="1">
      <alignment horizontal="center"/>
    </xf>
    <xf numFmtId="4" fontId="5" fillId="33" borderId="0" xfId="45" applyNumberFormat="1" applyFont="1" applyFill="1" applyBorder="1">
      <alignment horizontal="center"/>
    </xf>
    <xf numFmtId="0" fontId="4" fillId="33" borderId="0" xfId="45" applyNumberFormat="1" applyFont="1" applyFill="1" applyBorder="1" applyAlignment="1">
      <alignment horizontal="left" vertical="center"/>
    </xf>
    <xf numFmtId="0" fontId="4" fillId="33" borderId="0" xfId="45" applyNumberFormat="1" applyFont="1" applyFill="1" applyBorder="1" applyAlignment="1">
      <alignment horizontal="center" vertical="center"/>
    </xf>
    <xf numFmtId="0" fontId="49" fillId="33" borderId="30" xfId="45" applyNumberFormat="1" applyFont="1" applyFill="1" applyBorder="1" applyAlignment="1">
      <alignment horizontal="left"/>
    </xf>
    <xf numFmtId="0" fontId="49" fillId="33" borderId="30" xfId="45" applyNumberFormat="1" applyFont="1" applyFill="1" applyBorder="1">
      <alignment horizontal="center"/>
    </xf>
    <xf numFmtId="0" fontId="49" fillId="33" borderId="30" xfId="45" applyNumberFormat="1" applyFont="1" applyFill="1" applyBorder="1" applyAlignment="1">
      <alignment horizontal="centerContinuous"/>
    </xf>
    <xf numFmtId="164" fontId="5" fillId="33" borderId="0" xfId="0" applyNumberFormat="1" applyFont="1" applyBorder="1" applyAlignment="1">
      <alignment horizontal="center" vertical="center"/>
    </xf>
    <xf numFmtId="164" fontId="5" fillId="33" borderId="0" xfId="45" applyNumberFormat="1" applyFont="1" applyFill="1" applyBorder="1" applyAlignment="1">
      <alignment horizontal="centerContinuous" vertical="center"/>
    </xf>
    <xf numFmtId="164" fontId="1" fillId="33" borderId="0" xfId="0" applyNumberFormat="1" applyFont="1" applyBorder="1" applyAlignment="1">
      <alignment horizontal="center" vertical="center"/>
    </xf>
    <xf numFmtId="164" fontId="5" fillId="33" borderId="0" xfId="0" applyNumberFormat="1" applyFont="1" applyBorder="1" applyAlignment="1">
      <alignment horizontal="right" vertical="center"/>
    </xf>
    <xf numFmtId="164" fontId="5" fillId="33" borderId="0" xfId="45" applyNumberFormat="1" applyFont="1" applyFill="1" applyBorder="1" applyAlignment="1">
      <alignment horizontal="right" vertical="center"/>
    </xf>
    <xf numFmtId="164" fontId="5" fillId="33" borderId="0" xfId="0" applyNumberFormat="1" applyFont="1" applyAlignment="1">
      <alignment horizontal="left" vertical="center"/>
    </xf>
    <xf numFmtId="164" fontId="5" fillId="33" borderId="0" xfId="45" applyNumberFormat="1" applyFont="1" applyFill="1" applyBorder="1" applyAlignment="1">
      <alignment horizontal="left" vertical="center"/>
    </xf>
    <xf numFmtId="0" fontId="49" fillId="33" borderId="31" xfId="45" applyNumberFormat="1" applyFont="1" applyFill="1" applyBorder="1" applyAlignment="1">
      <alignment horizontal="left"/>
    </xf>
    <xf numFmtId="0" fontId="49" fillId="33" borderId="31" xfId="45" applyNumberFormat="1" applyFont="1" applyFill="1" applyBorder="1">
      <alignment horizontal="center"/>
    </xf>
    <xf numFmtId="0" fontId="35" fillId="33" borderId="0" xfId="47" applyNumberFormat="1" applyFill="1" applyProtection="1">
      <alignment horizontal="left" vertical="center"/>
    </xf>
    <xf numFmtId="4" fontId="37" fillId="33" borderId="0" xfId="52" applyNumberFormat="1" applyAlignment="1">
      <alignment horizontal="center" vertical="top"/>
    </xf>
    <xf numFmtId="0" fontId="4" fillId="33" borderId="0" xfId="51" applyNumberFormat="1" applyFill="1" applyAlignment="1">
      <alignment horizontal="center" vertical="top"/>
    </xf>
    <xf numFmtId="4" fontId="4" fillId="33" borderId="0" xfId="51" applyNumberFormat="1" applyFill="1" applyAlignment="1">
      <alignment horizontal="center" vertical="top"/>
    </xf>
    <xf numFmtId="167" fontId="4" fillId="33" borderId="0" xfId="51" applyNumberFormat="1" applyFill="1" applyAlignment="1">
      <alignment horizontal="center" vertical="top"/>
    </xf>
    <xf numFmtId="4" fontId="4" fillId="33" borderId="0" xfId="51" applyNumberFormat="1" applyFont="1" applyAlignment="1">
      <alignment horizontal="center" vertical="top"/>
    </xf>
    <xf numFmtId="3" fontId="37" fillId="33" borderId="0" xfId="52" applyNumberFormat="1" applyAlignment="1">
      <alignment vertical="top"/>
    </xf>
    <xf numFmtId="0" fontId="0" fillId="33" borderId="0" xfId="0" applyNumberFormat="1" applyAlignment="1">
      <alignment vertical="top"/>
    </xf>
    <xf numFmtId="0" fontId="28" fillId="38" borderId="1" xfId="46" applyNumberFormat="1" applyBorder="1">
      <alignment horizontal="left"/>
    </xf>
    <xf numFmtId="0" fontId="28" fillId="38" borderId="18" xfId="46" applyNumberFormat="1" applyBorder="1">
      <alignment horizontal="left"/>
    </xf>
    <xf numFmtId="164" fontId="5" fillId="33" borderId="34" xfId="0" applyNumberFormat="1" applyFont="1" applyBorder="1" applyAlignment="1">
      <alignment horizontal="right" vertical="center"/>
    </xf>
    <xf numFmtId="164" fontId="5" fillId="33" borderId="34" xfId="0" applyNumberFormat="1" applyFont="1" applyBorder="1" applyAlignment="1">
      <alignment horizontal="center" vertical="center"/>
    </xf>
    <xf numFmtId="164" fontId="5" fillId="33" borderId="34" xfId="0" applyNumberFormat="1" applyFont="1" applyBorder="1" applyAlignment="1">
      <alignment horizontal="left" vertical="center"/>
    </xf>
    <xf numFmtId="0" fontId="35" fillId="33" borderId="0" xfId="47" applyNumberFormat="1" applyFill="1" applyProtection="1">
      <alignment horizontal="left" vertical="center"/>
    </xf>
    <xf numFmtId="0" fontId="49" fillId="33" borderId="31" xfId="45" applyNumberFormat="1" applyFont="1" applyFill="1" applyBorder="1" applyAlignment="1">
      <alignment horizontal="center"/>
    </xf>
    <xf numFmtId="3" fontId="5" fillId="33" borderId="0" xfId="0" applyNumberFormat="1" applyFont="1" applyBorder="1" applyAlignment="1">
      <alignment horizontal="center" vertical="center"/>
    </xf>
    <xf numFmtId="3" fontId="1" fillId="33" borderId="0" xfId="0" applyNumberFormat="1" applyFont="1" applyBorder="1" applyAlignment="1">
      <alignment horizontal="center" vertical="center"/>
    </xf>
    <xf numFmtId="3" fontId="4" fillId="33" borderId="34" xfId="0" applyNumberFormat="1" applyFont="1" applyBorder="1" applyAlignment="1">
      <alignment horizontal="center" vertical="center"/>
    </xf>
    <xf numFmtId="0" fontId="0" fillId="33" borderId="0" xfId="0" applyAlignment="1">
      <alignment vertical="center"/>
    </xf>
    <xf numFmtId="0" fontId="4" fillId="33" borderId="0" xfId="51" applyNumberFormat="1" applyAlignment="1">
      <alignment horizontal="left" vertical="center"/>
    </xf>
    <xf numFmtId="0" fontId="35" fillId="33" borderId="0" xfId="47" applyNumberFormat="1" applyFill="1" applyProtection="1">
      <alignment horizontal="left" vertical="center"/>
    </xf>
    <xf numFmtId="0" fontId="0" fillId="33" borderId="0" xfId="0" applyNumberFormat="1" applyAlignment="1">
      <alignment horizontal="right" vertical="top"/>
    </xf>
    <xf numFmtId="0" fontId="0" fillId="33" borderId="0" xfId="0" applyNumberFormat="1" applyBorder="1" applyAlignment="1">
      <alignment horizontal="right" vertical="top"/>
    </xf>
    <xf numFmtId="9" fontId="29" fillId="37" borderId="17" xfId="56" applyNumberFormat="1" applyAlignment="1">
      <alignment horizontal="center" vertical="top"/>
    </xf>
    <xf numFmtId="181" fontId="4" fillId="33" borderId="0" xfId="51" applyNumberFormat="1" applyAlignment="1">
      <alignment horizontal="center" vertical="top"/>
    </xf>
    <xf numFmtId="3" fontId="4" fillId="33" borderId="0" xfId="51" applyNumberFormat="1" applyFont="1" applyAlignment="1">
      <alignment horizontal="center" vertical="top"/>
    </xf>
    <xf numFmtId="0" fontId="35" fillId="33" borderId="0" xfId="47" applyNumberFormat="1" applyFill="1" applyProtection="1">
      <alignment horizontal="left" vertical="center"/>
    </xf>
    <xf numFmtId="167" fontId="30" fillId="33" borderId="0" xfId="48" applyNumberFormat="1"/>
    <xf numFmtId="167" fontId="33" fillId="33" borderId="0" xfId="54" applyNumberFormat="1" applyAlignment="1">
      <alignment horizontal="left" vertical="top"/>
    </xf>
    <xf numFmtId="0" fontId="0" fillId="33" borderId="0" xfId="0" applyNumberFormat="1" applyAlignment="1">
      <alignment horizontal="left" vertical="top" indent="2"/>
    </xf>
    <xf numFmtId="167" fontId="4" fillId="33" borderId="35" xfId="51" applyNumberFormat="1" applyBorder="1" applyAlignment="1">
      <alignment horizontal="center" vertical="top"/>
    </xf>
    <xf numFmtId="0" fontId="28" fillId="38" borderId="1" xfId="46" applyFont="1" applyBorder="1" applyProtection="1">
      <alignment horizontal="left"/>
    </xf>
    <xf numFmtId="167" fontId="29" fillId="37" borderId="17" xfId="56" applyNumberFormat="1" applyAlignment="1">
      <alignment vertical="top"/>
    </xf>
    <xf numFmtId="181" fontId="4" fillId="33" borderId="0" xfId="51" applyNumberFormat="1">
      <alignment vertical="top"/>
    </xf>
    <xf numFmtId="167" fontId="29" fillId="40" borderId="17" xfId="58" applyNumberFormat="1" applyAlignment="1">
      <alignment vertical="top"/>
      <protection locked="0"/>
    </xf>
    <xf numFmtId="0" fontId="0" fillId="33" borderId="0" xfId="0" applyNumberFormat="1" applyAlignment="1">
      <alignment horizontal="center" vertical="top"/>
    </xf>
    <xf numFmtId="167" fontId="0" fillId="33" borderId="0" xfId="0" applyNumberFormat="1" applyAlignment="1">
      <alignment horizontal="center" vertical="top"/>
    </xf>
    <xf numFmtId="9" fontId="4" fillId="33" borderId="0" xfId="51" applyNumberFormat="1" applyAlignment="1">
      <alignment horizontal="center" vertical="center"/>
    </xf>
    <xf numFmtId="3" fontId="4" fillId="33" borderId="0" xfId="51" applyNumberFormat="1" applyAlignment="1">
      <alignment horizontal="center" vertical="center"/>
    </xf>
    <xf numFmtId="0" fontId="0" fillId="33" borderId="0" xfId="0" applyBorder="1" applyAlignment="1">
      <alignment vertical="center"/>
    </xf>
    <xf numFmtId="3" fontId="0" fillId="33" borderId="0" xfId="0" applyNumberFormat="1" applyAlignment="1">
      <alignment horizontal="center" vertical="center"/>
    </xf>
    <xf numFmtId="165" fontId="31" fillId="41" borderId="14" xfId="45" applyNumberFormat="1" applyBorder="1" applyAlignment="1">
      <alignment horizontal="centerContinuous"/>
    </xf>
    <xf numFmtId="165" fontId="31" fillId="41" borderId="3" xfId="45" applyNumberFormat="1" applyBorder="1" applyAlignment="1">
      <alignment horizontal="centerContinuous"/>
    </xf>
    <xf numFmtId="165" fontId="31" fillId="41" borderId="36" xfId="45" applyNumberFormat="1" applyBorder="1" applyAlignment="1">
      <alignment horizontal="centerContinuous"/>
    </xf>
    <xf numFmtId="0" fontId="35" fillId="33" borderId="0" xfId="47" applyNumberFormat="1" applyFill="1" applyProtection="1">
      <alignment horizontal="left" vertical="center"/>
    </xf>
    <xf numFmtId="165" fontId="31" fillId="41" borderId="36" xfId="45" applyNumberFormat="1" applyBorder="1" applyAlignment="1">
      <alignment horizontal="center"/>
    </xf>
    <xf numFmtId="165" fontId="31" fillId="41" borderId="37" xfId="45" applyNumberFormat="1" applyBorder="1" applyAlignment="1">
      <alignment horizontal="center"/>
    </xf>
    <xf numFmtId="165" fontId="31" fillId="41" borderId="0" xfId="45" applyNumberFormat="1" applyBorder="1" applyAlignment="1">
      <alignment horizontal="center"/>
    </xf>
    <xf numFmtId="165" fontId="31" fillId="41" borderId="38" xfId="45" applyNumberFormat="1" applyBorder="1" applyAlignment="1">
      <alignment horizontal="center"/>
    </xf>
    <xf numFmtId="165" fontId="31" fillId="41" borderId="14" xfId="45" applyNumberFormat="1" applyBorder="1" applyAlignment="1">
      <alignment horizontal="center"/>
    </xf>
    <xf numFmtId="165" fontId="31" fillId="41" borderId="16" xfId="45" applyNumberFormat="1" applyBorder="1" applyAlignment="1">
      <alignment horizontal="center"/>
    </xf>
    <xf numFmtId="165" fontId="31" fillId="41" borderId="15" xfId="45" applyNumberFormat="1" applyBorder="1" applyAlignment="1">
      <alignment horizontal="center"/>
    </xf>
    <xf numFmtId="9" fontId="29" fillId="33" borderId="23" xfId="67" applyNumberFormat="1" applyFont="1" applyAlignment="1">
      <alignment vertical="top"/>
    </xf>
    <xf numFmtId="3" fontId="29" fillId="33" borderId="23" xfId="67" applyNumberFormat="1" applyFont="1" applyAlignment="1">
      <alignment vertical="top"/>
    </xf>
    <xf numFmtId="181" fontId="29" fillId="33" borderId="23" xfId="67" applyNumberFormat="1" applyFont="1" applyAlignment="1">
      <alignment vertical="top"/>
    </xf>
    <xf numFmtId="9" fontId="4" fillId="33" borderId="23" xfId="67" applyNumberFormat="1" applyAlignment="1">
      <alignment vertical="top"/>
    </xf>
    <xf numFmtId="0" fontId="0" fillId="33" borderId="0" xfId="0" applyBorder="1" applyAlignment="1">
      <alignment horizontal="left" vertical="center" indent="2"/>
    </xf>
    <xf numFmtId="3" fontId="4" fillId="33" borderId="39" xfId="51" applyNumberFormat="1" applyBorder="1" applyAlignment="1">
      <alignment horizontal="center" vertical="center"/>
    </xf>
    <xf numFmtId="14" fontId="0" fillId="33" borderId="0" xfId="0" applyNumberFormat="1" applyAlignment="1">
      <alignment horizontal="center" vertical="top"/>
    </xf>
    <xf numFmtId="0" fontId="0" fillId="33" borderId="0" xfId="0" applyAlignment="1">
      <alignment horizontal="center" vertical="top" wrapText="1"/>
    </xf>
    <xf numFmtId="3" fontId="29" fillId="37" borderId="17" xfId="56" applyNumberFormat="1" applyAlignment="1" applyProtection="1">
      <alignment horizontal="center" vertical="top"/>
      <protection locked="0"/>
    </xf>
    <xf numFmtId="4" fontId="0" fillId="33" borderId="0" xfId="0" applyNumberFormat="1" applyFont="1" applyBorder="1">
      <alignment vertical="top"/>
    </xf>
    <xf numFmtId="0" fontId="35" fillId="33" borderId="0" xfId="47" applyNumberFormat="1" applyFill="1" applyProtection="1">
      <alignment horizontal="left" vertical="center"/>
    </xf>
    <xf numFmtId="3" fontId="42" fillId="33" borderId="0" xfId="0" applyNumberFormat="1" applyFont="1">
      <alignment vertical="top"/>
    </xf>
    <xf numFmtId="167" fontId="4" fillId="33" borderId="0" xfId="51" applyNumberFormat="1" applyFont="1" applyAlignment="1">
      <alignment horizontal="center" vertical="top"/>
    </xf>
    <xf numFmtId="0" fontId="31" fillId="41" borderId="17" xfId="45" applyAlignment="1">
      <alignment horizontal="centerContinuous"/>
    </xf>
    <xf numFmtId="181" fontId="4" fillId="33" borderId="0" xfId="51" applyNumberFormat="1" applyAlignment="1">
      <alignment horizontal="center" vertical="center"/>
    </xf>
    <xf numFmtId="4" fontId="37" fillId="33" borderId="0" xfId="52" applyNumberFormat="1">
      <alignment vertical="top"/>
    </xf>
    <xf numFmtId="4" fontId="29" fillId="42" borderId="17" xfId="68" applyNumberFormat="1" applyAlignment="1">
      <alignment vertical="top"/>
    </xf>
    <xf numFmtId="0" fontId="31" fillId="41" borderId="19" xfId="45" applyBorder="1">
      <alignment horizontal="center"/>
    </xf>
    <xf numFmtId="0" fontId="0" fillId="33" borderId="0" xfId="0" applyFont="1" applyAlignment="1">
      <alignment vertical="center" wrapText="1"/>
    </xf>
    <xf numFmtId="0" fontId="35" fillId="33" borderId="0" xfId="47" applyNumberFormat="1" applyFill="1" applyProtection="1">
      <alignment horizontal="left" vertical="center"/>
    </xf>
    <xf numFmtId="9" fontId="29" fillId="37" borderId="17" xfId="56" applyNumberFormat="1">
      <alignment vertical="top"/>
    </xf>
    <xf numFmtId="181" fontId="29" fillId="37" borderId="17" xfId="56" applyNumberFormat="1">
      <alignment vertical="top"/>
    </xf>
    <xf numFmtId="9" fontId="5" fillId="33" borderId="0" xfId="0" applyNumberFormat="1" applyFont="1" applyAlignment="1">
      <alignment vertical="center"/>
    </xf>
    <xf numFmtId="9" fontId="5" fillId="33" borderId="0" xfId="0" applyNumberFormat="1" applyFont="1" applyBorder="1" applyAlignment="1">
      <alignment horizontal="center" vertical="center"/>
    </xf>
    <xf numFmtId="9" fontId="5" fillId="33" borderId="0" xfId="0" applyNumberFormat="1" applyFont="1" applyAlignment="1">
      <alignment horizontal="center" vertical="center"/>
    </xf>
    <xf numFmtId="0" fontId="5" fillId="33" borderId="0" xfId="0" quotePrefix="1" applyNumberFormat="1" applyFont="1" applyBorder="1" applyAlignment="1">
      <alignment horizontal="right" vertical="center"/>
    </xf>
    <xf numFmtId="0" fontId="5" fillId="33" borderId="0" xfId="0" quotePrefix="1" applyNumberFormat="1" applyFont="1" applyBorder="1" applyAlignment="1">
      <alignment horizontal="left" vertical="center"/>
    </xf>
    <xf numFmtId="0" fontId="49" fillId="33" borderId="40" xfId="45" applyNumberFormat="1" applyFont="1" applyFill="1" applyBorder="1">
      <alignment horizontal="center"/>
    </xf>
    <xf numFmtId="0" fontId="49" fillId="33" borderId="40" xfId="45" applyNumberFormat="1" applyFont="1" applyFill="1" applyBorder="1" applyAlignment="1">
      <alignment horizontal="centerContinuous"/>
    </xf>
    <xf numFmtId="181" fontId="5" fillId="33" borderId="0" xfId="0" applyNumberFormat="1" applyFont="1" applyBorder="1" applyAlignment="1">
      <alignment horizontal="center" vertical="center"/>
    </xf>
    <xf numFmtId="9" fontId="29" fillId="44" borderId="17" xfId="57" applyNumberFormat="1" applyFont="1" applyAlignment="1" applyProtection="1">
      <alignment horizontal="center" vertical="top"/>
      <protection locked="0"/>
    </xf>
    <xf numFmtId="181" fontId="4" fillId="33" borderId="0" xfId="51" applyNumberFormat="1" applyAlignment="1">
      <alignment vertical="top"/>
    </xf>
    <xf numFmtId="165" fontId="5" fillId="33" borderId="0" xfId="0" applyNumberFormat="1" applyFont="1" applyBorder="1" applyAlignment="1">
      <alignment horizontal="right" vertical="center"/>
    </xf>
    <xf numFmtId="165" fontId="5" fillId="33" borderId="0" xfId="0" applyNumberFormat="1" applyFont="1" applyAlignment="1">
      <alignment horizontal="left" vertical="center"/>
    </xf>
    <xf numFmtId="165" fontId="5" fillId="33" borderId="0" xfId="45" applyNumberFormat="1" applyFont="1" applyFill="1" applyBorder="1" applyAlignment="1">
      <alignment horizontal="left" vertical="center"/>
    </xf>
    <xf numFmtId="0" fontId="0" fillId="33" borderId="0" xfId="0" applyBorder="1" applyAlignment="1">
      <alignment vertical="top" wrapText="1"/>
    </xf>
    <xf numFmtId="0" fontId="35" fillId="33" borderId="0" xfId="47" applyNumberFormat="1" applyFill="1" applyProtection="1">
      <alignment horizontal="left" vertical="center"/>
    </xf>
    <xf numFmtId="0" fontId="0" fillId="33" borderId="25" xfId="0" applyBorder="1" applyAlignment="1">
      <alignment vertical="top" wrapText="1"/>
    </xf>
    <xf numFmtId="0" fontId="0" fillId="33" borderId="26" xfId="0" applyBorder="1" applyAlignment="1">
      <alignment vertical="top" wrapText="1"/>
    </xf>
    <xf numFmtId="0" fontId="0" fillId="33" borderId="27" xfId="0" applyBorder="1" applyAlignment="1">
      <alignment vertical="top" wrapText="1"/>
    </xf>
    <xf numFmtId="0" fontId="60" fillId="33" borderId="0" xfId="47" applyNumberFormat="1" applyFont="1" applyFill="1" applyAlignment="1" applyProtection="1">
      <alignment horizontal="left" vertical="top" wrapText="1"/>
    </xf>
    <xf numFmtId="3" fontId="29" fillId="40" borderId="1" xfId="58" applyNumberFormat="1" applyBorder="1" applyAlignment="1">
      <alignment vertical="top"/>
      <protection locked="0"/>
    </xf>
    <xf numFmtId="3" fontId="29" fillId="40" borderId="18" xfId="58" applyNumberFormat="1" applyBorder="1" applyAlignment="1">
      <alignment vertical="top"/>
      <protection locked="0"/>
    </xf>
    <xf numFmtId="3" fontId="29" fillId="40" borderId="19" xfId="58" applyNumberFormat="1" applyBorder="1" applyAlignment="1">
      <alignment vertical="top"/>
      <protection locked="0"/>
    </xf>
    <xf numFmtId="182" fontId="0" fillId="33" borderId="0" xfId="0" applyNumberFormat="1" applyAlignment="1">
      <alignment horizontal="left" vertical="top"/>
    </xf>
  </cellXfs>
  <cellStyles count="69">
    <cellStyle name="20% - Accent1" xfId="19" builtinId="30" hidden="1" customBuiltin="1"/>
    <cellStyle name="20% - Accent2" xfId="23" builtinId="34" hidden="1" customBuiltin="1"/>
    <cellStyle name="20% - Accent3" xfId="27" builtinId="38" hidden="1" customBuiltin="1"/>
    <cellStyle name="20% - Accent4" xfId="31" builtinId="42" hidden="1" customBuiltin="1"/>
    <cellStyle name="20% - Accent5" xfId="35" builtinId="46" hidden="1" customBuiltin="1"/>
    <cellStyle name="20% - Accent6" xfId="39" builtinId="50" hidden="1" customBuiltin="1"/>
    <cellStyle name="40% - Accent1" xfId="20" builtinId="31" hidden="1" customBuiltin="1"/>
    <cellStyle name="40% - Accent2" xfId="24" builtinId="35" hidden="1" customBuiltin="1"/>
    <cellStyle name="40% - Accent3" xfId="28" builtinId="39" hidden="1" customBuiltin="1"/>
    <cellStyle name="40% - Accent4" xfId="32" builtinId="43" hidden="1" customBuiltin="1"/>
    <cellStyle name="40% - Accent5" xfId="36" builtinId="47" hidden="1" customBuiltin="1"/>
    <cellStyle name="40% - Accent6" xfId="40" builtinId="51" hidden="1" customBuiltin="1"/>
    <cellStyle name="60% - Accent1" xfId="21" builtinId="32" hidden="1" customBuiltin="1"/>
    <cellStyle name="60% - Accent2" xfId="25" builtinId="36" hidden="1" customBuiltin="1"/>
    <cellStyle name="60% - Accent3" xfId="29" builtinId="40" hidden="1" customBuiltin="1"/>
    <cellStyle name="60% - Accent4" xfId="33" builtinId="44" hidden="1" customBuiltin="1"/>
    <cellStyle name="60% - Accent5" xfId="37" builtinId="48" hidden="1" customBuiltin="1"/>
    <cellStyle name="60% - Accent6" xfId="41" builtinId="52" hidden="1" customBuiltin="1"/>
    <cellStyle name="Accent1" xfId="18" builtinId="29" hidden="1" customBuiltin="1"/>
    <cellStyle name="Accent2" xfId="22" builtinId="33" hidden="1" customBuiltin="1"/>
    <cellStyle name="Accent3" xfId="26" builtinId="37" hidden="1" customBuiltin="1"/>
    <cellStyle name="Accent4" xfId="30" builtinId="41" hidden="1" customBuiltin="1"/>
    <cellStyle name="Accent5" xfId="34" builtinId="45" hidden="1" customBuiltin="1"/>
    <cellStyle name="Accent6" xfId="38" builtinId="49" hidden="1" customBuiltin="1"/>
    <cellStyle name="assumption" xfId="58" xr:uid="{00000000-0005-0000-0000-000018000000}"/>
    <cellStyle name="Bad" xfId="11" builtinId="27" hidden="1" customBuiltin="1"/>
    <cellStyle name="Calculation" xfId="15" builtinId="22" hidden="1" customBuiltin="1"/>
    <cellStyle name="Calculation" xfId="51" builtinId="22" customBuiltin="1"/>
    <cellStyle name="Check Cell" xfId="17" builtinId="23" hidden="1" customBuiltin="1"/>
    <cellStyle name="checksum" xfId="59" xr:uid="{00000000-0005-0000-0000-00001D000000}"/>
    <cellStyle name="Comma" xfId="3" builtinId="3" hidden="1" customBuiltin="1"/>
    <cellStyle name="Comma" xfId="64" builtinId="3" hidden="1"/>
    <cellStyle name="Comma" xfId="66" builtinId="3" hidden="1"/>
    <cellStyle name="Comma [0]" xfId="4" builtinId="6" hidden="1" customBuiltin="1"/>
    <cellStyle name="constant" xfId="56" xr:uid="{00000000-0005-0000-0000-000022000000}"/>
    <cellStyle name="Currency" xfId="1" builtinId="4" hidden="1"/>
    <cellStyle name="Currency" xfId="63" builtinId="4" hidden="1"/>
    <cellStyle name="Currency" xfId="65" builtinId="4" hidden="1"/>
    <cellStyle name="Currency [0]" xfId="5" builtinId="7" hidden="1" customBuiltin="1"/>
    <cellStyle name="Explanatory Text" xfId="2" builtinId="53" hidden="1" customBuiltin="1"/>
    <cellStyle name="Followed Hyperlink" xfId="61" builtinId="9" customBuiltin="1"/>
    <cellStyle name="Good" xfId="10" builtinId="26" hidden="1" customBuiltin="1"/>
    <cellStyle name="Heading 1" xfId="6" builtinId="16" hidden="1" customBuiltin="1"/>
    <cellStyle name="heading 1" xfId="46" xr:uid="{00000000-0005-0000-0000-00002B000000}"/>
    <cellStyle name="Heading 2" xfId="7" builtinId="17" hidden="1" customBuiltin="1"/>
    <cellStyle name="heading 2" xfId="48" xr:uid="{00000000-0005-0000-0000-00002D000000}"/>
    <cellStyle name="Heading 3" xfId="8" builtinId="18" hidden="1" customBuiltin="1"/>
    <cellStyle name="Heading 4" xfId="9" builtinId="19" hidden="1" customBuiltin="1"/>
    <cellStyle name="Hyperlink" xfId="54" builtinId="8" customBuiltin="1"/>
    <cellStyle name="Input" xfId="13" builtinId="20" hidden="1" customBuiltin="1"/>
    <cellStyle name="Input" xfId="53" builtinId="20" hidden="1" customBuiltin="1"/>
    <cellStyle name="label" xfId="45" xr:uid="{00000000-0005-0000-0000-000033000000}"/>
    <cellStyle name="Linked Cell" xfId="16" builtinId="24" hidden="1" customBuiltin="1"/>
    <cellStyle name="mixed" xfId="52" xr:uid="{00000000-0005-0000-0000-000035000000}"/>
    <cellStyle name="Neutral" xfId="12" builtinId="28" hidden="1" customBuiltin="1"/>
    <cellStyle name="Normal" xfId="0" builtinId="0" customBuiltin="1"/>
    <cellStyle name="Note" xfId="50" builtinId="10" hidden="1" customBuiltin="1"/>
    <cellStyle name="ns" xfId="68" xr:uid="{00000000-0005-0000-0000-000039000000}"/>
    <cellStyle name="Output" xfId="14" builtinId="21" hidden="1"/>
    <cellStyle name="Output" xfId="55" builtinId="21" hidden="1" customBuiltin="1"/>
    <cellStyle name="Percent" xfId="42" builtinId="5" hidden="1"/>
    <cellStyle name="result" xfId="67" xr:uid="{00000000-0005-0000-0000-00003D000000}"/>
    <cellStyle name="Title" xfId="43" builtinId="15" hidden="1"/>
    <cellStyle name="Title" xfId="47" builtinId="15" customBuiltin="1"/>
    <cellStyle name="Total" xfId="44" builtinId="25" hidden="1"/>
    <cellStyle name="undefined" xfId="60" xr:uid="{00000000-0005-0000-0000-000041000000}"/>
    <cellStyle name="units label" xfId="62" xr:uid="{00000000-0005-0000-0000-000042000000}"/>
    <cellStyle name="Warning Text" xfId="49" builtinId="11" customBuiltin="1"/>
    <cellStyle name="WIP" xfId="57" xr:uid="{00000000-0005-0000-0000-000044000000}"/>
  </cellStyles>
  <dxfs count="4">
    <dxf>
      <font>
        <color theme="0"/>
      </font>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3"/>
      <tableStyleElement type="headerRow" dxfId="2"/>
    </tableStyle>
  </tableStyles>
  <colors>
    <mruColors>
      <color rgb="FF238B45"/>
      <color rgb="FF00FF00"/>
      <color rgb="FF9ECAE1"/>
      <color rgb="FFC6DBEF"/>
      <color rgb="FFF16913"/>
      <color rgb="FFFD8D3C"/>
      <color rgb="FFE31A1C"/>
      <color rgb="FFD9D9D9"/>
      <color rgb="FF08306B"/>
      <color rgb="FFA1D9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43288625619045E-2"/>
          <c:y val="5.0925925925925923E-2"/>
          <c:w val="0.65428961288095866"/>
          <c:h val="0.82816769525430944"/>
        </c:manualLayout>
      </c:layout>
      <c:areaChart>
        <c:grouping val="stacked"/>
        <c:varyColors val="0"/>
        <c:ser>
          <c:idx val="6"/>
          <c:order val="0"/>
          <c:tx>
            <c:strRef>
              <c:f>'BECCS rollup'!$B$65</c:f>
              <c:strCache>
                <c:ptCount val="1"/>
                <c:pt idx="0">
                  <c:v>baseline depression</c:v>
                </c:pt>
              </c:strCache>
            </c:strRef>
          </c:tx>
          <c:spPr>
            <a:noFill/>
            <a:ln>
              <a:noFill/>
            </a:ln>
            <a:effectLst/>
          </c:spPr>
          <c:cat>
            <c:numRef>
              <c:f>'BECCS rollup'!$C$64:$AQ$64</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numCache>
            </c:numRef>
          </c:cat>
          <c:val>
            <c:numRef>
              <c:f>'BECCS rollup'!$C$65:$AQ$65</c:f>
              <c:numCache>
                <c:formatCode>#,##0.0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-0.77997169317187343</c:v>
                </c:pt>
              </c:numCache>
            </c:numRef>
          </c:val>
          <c:extLst>
            <c:ext xmlns:c16="http://schemas.microsoft.com/office/drawing/2014/chart" uri="{C3380CC4-5D6E-409C-BE32-E72D297353CC}">
              <c16:uniqueId val="{00000003-94BF-471C-B678-B0ABB9910D0F}"/>
            </c:ext>
          </c:extLst>
        </c:ser>
        <c:ser>
          <c:idx val="0"/>
          <c:order val="1"/>
          <c:tx>
            <c:strRef>
              <c:f>'BECCS rollup'!$B$66</c:f>
              <c:strCache>
                <c:ptCount val="1"/>
                <c:pt idx="0">
                  <c:v>foregone sequestration</c:v>
                </c:pt>
              </c:strCache>
            </c:strRef>
          </c:tx>
          <c:spPr>
            <a:solidFill>
              <a:schemeClr val="accent1"/>
            </a:solidFill>
            <a:ln>
              <a:noFill/>
            </a:ln>
            <a:effectLst/>
          </c:spPr>
          <c:cat>
            <c:numRef>
              <c:f>'BECCS rollup'!$C$64:$AQ$64</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numCache>
            </c:numRef>
          </c:cat>
          <c:val>
            <c:numRef>
              <c:f>'BECCS rollup'!$C$66:$AQ$66</c:f>
              <c:numCache>
                <c:formatCode>#,##0.0</c:formatCode>
                <c:ptCount val="41"/>
                <c:pt idx="0">
                  <c:v>0</c:v>
                </c:pt>
                <c:pt idx="1">
                  <c:v>3.8784212862855738</c:v>
                </c:pt>
                <c:pt idx="2">
                  <c:v>7.3773944145424961</c:v>
                </c:pt>
                <c:pt idx="3">
                  <c:v>11.253660152170456</c:v>
                </c:pt>
                <c:pt idx="4">
                  <c:v>15.39626683321908</c:v>
                </c:pt>
                <c:pt idx="5">
                  <c:v>19.69975457549825</c:v>
                </c:pt>
                <c:pt idx="6">
                  <c:v>24.06597585785908</c:v>
                </c:pt>
                <c:pt idx="7">
                  <c:v>28.405232458096446</c:v>
                </c:pt>
                <c:pt idx="8">
                  <c:v>32.636879499925001</c:v>
                </c:pt>
                <c:pt idx="9">
                  <c:v>36.689522432544862</c:v>
                </c:pt>
                <c:pt idx="10">
                  <c:v>40.500910535902662</c:v>
                </c:pt>
                <c:pt idx="11">
                  <c:v>40.259027314930933</c:v>
                </c:pt>
                <c:pt idx="12">
                  <c:v>40.140913764559684</c:v>
                </c:pt>
                <c:pt idx="13">
                  <c:v>40.197419968733826</c:v>
                </c:pt>
                <c:pt idx="14">
                  <c:v>40.456066723322614</c:v>
                </c:pt>
                <c:pt idx="15">
                  <c:v>40.926328112342439</c:v>
                </c:pt>
                <c:pt idx="16">
                  <c:v>41.603959837410379</c:v>
                </c:pt>
                <c:pt idx="17">
                  <c:v>42.474528371715259</c:v>
                </c:pt>
                <c:pt idx="18">
                  <c:v>43.516272215747719</c:v>
                </c:pt>
                <c:pt idx="19">
                  <c:v>44.702406267790856</c:v>
                </c:pt>
                <c:pt idx="20">
                  <c:v>46.002963074891262</c:v>
                </c:pt>
                <c:pt idx="21">
                  <c:v>47.386250060389131</c:v>
                </c:pt>
                <c:pt idx="22">
                  <c:v>48.819989355844676</c:v>
                </c:pt>
                <c:pt idx="23">
                  <c:v>50.272196276220718</c:v>
                </c:pt>
                <c:pt idx="24">
                  <c:v>51.711843491728423</c:v>
                </c:pt>
                <c:pt idx="25">
                  <c:v>53.109350331860348</c:v>
                </c:pt>
                <c:pt idx="26">
                  <c:v>50.939079928349202</c:v>
                </c:pt>
                <c:pt idx="27">
                  <c:v>48.561535676131449</c:v>
                </c:pt>
                <c:pt idx="28">
                  <c:v>45.975382519962956</c:v>
                </c:pt>
                <c:pt idx="29">
                  <c:v>43.180253179891189</c:v>
                </c:pt>
                <c:pt idx="30">
                  <c:v>40.176641561821462</c:v>
                </c:pt>
                <c:pt idx="31">
                  <c:v>36.965803283579987</c:v>
                </c:pt>
                <c:pt idx="32">
                  <c:v>33.549663311037094</c:v>
                </c:pt>
                <c:pt idx="33">
                  <c:v>29.930730593225547</c:v>
                </c:pt>
                <c:pt idx="34">
                  <c:v>26.112019505256583</c:v>
                </c:pt>
                <c:pt idx="35">
                  <c:v>22.096977848583752</c:v>
                </c:pt>
                <c:pt idx="36">
                  <c:v>17.889421115925749</c:v>
                </c:pt>
                <c:pt idx="37">
                  <c:v>13.493472699695904</c:v>
                </c:pt>
                <c:pt idx="38">
                  <c:v>8.9135097053986669</c:v>
                </c:pt>
                <c:pt idx="39">
                  <c:v>4.1541140228934204</c:v>
                </c:pt>
                <c:pt idx="40">
                  <c:v>0</c:v>
                </c:pt>
              </c:numCache>
            </c:numRef>
          </c:val>
          <c:extLst>
            <c:ext xmlns:c16="http://schemas.microsoft.com/office/drawing/2014/chart" uri="{C3380CC4-5D6E-409C-BE32-E72D297353CC}">
              <c16:uniqueId val="{00000000-9D3E-44CE-9A64-B870BBB38619}"/>
            </c:ext>
          </c:extLst>
        </c:ser>
        <c:ser>
          <c:idx val="1"/>
          <c:order val="2"/>
          <c:tx>
            <c:strRef>
              <c:f>'BECCS rollup'!$B$67</c:f>
              <c:strCache>
                <c:ptCount val="1"/>
                <c:pt idx="0">
                  <c:v>residue decay</c:v>
                </c:pt>
              </c:strCache>
            </c:strRef>
          </c:tx>
          <c:spPr>
            <a:solidFill>
              <a:schemeClr val="accent2"/>
            </a:solidFill>
            <a:ln>
              <a:noFill/>
            </a:ln>
            <a:effectLst/>
          </c:spPr>
          <c:cat>
            <c:numRef>
              <c:f>'BECCS rollup'!$C$64:$AQ$64</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numCache>
            </c:numRef>
          </c:cat>
          <c:val>
            <c:numRef>
              <c:f>'BECCS rollup'!$C$67:$AQ$67</c:f>
              <c:numCache>
                <c:formatCode>#,##0.0</c:formatCode>
                <c:ptCount val="41"/>
                <c:pt idx="0">
                  <c:v>0</c:v>
                </c:pt>
                <c:pt idx="1">
                  <c:v>0.51212297382572503</c:v>
                </c:pt>
                <c:pt idx="2">
                  <c:v>1.3315197319468852</c:v>
                </c:pt>
                <c:pt idx="3">
                  <c:v>2.4120992067191653</c:v>
                </c:pt>
                <c:pt idx="4">
                  <c:v>3.7146839906448972</c:v>
                </c:pt>
                <c:pt idx="5">
                  <c:v>5.2059732873510631</c:v>
                </c:pt>
                <c:pt idx="6">
                  <c:v>6.8576614199205981</c:v>
                </c:pt>
                <c:pt idx="7">
                  <c:v>8.6456885629739961</c:v>
                </c:pt>
                <c:pt idx="8">
                  <c:v>10.549603864938678</c:v>
                </c:pt>
                <c:pt idx="9">
                  <c:v>12.552024101977953</c:v>
                </c:pt>
                <c:pt idx="10">
                  <c:v>14.63817353383063</c:v>
                </c:pt>
                <c:pt idx="11">
                  <c:v>16.795492781274699</c:v>
                </c:pt>
                <c:pt idx="12">
                  <c:v>18.98305920034511</c:v>
                </c:pt>
                <c:pt idx="13">
                  <c:v>21.196335715297913</c:v>
                </c:pt>
                <c:pt idx="14">
                  <c:v>23.431465811750744</c:v>
                </c:pt>
                <c:pt idx="15">
                  <c:v>25.685171452478606</c:v>
                </c:pt>
                <c:pt idx="16">
                  <c:v>27.954666305840238</c:v>
                </c:pt>
                <c:pt idx="17">
                  <c:v>30.23758198994058</c:v>
                </c:pt>
                <c:pt idx="18">
                  <c:v>32.531905380168823</c:v>
                </c:pt>
                <c:pt idx="19">
                  <c:v>34.835925320605782</c:v>
                </c:pt>
                <c:pt idx="20">
                  <c:v>37.148187328720141</c:v>
                </c:pt>
                <c:pt idx="21">
                  <c:v>39.467455094360311</c:v>
                </c:pt>
                <c:pt idx="22">
                  <c:v>41.792677753897408</c:v>
                </c:pt>
                <c:pt idx="23">
                  <c:v>44.122962073246882</c:v>
                </c:pt>
                <c:pt idx="24">
                  <c:v>46.457548803436893</c:v>
                </c:pt>
                <c:pt idx="25">
                  <c:v>48.795792582841358</c:v>
                </c:pt>
                <c:pt idx="26">
                  <c:v>51.134036362245823</c:v>
                </c:pt>
                <c:pt idx="27">
                  <c:v>53.47228014165028</c:v>
                </c:pt>
                <c:pt idx="28">
                  <c:v>55.810523921054738</c:v>
                </c:pt>
                <c:pt idx="29">
                  <c:v>58.148767700459203</c:v>
                </c:pt>
                <c:pt idx="30">
                  <c:v>60.487011479863668</c:v>
                </c:pt>
                <c:pt idx="31">
                  <c:v>62.825255259268125</c:v>
                </c:pt>
                <c:pt idx="32">
                  <c:v>65.163499038672583</c:v>
                </c:pt>
                <c:pt idx="33">
                  <c:v>67.501742818077048</c:v>
                </c:pt>
                <c:pt idx="34">
                  <c:v>69.839986597481499</c:v>
                </c:pt>
                <c:pt idx="35">
                  <c:v>72.178230376885963</c:v>
                </c:pt>
                <c:pt idx="36">
                  <c:v>74.516474156290428</c:v>
                </c:pt>
                <c:pt idx="37">
                  <c:v>76.854717935694879</c:v>
                </c:pt>
                <c:pt idx="38">
                  <c:v>79.192961715099329</c:v>
                </c:pt>
                <c:pt idx="39">
                  <c:v>81.531205494503794</c:v>
                </c:pt>
                <c:pt idx="40">
                  <c:v>83.869449273908259</c:v>
                </c:pt>
              </c:numCache>
            </c:numRef>
          </c:val>
          <c:extLst>
            <c:ext xmlns:c16="http://schemas.microsoft.com/office/drawing/2014/chart" uri="{C3380CC4-5D6E-409C-BE32-E72D297353CC}">
              <c16:uniqueId val="{00000001-9D3E-44CE-9A64-B870BBB38619}"/>
            </c:ext>
          </c:extLst>
        </c:ser>
        <c:ser>
          <c:idx val="2"/>
          <c:order val="3"/>
          <c:tx>
            <c:strRef>
              <c:f>'BECCS rollup'!$B$69</c:f>
              <c:strCache>
                <c:ptCount val="1"/>
                <c:pt idx="0">
                  <c:v>feedstock drying</c:v>
                </c:pt>
              </c:strCache>
            </c:strRef>
          </c:tx>
          <c:spPr>
            <a:solidFill>
              <a:schemeClr val="accent3"/>
            </a:solidFill>
            <a:ln>
              <a:noFill/>
            </a:ln>
            <a:effectLst/>
          </c:spPr>
          <c:cat>
            <c:numRef>
              <c:f>'BECCS rollup'!$C$64:$AQ$64</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numCache>
            </c:numRef>
          </c:cat>
          <c:val>
            <c:numRef>
              <c:f>'BECCS rollup'!$C$69:$AQ$69</c:f>
              <c:numCache>
                <c:formatCode>#,##0.0</c:formatCode>
                <c:ptCount val="41"/>
                <c:pt idx="0">
                  <c:v>0</c:v>
                </c:pt>
                <c:pt idx="1">
                  <c:v>1.1847178771570757</c:v>
                </c:pt>
                <c:pt idx="2">
                  <c:v>2.3694357543141513</c:v>
                </c:pt>
                <c:pt idx="3">
                  <c:v>3.5541536314712268</c:v>
                </c:pt>
                <c:pt idx="4">
                  <c:v>4.7388715086283026</c:v>
                </c:pt>
                <c:pt idx="5">
                  <c:v>5.9235893857853785</c:v>
                </c:pt>
                <c:pt idx="6">
                  <c:v>7.1083072629424544</c:v>
                </c:pt>
                <c:pt idx="7">
                  <c:v>8.2930251400995303</c:v>
                </c:pt>
                <c:pt idx="8">
                  <c:v>9.4777430172566053</c:v>
                </c:pt>
                <c:pt idx="9">
                  <c:v>10.66246089441368</c:v>
                </c:pt>
                <c:pt idx="10">
                  <c:v>11.847178771570755</c:v>
                </c:pt>
                <c:pt idx="11">
                  <c:v>13.03189664872783</c:v>
                </c:pt>
                <c:pt idx="12">
                  <c:v>14.216614525884905</c:v>
                </c:pt>
                <c:pt idx="13">
                  <c:v>15.40133240304198</c:v>
                </c:pt>
                <c:pt idx="14">
                  <c:v>16.586050280199057</c:v>
                </c:pt>
                <c:pt idx="15">
                  <c:v>17.770768157356134</c:v>
                </c:pt>
                <c:pt idx="16">
                  <c:v>18.955486034513211</c:v>
                </c:pt>
                <c:pt idx="17">
                  <c:v>20.140203911670287</c:v>
                </c:pt>
                <c:pt idx="18">
                  <c:v>21.324921788827364</c:v>
                </c:pt>
                <c:pt idx="19">
                  <c:v>22.509639665984441</c:v>
                </c:pt>
                <c:pt idx="20">
                  <c:v>23.694357543141518</c:v>
                </c:pt>
                <c:pt idx="21">
                  <c:v>24.879075420298594</c:v>
                </c:pt>
                <c:pt idx="22">
                  <c:v>26.063793297455671</c:v>
                </c:pt>
                <c:pt idx="23">
                  <c:v>27.248511174612748</c:v>
                </c:pt>
                <c:pt idx="24">
                  <c:v>28.433229051769825</c:v>
                </c:pt>
                <c:pt idx="25">
                  <c:v>29.617946928926902</c:v>
                </c:pt>
                <c:pt idx="26">
                  <c:v>30.802664806083978</c:v>
                </c:pt>
                <c:pt idx="27">
                  <c:v>31.987382683241055</c:v>
                </c:pt>
                <c:pt idx="28">
                  <c:v>33.172100560398128</c:v>
                </c:pt>
                <c:pt idx="29">
                  <c:v>34.356818437555205</c:v>
                </c:pt>
                <c:pt idx="30">
                  <c:v>35.541536314712282</c:v>
                </c:pt>
                <c:pt idx="31">
                  <c:v>36.726254191869359</c:v>
                </c:pt>
                <c:pt idx="32">
                  <c:v>37.910972069026435</c:v>
                </c:pt>
                <c:pt idx="33">
                  <c:v>39.095689946183512</c:v>
                </c:pt>
                <c:pt idx="34">
                  <c:v>40.280407823340589</c:v>
                </c:pt>
                <c:pt idx="35">
                  <c:v>41.465125700497666</c:v>
                </c:pt>
                <c:pt idx="36">
                  <c:v>42.649843577654742</c:v>
                </c:pt>
                <c:pt idx="37">
                  <c:v>43.834561454811819</c:v>
                </c:pt>
                <c:pt idx="38">
                  <c:v>45.019279331968896</c:v>
                </c:pt>
                <c:pt idx="39">
                  <c:v>46.203997209125973</c:v>
                </c:pt>
                <c:pt idx="40">
                  <c:v>47.38871508628305</c:v>
                </c:pt>
              </c:numCache>
            </c:numRef>
          </c:val>
          <c:extLst>
            <c:ext xmlns:c16="http://schemas.microsoft.com/office/drawing/2014/chart" uri="{C3380CC4-5D6E-409C-BE32-E72D297353CC}">
              <c16:uniqueId val="{00000002-9D3E-44CE-9A64-B870BBB38619}"/>
            </c:ext>
          </c:extLst>
        </c:ser>
        <c:ser>
          <c:idx val="3"/>
          <c:order val="4"/>
          <c:tx>
            <c:strRef>
              <c:f>'BECCS rollup'!$B$68</c:f>
              <c:strCache>
                <c:ptCount val="1"/>
                <c:pt idx="0">
                  <c:v>feedstock transport</c:v>
                </c:pt>
              </c:strCache>
            </c:strRef>
          </c:tx>
          <c:spPr>
            <a:solidFill>
              <a:schemeClr val="accent4"/>
            </a:solidFill>
            <a:ln>
              <a:noFill/>
            </a:ln>
            <a:effectLst/>
          </c:spPr>
          <c:cat>
            <c:numRef>
              <c:f>'BECCS rollup'!$C$64:$AQ$64</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numCache>
            </c:numRef>
          </c:cat>
          <c:val>
            <c:numRef>
              <c:f>'BECCS rollup'!$C$68:$AQ$68</c:f>
              <c:numCache>
                <c:formatCode>#,##0.0</c:formatCode>
                <c:ptCount val="41"/>
                <c:pt idx="0">
                  <c:v>0</c:v>
                </c:pt>
                <c:pt idx="1">
                  <c:v>0.11497051077797324</c:v>
                </c:pt>
                <c:pt idx="2">
                  <c:v>0.22994102155594648</c:v>
                </c:pt>
                <c:pt idx="3">
                  <c:v>0.34491153233391969</c:v>
                </c:pt>
                <c:pt idx="4">
                  <c:v>0.45988204311189296</c:v>
                </c:pt>
                <c:pt idx="5">
                  <c:v>0.57485255388986611</c:v>
                </c:pt>
                <c:pt idx="6">
                  <c:v>0.68982306466783938</c:v>
                </c:pt>
                <c:pt idx="7">
                  <c:v>0.80479357544581265</c:v>
                </c:pt>
                <c:pt idx="8">
                  <c:v>0.91976408622378591</c:v>
                </c:pt>
                <c:pt idx="9">
                  <c:v>1.034734597001759</c:v>
                </c:pt>
                <c:pt idx="10">
                  <c:v>1.1497051077797322</c:v>
                </c:pt>
                <c:pt idx="11">
                  <c:v>1.2646756185577055</c:v>
                </c:pt>
                <c:pt idx="12">
                  <c:v>1.3796461293356788</c:v>
                </c:pt>
                <c:pt idx="13">
                  <c:v>1.494616640113652</c:v>
                </c:pt>
                <c:pt idx="14">
                  <c:v>1.6095871508916253</c:v>
                </c:pt>
                <c:pt idx="15">
                  <c:v>1.7245576616695986</c:v>
                </c:pt>
                <c:pt idx="16">
                  <c:v>1.8395281724475721</c:v>
                </c:pt>
                <c:pt idx="17">
                  <c:v>1.9544986832255455</c:v>
                </c:pt>
                <c:pt idx="18">
                  <c:v>2.0694691940035188</c:v>
                </c:pt>
                <c:pt idx="19">
                  <c:v>2.1844397047814921</c:v>
                </c:pt>
                <c:pt idx="20">
                  <c:v>2.2994102155594653</c:v>
                </c:pt>
                <c:pt idx="21">
                  <c:v>2.4143807263374391</c:v>
                </c:pt>
                <c:pt idx="22">
                  <c:v>2.5293512371154123</c:v>
                </c:pt>
                <c:pt idx="23">
                  <c:v>2.6443217478933856</c:v>
                </c:pt>
                <c:pt idx="24">
                  <c:v>2.7592922586713593</c:v>
                </c:pt>
                <c:pt idx="25">
                  <c:v>2.8742627694493326</c:v>
                </c:pt>
                <c:pt idx="26">
                  <c:v>2.9892332802273058</c:v>
                </c:pt>
                <c:pt idx="27">
                  <c:v>3.1042037910052791</c:v>
                </c:pt>
                <c:pt idx="28">
                  <c:v>3.2191743017832519</c:v>
                </c:pt>
                <c:pt idx="29">
                  <c:v>3.3341448125612247</c:v>
                </c:pt>
                <c:pt idx="30">
                  <c:v>3.449115323339198</c:v>
                </c:pt>
                <c:pt idx="31">
                  <c:v>3.5640858341171713</c:v>
                </c:pt>
                <c:pt idx="32">
                  <c:v>3.6790563448951441</c:v>
                </c:pt>
                <c:pt idx="33">
                  <c:v>3.7940268556731169</c:v>
                </c:pt>
                <c:pt idx="34">
                  <c:v>3.9089973664510902</c:v>
                </c:pt>
                <c:pt idx="35">
                  <c:v>4.0239678772290635</c:v>
                </c:pt>
                <c:pt idx="36">
                  <c:v>4.1389383880070358</c:v>
                </c:pt>
                <c:pt idx="37">
                  <c:v>4.2539088987850091</c:v>
                </c:pt>
                <c:pt idx="38">
                  <c:v>4.3688794095629824</c:v>
                </c:pt>
                <c:pt idx="39">
                  <c:v>4.4838499203409556</c:v>
                </c:pt>
                <c:pt idx="40">
                  <c:v>4.5988204311189289</c:v>
                </c:pt>
              </c:numCache>
            </c:numRef>
          </c:val>
          <c:extLst>
            <c:ext xmlns:c16="http://schemas.microsoft.com/office/drawing/2014/chart" uri="{C3380CC4-5D6E-409C-BE32-E72D297353CC}">
              <c16:uniqueId val="{00000003-9D3E-44CE-9A64-B870BBB38619}"/>
            </c:ext>
          </c:extLst>
        </c:ser>
        <c:ser>
          <c:idx val="4"/>
          <c:order val="5"/>
          <c:tx>
            <c:strRef>
              <c:f>'BECCS rollup'!$B$70</c:f>
              <c:strCache>
                <c:ptCount val="1"/>
                <c:pt idx="0">
                  <c:v>pellet manufacture &amp; transport</c:v>
                </c:pt>
              </c:strCache>
            </c:strRef>
          </c:tx>
          <c:spPr>
            <a:solidFill>
              <a:schemeClr val="accent5"/>
            </a:solidFill>
            <a:ln>
              <a:noFill/>
            </a:ln>
            <a:effectLst/>
          </c:spPr>
          <c:cat>
            <c:numRef>
              <c:f>'BECCS rollup'!$C$64:$AQ$64</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numCache>
            </c:numRef>
          </c:cat>
          <c:val>
            <c:numRef>
              <c:f>'BECCS rollup'!$C$70:$AQ$70</c:f>
              <c:numCache>
                <c:formatCode>#,##0.0</c:formatCode>
                <c:ptCount val="41"/>
                <c:pt idx="0">
                  <c:v>0</c:v>
                </c:pt>
                <c:pt idx="1">
                  <c:v>1.1809971571650775</c:v>
                </c:pt>
                <c:pt idx="2">
                  <c:v>2.3619943143301549</c:v>
                </c:pt>
                <c:pt idx="3">
                  <c:v>3.5429914714952324</c:v>
                </c:pt>
                <c:pt idx="4">
                  <c:v>4.7239886286603099</c:v>
                </c:pt>
                <c:pt idx="5">
                  <c:v>5.9049857858253869</c:v>
                </c:pt>
                <c:pt idx="6">
                  <c:v>7.0859829429904639</c:v>
                </c:pt>
                <c:pt idx="7">
                  <c:v>8.266980100155541</c:v>
                </c:pt>
                <c:pt idx="8">
                  <c:v>9.447977257320618</c:v>
                </c:pt>
                <c:pt idx="9">
                  <c:v>10.628974414485695</c:v>
                </c:pt>
                <c:pt idx="10">
                  <c:v>11.809971571650772</c:v>
                </c:pt>
                <c:pt idx="11">
                  <c:v>12.990968728815849</c:v>
                </c:pt>
                <c:pt idx="12">
                  <c:v>14.171965885980926</c:v>
                </c:pt>
                <c:pt idx="13">
                  <c:v>15.352963043146003</c:v>
                </c:pt>
                <c:pt idx="14">
                  <c:v>16.533960200311082</c:v>
                </c:pt>
                <c:pt idx="15">
                  <c:v>17.714957357476159</c:v>
                </c:pt>
                <c:pt idx="16">
                  <c:v>18.895954514641236</c:v>
                </c:pt>
                <c:pt idx="17">
                  <c:v>20.076951671806313</c:v>
                </c:pt>
                <c:pt idx="18">
                  <c:v>21.25794882897139</c:v>
                </c:pt>
                <c:pt idx="19">
                  <c:v>22.438945986136467</c:v>
                </c:pt>
                <c:pt idx="20">
                  <c:v>23.619943143301544</c:v>
                </c:pt>
                <c:pt idx="21">
                  <c:v>24.800940300466621</c:v>
                </c:pt>
                <c:pt idx="22">
                  <c:v>25.981937457631698</c:v>
                </c:pt>
                <c:pt idx="23">
                  <c:v>27.162934614796775</c:v>
                </c:pt>
                <c:pt idx="24">
                  <c:v>28.343931771961852</c:v>
                </c:pt>
                <c:pt idx="25">
                  <c:v>29.524928929126929</c:v>
                </c:pt>
                <c:pt idx="26">
                  <c:v>30.705926086292006</c:v>
                </c:pt>
                <c:pt idx="27">
                  <c:v>31.886923243457083</c:v>
                </c:pt>
                <c:pt idx="28">
                  <c:v>33.067920400622164</c:v>
                </c:pt>
                <c:pt idx="29">
                  <c:v>34.248917557787244</c:v>
                </c:pt>
                <c:pt idx="30">
                  <c:v>35.429914714952325</c:v>
                </c:pt>
                <c:pt idx="31">
                  <c:v>36.610911872117406</c:v>
                </c:pt>
                <c:pt idx="32">
                  <c:v>37.791909029282486</c:v>
                </c:pt>
                <c:pt idx="33">
                  <c:v>38.972906186447567</c:v>
                </c:pt>
                <c:pt idx="34">
                  <c:v>40.153903343612647</c:v>
                </c:pt>
                <c:pt idx="35">
                  <c:v>41.334900500777728</c:v>
                </c:pt>
                <c:pt idx="36">
                  <c:v>42.515897657942809</c:v>
                </c:pt>
                <c:pt idx="37">
                  <c:v>43.696894815107889</c:v>
                </c:pt>
                <c:pt idx="38">
                  <c:v>44.87789197227297</c:v>
                </c:pt>
                <c:pt idx="39">
                  <c:v>46.05888912943805</c:v>
                </c:pt>
                <c:pt idx="40">
                  <c:v>47.239886286603131</c:v>
                </c:pt>
              </c:numCache>
            </c:numRef>
          </c:val>
          <c:extLst>
            <c:ext xmlns:c16="http://schemas.microsoft.com/office/drawing/2014/chart" uri="{C3380CC4-5D6E-409C-BE32-E72D297353CC}">
              <c16:uniqueId val="{00000004-9D3E-44CE-9A64-B870BBB38619}"/>
            </c:ext>
          </c:extLst>
        </c:ser>
        <c:ser>
          <c:idx val="5"/>
          <c:order val="6"/>
          <c:tx>
            <c:strRef>
              <c:f>'BECCS rollup'!$B$71</c:f>
              <c:strCache>
                <c:ptCount val="1"/>
                <c:pt idx="0">
                  <c:v>stack</c:v>
                </c:pt>
              </c:strCache>
            </c:strRef>
          </c:tx>
          <c:spPr>
            <a:solidFill>
              <a:srgbClr val="D9D9D9"/>
            </a:solidFill>
            <a:ln>
              <a:noFill/>
            </a:ln>
            <a:effectLst/>
          </c:spPr>
          <c:cat>
            <c:numRef>
              <c:f>'BECCS rollup'!$C$64:$AQ$64</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numCache>
            </c:numRef>
          </c:cat>
          <c:val>
            <c:numRef>
              <c:f>'BECCS rollup'!$C$71:$AQ$71</c:f>
              <c:numCache>
                <c:formatCode>#,##0.0</c:formatCode>
                <c:ptCount val="41"/>
                <c:pt idx="0">
                  <c:v>0</c:v>
                </c:pt>
                <c:pt idx="1">
                  <c:v>0.90577415993574295</c:v>
                </c:pt>
                <c:pt idx="2">
                  <c:v>1.8115483198714859</c:v>
                </c:pt>
                <c:pt idx="3">
                  <c:v>2.7173224798072289</c:v>
                </c:pt>
                <c:pt idx="4">
                  <c:v>3.6230966397429718</c:v>
                </c:pt>
                <c:pt idx="5">
                  <c:v>4.5288707996787148</c:v>
                </c:pt>
                <c:pt idx="6">
                  <c:v>5.4346449596144577</c:v>
                </c:pt>
                <c:pt idx="7">
                  <c:v>6.3404191195502007</c:v>
                </c:pt>
                <c:pt idx="8">
                  <c:v>7.2461932794859436</c:v>
                </c:pt>
                <c:pt idx="9">
                  <c:v>8.1519674394216857</c:v>
                </c:pt>
                <c:pt idx="10">
                  <c:v>9.0577415993574277</c:v>
                </c:pt>
                <c:pt idx="11">
                  <c:v>9.9635157592931698</c:v>
                </c:pt>
                <c:pt idx="12">
                  <c:v>10.869289919228912</c:v>
                </c:pt>
                <c:pt idx="13">
                  <c:v>11.775064079164654</c:v>
                </c:pt>
                <c:pt idx="14">
                  <c:v>12.680838239100396</c:v>
                </c:pt>
                <c:pt idx="15">
                  <c:v>13.586612399036138</c:v>
                </c:pt>
                <c:pt idx="16">
                  <c:v>14.49238655897188</c:v>
                </c:pt>
                <c:pt idx="17">
                  <c:v>15.398160718907622</c:v>
                </c:pt>
                <c:pt idx="18">
                  <c:v>16.303934878843364</c:v>
                </c:pt>
                <c:pt idx="19">
                  <c:v>17.209709038779106</c:v>
                </c:pt>
                <c:pt idx="20">
                  <c:v>18.115483198714848</c:v>
                </c:pt>
                <c:pt idx="21">
                  <c:v>19.02125735865059</c:v>
                </c:pt>
                <c:pt idx="22">
                  <c:v>19.927031518586332</c:v>
                </c:pt>
                <c:pt idx="23">
                  <c:v>20.832805678522075</c:v>
                </c:pt>
                <c:pt idx="24">
                  <c:v>21.738579838457817</c:v>
                </c:pt>
                <c:pt idx="25">
                  <c:v>22.644353998393559</c:v>
                </c:pt>
                <c:pt idx="26">
                  <c:v>23.550128158329301</c:v>
                </c:pt>
                <c:pt idx="27">
                  <c:v>24.455902318265043</c:v>
                </c:pt>
                <c:pt idx="28">
                  <c:v>25.361676478200785</c:v>
                </c:pt>
                <c:pt idx="29">
                  <c:v>26.267450638136527</c:v>
                </c:pt>
                <c:pt idx="30">
                  <c:v>27.173224798072269</c:v>
                </c:pt>
                <c:pt idx="31">
                  <c:v>28.078998958008011</c:v>
                </c:pt>
                <c:pt idx="32">
                  <c:v>28.984773117943753</c:v>
                </c:pt>
                <c:pt idx="33">
                  <c:v>29.890547277879495</c:v>
                </c:pt>
                <c:pt idx="34">
                  <c:v>30.796321437815237</c:v>
                </c:pt>
                <c:pt idx="35">
                  <c:v>31.702095597750979</c:v>
                </c:pt>
                <c:pt idx="36">
                  <c:v>32.607869757686721</c:v>
                </c:pt>
                <c:pt idx="37">
                  <c:v>33.513643917622467</c:v>
                </c:pt>
                <c:pt idx="38">
                  <c:v>34.419418077558213</c:v>
                </c:pt>
                <c:pt idx="39">
                  <c:v>35.325192237493958</c:v>
                </c:pt>
                <c:pt idx="40">
                  <c:v>36.230966397429704</c:v>
                </c:pt>
              </c:numCache>
            </c:numRef>
          </c:val>
          <c:extLst>
            <c:ext xmlns:c16="http://schemas.microsoft.com/office/drawing/2014/chart" uri="{C3380CC4-5D6E-409C-BE32-E72D297353CC}">
              <c16:uniqueId val="{00000005-9D3E-44CE-9A64-B870BBB38619}"/>
            </c:ext>
          </c:extLst>
        </c:ser>
        <c:dLbls>
          <c:showLegendKey val="0"/>
          <c:showVal val="0"/>
          <c:showCatName val="0"/>
          <c:showSerName val="0"/>
          <c:showPercent val="0"/>
          <c:showBubbleSize val="0"/>
        </c:dLbls>
        <c:axId val="354018191"/>
        <c:axId val="354043151"/>
      </c:areaChart>
      <c:lineChart>
        <c:grouping val="standard"/>
        <c:varyColors val="0"/>
        <c:ser>
          <c:idx val="8"/>
          <c:order val="7"/>
          <c:tx>
            <c:strRef>
              <c:f>'BECCS rollup'!$B$72</c:f>
              <c:strCache>
                <c:ptCount val="1"/>
                <c:pt idx="0">
                  <c:v>augmented sequestration (-)</c:v>
                </c:pt>
              </c:strCache>
            </c:strRef>
          </c:tx>
          <c:spPr>
            <a:ln w="28575" cap="rnd">
              <a:solidFill>
                <a:srgbClr val="E31A1C"/>
              </a:solidFill>
              <a:prstDash val="sysDash"/>
              <a:round/>
            </a:ln>
            <a:effectLst/>
          </c:spPr>
          <c:marker>
            <c:symbol val="none"/>
          </c:marker>
          <c:cat>
            <c:numRef>
              <c:f>'BECCS rollup'!$C$64:$AQ$64</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numCache>
            </c:numRef>
          </c:cat>
          <c:val>
            <c:numRef>
              <c:f>'BECCS rollup'!$C$72:$AQ$72</c:f>
              <c:numCache>
                <c:formatCode>#,##0.0</c:formatCode>
                <c:ptCount val="4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-0.77997169317187343</c:v>
                </c:pt>
              </c:numCache>
            </c:numRef>
          </c:val>
          <c:smooth val="0"/>
          <c:extLst>
            <c:ext xmlns:c16="http://schemas.microsoft.com/office/drawing/2014/chart" uri="{C3380CC4-5D6E-409C-BE32-E72D297353CC}">
              <c16:uniqueId val="{00000003-ED5A-43E7-B342-91C33D4EB035}"/>
            </c:ext>
          </c:extLst>
        </c:ser>
        <c:ser>
          <c:idx val="9"/>
          <c:order val="8"/>
          <c:tx>
            <c:strRef>
              <c:f>'BECCS rollup'!$B$73</c:f>
              <c:strCache>
                <c:ptCount val="1"/>
                <c:pt idx="0">
                  <c:v>avoided residue decay (-)</c:v>
                </c:pt>
              </c:strCache>
            </c:strRef>
          </c:tx>
          <c:spPr>
            <a:ln w="28575" cap="rnd">
              <a:solidFill>
                <a:srgbClr val="F16913"/>
              </a:solidFill>
              <a:prstDash val="sysDash"/>
              <a:round/>
            </a:ln>
            <a:effectLst/>
          </c:spPr>
          <c:marker>
            <c:symbol val="none"/>
          </c:marker>
          <c:cat>
            <c:numRef>
              <c:f>'BECCS rollup'!$C$64:$AQ$64</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numCache>
            </c:numRef>
          </c:cat>
          <c:val>
            <c:numRef>
              <c:f>'BECCS rollup'!$C$73:$AQ$73</c:f>
              <c:numCache>
                <c:formatCode>#,##0.0</c:formatCode>
                <c:ptCount val="4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numCache>
            </c:numRef>
          </c:val>
          <c:smooth val="0"/>
          <c:extLst>
            <c:ext xmlns:c16="http://schemas.microsoft.com/office/drawing/2014/chart" uri="{C3380CC4-5D6E-409C-BE32-E72D297353CC}">
              <c16:uniqueId val="{00000001-94BF-471C-B678-B0ABB9910D0F}"/>
            </c:ext>
          </c:extLst>
        </c:ser>
        <c:ser>
          <c:idx val="10"/>
          <c:order val="9"/>
          <c:tx>
            <c:v>total</c:v>
          </c:tx>
          <c:spPr>
            <a:ln w="19050" cap="rnd">
              <a:solidFill>
                <a:srgbClr val="00FF00"/>
              </a:solidFill>
              <a:round/>
            </a:ln>
            <a:effectLst/>
          </c:spPr>
          <c:marker>
            <c:symbol val="none"/>
          </c:marker>
          <c:cat>
            <c:numRef>
              <c:f>'BECCS rollup'!$C$64:$AQ$64</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numCache>
            </c:numRef>
          </c:cat>
          <c:val>
            <c:numRef>
              <c:f>'BECCS rollup'!$C$74:$AQ$74</c:f>
              <c:numCache>
                <c:formatCode>#,##0.0</c:formatCode>
                <c:ptCount val="41"/>
                <c:pt idx="0">
                  <c:v>0</c:v>
                </c:pt>
                <c:pt idx="1">
                  <c:v>7.777003965147169</c:v>
                </c:pt>
                <c:pt idx="2">
                  <c:v>15.481833556561119</c:v>
                </c:pt>
                <c:pt idx="3">
                  <c:v>23.825138473997228</c:v>
                </c:pt>
                <c:pt idx="4">
                  <c:v>32.656789644007461</c:v>
                </c:pt>
                <c:pt idx="5">
                  <c:v>41.838026388028659</c:v>
                </c:pt>
                <c:pt idx="6">
                  <c:v>51.242395507994893</c:v>
                </c:pt>
                <c:pt idx="7">
                  <c:v>60.756138956321529</c:v>
                </c:pt>
                <c:pt idx="8">
                  <c:v>70.278161005150622</c:v>
                </c:pt>
                <c:pt idx="9">
                  <c:v>79.719683879845633</c:v>
                </c:pt>
                <c:pt idx="10">
                  <c:v>89.003681120091983</c:v>
                </c:pt>
                <c:pt idx="11">
                  <c:v>94.305576851600193</c:v>
                </c:pt>
                <c:pt idx="12">
                  <c:v>99.761489425335213</c:v>
                </c:pt>
                <c:pt idx="13">
                  <c:v>105.41773184949803</c:v>
                </c:pt>
                <c:pt idx="14">
                  <c:v>111.29796840557553</c:v>
                </c:pt>
                <c:pt idx="15">
                  <c:v>117.40839514035906</c:v>
                </c:pt>
                <c:pt idx="16">
                  <c:v>123.74198142382451</c:v>
                </c:pt>
                <c:pt idx="17">
                  <c:v>130.28192534726563</c:v>
                </c:pt>
                <c:pt idx="18">
                  <c:v>137.00445228656218</c:v>
                </c:pt>
                <c:pt idx="19">
                  <c:v>143.88106598407813</c:v>
                </c:pt>
                <c:pt idx="20">
                  <c:v>150.8803445043288</c:v>
                </c:pt>
                <c:pt idx="21">
                  <c:v>157.96935896050269</c:v>
                </c:pt>
                <c:pt idx="22">
                  <c:v>165.11478062053118</c:v>
                </c:pt>
                <c:pt idx="23">
                  <c:v>172.28373156529258</c:v>
                </c:pt>
                <c:pt idx="24">
                  <c:v>179.44442521602616</c:v>
                </c:pt>
                <c:pt idx="25">
                  <c:v>186.56663554059844</c:v>
                </c:pt>
                <c:pt idx="26">
                  <c:v>190.12106862152763</c:v>
                </c:pt>
                <c:pt idx="27">
                  <c:v>193.46822785375019</c:v>
                </c:pt>
                <c:pt idx="28">
                  <c:v>196.60677818202203</c:v>
                </c:pt>
                <c:pt idx="29">
                  <c:v>199.53635232639058</c:v>
                </c:pt>
                <c:pt idx="30">
                  <c:v>202.25744419276123</c:v>
                </c:pt>
                <c:pt idx="31">
                  <c:v>204.77130939896006</c:v>
                </c:pt>
                <c:pt idx="32">
                  <c:v>207.07987291085749</c:v>
                </c:pt>
                <c:pt idx="33">
                  <c:v>209.1856436774863</c:v>
                </c:pt>
                <c:pt idx="34">
                  <c:v>211.09163607395766</c:v>
                </c:pt>
                <c:pt idx="35">
                  <c:v>212.80129790172515</c:v>
                </c:pt>
                <c:pt idx="36">
                  <c:v>214.3184446535075</c:v>
                </c:pt>
                <c:pt idx="37">
                  <c:v>215.64719972171798</c:v>
                </c:pt>
                <c:pt idx="38">
                  <c:v>216.79194021186106</c:v>
                </c:pt>
                <c:pt idx="39">
                  <c:v>217.75724801379616</c:v>
                </c:pt>
                <c:pt idx="40">
                  <c:v>218.54786578217121</c:v>
                </c:pt>
              </c:numCache>
            </c:numRef>
          </c:val>
          <c:smooth val="0"/>
          <c:extLst>
            <c:ext xmlns:c16="http://schemas.microsoft.com/office/drawing/2014/chart" uri="{C3380CC4-5D6E-409C-BE32-E72D297353CC}">
              <c16:uniqueId val="{00000002-94BF-471C-B678-B0ABB9910D0F}"/>
            </c:ext>
          </c:extLst>
        </c:ser>
        <c:dLbls>
          <c:showLegendKey val="0"/>
          <c:showVal val="0"/>
          <c:showCatName val="0"/>
          <c:showSerName val="0"/>
          <c:showPercent val="0"/>
          <c:showBubbleSize val="0"/>
        </c:dLbls>
        <c:marker val="1"/>
        <c:smooth val="0"/>
        <c:axId val="354018191"/>
        <c:axId val="354043151"/>
      </c:lineChart>
      <c:catAx>
        <c:axId val="35401819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model year</a:t>
                </a:r>
              </a:p>
            </c:rich>
          </c:tx>
          <c:layout>
            <c:manualLayout>
              <c:xMode val="edge"/>
              <c:yMode val="edge"/>
              <c:x val="0.76723237576954262"/>
              <c:y val="0.87673342633972551"/>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354043151"/>
        <c:crosses val="autoZero"/>
        <c:auto val="0"/>
        <c:lblAlgn val="ctr"/>
        <c:lblOffset val="100"/>
        <c:tickLblSkip val="5"/>
        <c:tickMarkSkip val="5"/>
        <c:noMultiLvlLbl val="0"/>
      </c:catAx>
      <c:valAx>
        <c:axId val="35404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sz="1000" b="1">
                    <a:solidFill>
                      <a:schemeClr val="tx1"/>
                    </a:solidFill>
                  </a:rPr>
                  <a:t>cumulative</a:t>
                </a:r>
                <a:r>
                  <a:rPr lang="en-US" sz="1000" b="1" baseline="0">
                    <a:solidFill>
                      <a:schemeClr val="tx1"/>
                    </a:solidFill>
                  </a:rPr>
                  <a:t> emissions, TgCO</a:t>
                </a:r>
                <a:r>
                  <a:rPr lang="en-US" sz="1000" b="1" baseline="-25000">
                    <a:solidFill>
                      <a:schemeClr val="tx1"/>
                    </a:solidFill>
                  </a:rPr>
                  <a:t>2</a:t>
                </a:r>
                <a:r>
                  <a:rPr lang="en-US" sz="1000" b="1" baseline="0">
                    <a:solidFill>
                      <a:schemeClr val="tx1"/>
                    </a:solidFill>
                  </a:rPr>
                  <a:t>e</a:t>
                </a:r>
                <a:endParaRPr lang="en-US" sz="1000" b="1">
                  <a:solidFill>
                    <a:schemeClr val="tx1"/>
                  </a:solidFill>
                </a:endParaRPr>
              </a:p>
            </c:rich>
          </c:tx>
          <c:layout>
            <c:manualLayout>
              <c:xMode val="edge"/>
              <c:yMode val="edge"/>
              <c:x val="5.2421199643622541E-3"/>
              <c:y val="0.18373031496062989"/>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354018191"/>
        <c:crosses val="autoZero"/>
        <c:crossBetween val="midCat"/>
      </c:valAx>
      <c:spPr>
        <a:noFill/>
        <a:ln w="6350">
          <a:solidFill>
            <a:schemeClr val="bg1">
              <a:lumMod val="75000"/>
            </a:schemeClr>
          </a:solidFill>
        </a:ln>
        <a:effectLst/>
      </c:spPr>
    </c:plotArea>
    <c:legend>
      <c:legendPos val="b"/>
      <c:legendEntry>
        <c:idx val="0"/>
        <c:delete val="1"/>
      </c:legendEntry>
      <c:legendEntry>
        <c:idx val="7"/>
        <c:delete val="1"/>
      </c:legendEntry>
      <c:legendEntry>
        <c:idx val="8"/>
        <c:delete val="1"/>
      </c:legendEntry>
      <c:layout>
        <c:manualLayout>
          <c:xMode val="edge"/>
          <c:yMode val="edge"/>
          <c:x val="0.77271513079213727"/>
          <c:y val="4.0508165645960936E-2"/>
          <c:w val="0.22728486920786278"/>
          <c:h val="0.56709551661558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57538675721412"/>
          <c:y val="0.1588217891956363"/>
          <c:w val="0.7576477347816003"/>
          <c:h val="0.6776670195468294"/>
        </c:manualLayout>
      </c:layout>
      <c:scatterChart>
        <c:scatterStyle val="lineMarker"/>
        <c:varyColors val="0"/>
        <c:ser>
          <c:idx val="4"/>
          <c:order val="0"/>
          <c:tx>
            <c:strRef>
              <c:f>'Figure 7'!$G$47</c:f>
              <c:strCache>
                <c:ptCount val="1"/>
                <c:pt idx="0">
                  <c:v>REF</c:v>
                </c:pt>
              </c:strCache>
            </c:strRef>
          </c:tx>
          <c:spPr>
            <a:ln w="38100" cap="rnd">
              <a:solidFill>
                <a:srgbClr val="A1D99B"/>
              </a:solidFill>
              <a:prstDash val="solid"/>
              <a:round/>
            </a:ln>
            <a:effectLst/>
          </c:spPr>
          <c:marker>
            <c:symbol val="none"/>
          </c:marker>
          <c:xVal>
            <c:numRef>
              <c:f>'Figure 7'!$H$23:$AV$23</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numCache>
            </c:numRef>
          </c:xVal>
          <c:yVal>
            <c:numRef>
              <c:f>'Figure 7'!$H$47:$AV$47</c:f>
              <c:numCache>
                <c:formatCode>#,##0.0</c:formatCode>
                <c:ptCount val="41"/>
                <c:pt idx="1">
                  <c:v>-9.4247816429186848</c:v>
                </c:pt>
                <c:pt idx="2">
                  <c:v>-14.077477310174743</c:v>
                </c:pt>
                <c:pt idx="3">
                  <c:v>-18.683336798913015</c:v>
                </c:pt>
                <c:pt idx="4">
                  <c:v>-23.237785024006502</c:v>
                </c:pt>
                <c:pt idx="5">
                  <c:v>-27.736770844154993</c:v>
                </c:pt>
                <c:pt idx="6">
                  <c:v>-32.176734048631751</c:v>
                </c:pt>
                <c:pt idx="7">
                  <c:v>-36.55457279345427</c:v>
                </c:pt>
                <c:pt idx="8">
                  <c:v>-40.867611776540336</c:v>
                </c:pt>
                <c:pt idx="9">
                  <c:v>-45.113571373979376</c:v>
                </c:pt>
                <c:pt idx="10">
                  <c:v>-49.290537903397336</c:v>
                </c:pt>
                <c:pt idx="11">
                  <c:v>-53.396935133841652</c:v>
                </c:pt>
                <c:pt idx="12">
                  <c:v>-57.431497123218222</c:v>
                </c:pt>
                <c:pt idx="13">
                  <c:v>-61.393242432835535</c:v>
                </c:pt>
                <c:pt idx="14">
                  <c:v>-65.281449742991683</c:v>
                </c:pt>
                <c:pt idx="15">
                  <c:v>-69.095634872865915</c:v>
                </c:pt>
                <c:pt idx="16">
                  <c:v>-72.835529191470457</c:v>
                </c:pt>
                <c:pt idx="17">
                  <c:v>-76.501059393412902</c:v>
                </c:pt>
                <c:pt idx="18">
                  <c:v>-80.092328603146655</c:v>
                </c:pt>
                <c:pt idx="19">
                  <c:v>-83.609598763761213</c:v>
                </c:pt>
                <c:pt idx="20">
                  <c:v>-87.05327426077146</c:v>
                </c:pt>
                <c:pt idx="21">
                  <c:v>-90.423886727454303</c:v>
                </c:pt>
                <c:pt idx="22">
                  <c:v>-93.722080975754977</c:v>
                </c:pt>
                <c:pt idx="23">
                  <c:v>-96.948601995387023</c:v>
                </c:pt>
                <c:pt idx="24">
                  <c:v>-100.10428296327085</c:v>
                </c:pt>
                <c:pt idx="25">
                  <c:v>-103.190034205711</c:v>
                </c:pt>
                <c:pt idx="26">
                  <c:v>-110.07811511309659</c:v>
                </c:pt>
                <c:pt idx="27">
                  <c:v>-116.76197353549688</c:v>
                </c:pt>
                <c:pt idx="28">
                  <c:v>-123.240294071566</c:v>
                </c:pt>
                <c:pt idx="29">
                  <c:v>-129.51271484823093</c:v>
                </c:pt>
                <c:pt idx="30">
                  <c:v>-135.57972250040467</c:v>
                </c:pt>
                <c:pt idx="31">
                  <c:v>-141.44255416144611</c:v>
                </c:pt>
                <c:pt idx="32">
                  <c:v>-147.10310645900989</c:v>
                </c:pt>
                <c:pt idx="33">
                  <c:v>-152.56385140685646</c:v>
                </c:pt>
                <c:pt idx="34">
                  <c:v>-157.82775900423914</c:v>
                </c:pt>
                <c:pt idx="35">
                  <c:v>-162.89822629610583</c:v>
                </c:pt>
                <c:pt idx="36">
                  <c:v>-167.77901260573495</c:v>
                </c:pt>
                <c:pt idx="37">
                  <c:v>-172.47418062338136</c:v>
                </c:pt>
                <c:pt idx="38">
                  <c:v>-176.98804301737601</c:v>
                </c:pt>
                <c:pt idx="39">
                  <c:v>-181.32511422569004</c:v>
                </c:pt>
                <c:pt idx="40">
                  <c:v>-185.49006708439836</c:v>
                </c:pt>
              </c:numCache>
            </c:numRef>
          </c:yVal>
          <c:smooth val="0"/>
          <c:extLst>
            <c:ext xmlns:c16="http://schemas.microsoft.com/office/drawing/2014/chart" uri="{C3380CC4-5D6E-409C-BE32-E72D297353CC}">
              <c16:uniqueId val="{00000000-1C6C-4A3E-A4A0-A72E7E9E517A}"/>
            </c:ext>
          </c:extLst>
        </c:ser>
        <c:ser>
          <c:idx val="3"/>
          <c:order val="1"/>
          <c:tx>
            <c:strRef>
              <c:f>'Figure 7'!$G$48</c:f>
              <c:strCache>
                <c:ptCount val="1"/>
                <c:pt idx="0">
                  <c:v>LOG</c:v>
                </c:pt>
              </c:strCache>
            </c:strRef>
          </c:tx>
          <c:spPr>
            <a:ln w="38100" cap="rnd">
              <a:solidFill>
                <a:srgbClr val="2171B5"/>
              </a:solidFill>
              <a:prstDash val="solid"/>
              <a:round/>
            </a:ln>
            <a:effectLst/>
          </c:spPr>
          <c:marker>
            <c:symbol val="none"/>
          </c:marker>
          <c:xVal>
            <c:numRef>
              <c:f>'Figure 7'!$H$23:$AV$23</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numCache>
            </c:numRef>
          </c:xVal>
          <c:yVal>
            <c:numRef>
              <c:f>'Figure 7'!$H$48:$AV$48</c:f>
              <c:numCache>
                <c:formatCode>#,##0.0</c:formatCode>
                <c:ptCount val="41"/>
                <c:pt idx="1">
                  <c:v>-5.0569966952997383E-2</c:v>
                </c:pt>
                <c:pt idx="2">
                  <c:v>-0.2130845080749843</c:v>
                </c:pt>
                <c:pt idx="3">
                  <c:v>-0.53460339108730692</c:v>
                </c:pt>
                <c:pt idx="4">
                  <c:v>-1.0496715507124756</c:v>
                </c:pt>
                <c:pt idx="5">
                  <c:v>-1.7825741019297858</c:v>
                </c:pt>
                <c:pt idx="6">
                  <c:v>-2.7491409769679529</c:v>
                </c:pt>
                <c:pt idx="7">
                  <c:v>-3.9582813246243616</c:v>
                </c:pt>
                <c:pt idx="8">
                  <c:v>-5.4132854052293915</c:v>
                </c:pt>
                <c:pt idx="9">
                  <c:v>-7.1129266227190922</c:v>
                </c:pt>
                <c:pt idx="10">
                  <c:v>-9.0523919188101623</c:v>
                </c:pt>
                <c:pt idx="11">
                  <c:v>-11.224064924351906</c:v>
                </c:pt>
                <c:pt idx="12">
                  <c:v>-13.618182942368856</c:v>
                </c:pt>
                <c:pt idx="13">
                  <c:v>-16.223385959031887</c:v>
                </c:pt>
                <c:pt idx="14">
                  <c:v>-19.027173384525618</c:v>
                </c:pt>
                <c:pt idx="15">
                  <c:v>-22.016282064878709</c:v>
                </c:pt>
                <c:pt idx="16">
                  <c:v>-25.176997234295722</c:v>
                </c:pt>
                <c:pt idx="17">
                  <c:v>-28.495406457151066</c:v>
                </c:pt>
                <c:pt idx="18">
                  <c:v>-31.957605206370346</c:v>
                </c:pt>
                <c:pt idx="19">
                  <c:v>-35.549861511584552</c:v>
                </c:pt>
                <c:pt idx="20">
                  <c:v>-39.258746061139632</c:v>
                </c:pt>
                <c:pt idx="21">
                  <c:v>-43.071233235011995</c:v>
                </c:pt>
                <c:pt idx="22">
                  <c:v>-46.974777762016046</c:v>
                </c:pt>
                <c:pt idx="23">
                  <c:v>-50.957371017974438</c:v>
                </c:pt>
                <c:pt idx="24">
                  <c:v>-55.007580397500917</c:v>
                </c:pt>
                <c:pt idx="25">
                  <c:v>-59.114574688340142</c:v>
                </c:pt>
                <c:pt idx="26">
                  <c:v>-65.421872195079416</c:v>
                </c:pt>
                <c:pt idx="27">
                  <c:v>-71.729169701818677</c:v>
                </c:pt>
                <c:pt idx="28">
                  <c:v>-78.036467208557937</c:v>
                </c:pt>
                <c:pt idx="29">
                  <c:v>-84.343764715297198</c:v>
                </c:pt>
                <c:pt idx="30">
                  <c:v>-90.651062222036458</c:v>
                </c:pt>
                <c:pt idx="31">
                  <c:v>-96.958359728775719</c:v>
                </c:pt>
                <c:pt idx="32">
                  <c:v>-103.26565723551498</c:v>
                </c:pt>
                <c:pt idx="33">
                  <c:v>-109.57295474225424</c:v>
                </c:pt>
                <c:pt idx="34">
                  <c:v>-115.8802522489935</c:v>
                </c:pt>
                <c:pt idx="35">
                  <c:v>-122.18754975573276</c:v>
                </c:pt>
                <c:pt idx="36">
                  <c:v>-128.49484726247204</c:v>
                </c:pt>
                <c:pt idx="37">
                  <c:v>-134.80214476921131</c:v>
                </c:pt>
                <c:pt idx="38">
                  <c:v>-141.10944227595058</c:v>
                </c:pt>
                <c:pt idx="39">
                  <c:v>-147.41673978268986</c:v>
                </c:pt>
                <c:pt idx="40">
                  <c:v>-153.72403728942913</c:v>
                </c:pt>
              </c:numCache>
            </c:numRef>
          </c:yVal>
          <c:smooth val="0"/>
          <c:extLst>
            <c:ext xmlns:c16="http://schemas.microsoft.com/office/drawing/2014/chart" uri="{C3380CC4-5D6E-409C-BE32-E72D297353CC}">
              <c16:uniqueId val="{00000001-1C6C-4A3E-A4A0-A72E7E9E517A}"/>
            </c:ext>
          </c:extLst>
        </c:ser>
        <c:ser>
          <c:idx val="5"/>
          <c:order val="2"/>
          <c:tx>
            <c:strRef>
              <c:f>'Figure 7'!$G$49</c:f>
              <c:strCache>
                <c:ptCount val="1"/>
                <c:pt idx="0">
                  <c:v>LOG-REF</c:v>
                </c:pt>
              </c:strCache>
            </c:strRef>
          </c:tx>
          <c:spPr>
            <a:ln w="15875" cap="rnd">
              <a:solidFill>
                <a:srgbClr val="E31A1C"/>
              </a:solidFill>
              <a:round/>
            </a:ln>
            <a:effectLst/>
          </c:spPr>
          <c:marker>
            <c:symbol val="none"/>
          </c:marker>
          <c:xVal>
            <c:numRef>
              <c:f>'Figure 7'!$H$23:$AV$23</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numCache>
            </c:numRef>
          </c:xVal>
          <c:yVal>
            <c:numRef>
              <c:f>'Figure 7'!$H$49:$AV$49</c:f>
              <c:numCache>
                <c:formatCode>#,##0.0</c:formatCode>
                <c:ptCount val="41"/>
                <c:pt idx="1">
                  <c:v>9.3742116759656877</c:v>
                </c:pt>
                <c:pt idx="2">
                  <c:v>13.864392802099758</c:v>
                </c:pt>
                <c:pt idx="3">
                  <c:v>18.148733407825709</c:v>
                </c:pt>
                <c:pt idx="4">
                  <c:v>22.188113473294028</c:v>
                </c:pt>
                <c:pt idx="5">
                  <c:v>25.954196742225207</c:v>
                </c:pt>
                <c:pt idx="6">
                  <c:v>29.427593071663797</c:v>
                </c:pt>
                <c:pt idx="7">
                  <c:v>32.596291468829911</c:v>
                </c:pt>
                <c:pt idx="8">
                  <c:v>35.454326371310941</c:v>
                </c:pt>
                <c:pt idx="9">
                  <c:v>38.000644751260282</c:v>
                </c:pt>
                <c:pt idx="10">
                  <c:v>40.238145984587177</c:v>
                </c:pt>
                <c:pt idx="11">
                  <c:v>42.172870209489744</c:v>
                </c:pt>
                <c:pt idx="12">
                  <c:v>43.813314180849368</c:v>
                </c:pt>
                <c:pt idx="13">
                  <c:v>45.169856473803648</c:v>
                </c:pt>
                <c:pt idx="14">
                  <c:v>46.254276358466065</c:v>
                </c:pt>
                <c:pt idx="15">
                  <c:v>47.079352807987206</c:v>
                </c:pt>
                <c:pt idx="16">
                  <c:v>47.658531957174731</c:v>
                </c:pt>
                <c:pt idx="17">
                  <c:v>48.005652936261839</c:v>
                </c:pt>
                <c:pt idx="18">
                  <c:v>48.134723396776309</c:v>
                </c:pt>
                <c:pt idx="19">
                  <c:v>48.05973725217666</c:v>
                </c:pt>
                <c:pt idx="20">
                  <c:v>47.794528199631827</c:v>
                </c:pt>
                <c:pt idx="21">
                  <c:v>47.352653492442307</c:v>
                </c:pt>
                <c:pt idx="22">
                  <c:v>46.747303213738931</c:v>
                </c:pt>
                <c:pt idx="23">
                  <c:v>45.991230977412584</c:v>
                </c:pt>
                <c:pt idx="24">
                  <c:v>45.096702565769931</c:v>
                </c:pt>
                <c:pt idx="25">
                  <c:v>44.075459517370859</c:v>
                </c:pt>
                <c:pt idx="26">
                  <c:v>44.65624291801717</c:v>
                </c:pt>
                <c:pt idx="27">
                  <c:v>45.032803833678201</c:v>
                </c:pt>
                <c:pt idx="28">
                  <c:v>45.203826863008061</c:v>
                </c:pt>
                <c:pt idx="29">
                  <c:v>45.16895013293373</c:v>
                </c:pt>
                <c:pt idx="30">
                  <c:v>44.928660278368213</c:v>
                </c:pt>
                <c:pt idx="31">
                  <c:v>44.484194432670392</c:v>
                </c:pt>
                <c:pt idx="32">
                  <c:v>43.837449223494914</c:v>
                </c:pt>
                <c:pt idx="33">
                  <c:v>42.990896664602218</c:v>
                </c:pt>
                <c:pt idx="34">
                  <c:v>41.947506755245641</c:v>
                </c:pt>
                <c:pt idx="35">
                  <c:v>40.710676540373072</c:v>
                </c:pt>
                <c:pt idx="36">
                  <c:v>39.284165343262913</c:v>
                </c:pt>
                <c:pt idx="37">
                  <c:v>37.672035854170048</c:v>
                </c:pt>
                <c:pt idx="38">
                  <c:v>35.87860074142543</c:v>
                </c:pt>
                <c:pt idx="39">
                  <c:v>33.908374443000184</c:v>
                </c:pt>
                <c:pt idx="40">
                  <c:v>31.766029794969228</c:v>
                </c:pt>
              </c:numCache>
            </c:numRef>
          </c:yVal>
          <c:smooth val="0"/>
          <c:extLst>
            <c:ext xmlns:c16="http://schemas.microsoft.com/office/drawing/2014/chart" uri="{C3380CC4-5D6E-409C-BE32-E72D297353CC}">
              <c16:uniqueId val="{00000002-1C6C-4A3E-A4A0-A72E7E9E517A}"/>
            </c:ext>
          </c:extLst>
        </c:ser>
        <c:dLbls>
          <c:showLegendKey val="0"/>
          <c:showVal val="0"/>
          <c:showCatName val="0"/>
          <c:showSerName val="0"/>
          <c:showPercent val="0"/>
          <c:showBubbleSize val="0"/>
        </c:dLbls>
        <c:axId val="571412608"/>
        <c:axId val="917020512"/>
      </c:scatterChart>
      <c:valAx>
        <c:axId val="571412608"/>
        <c:scaling>
          <c:orientation val="minMax"/>
          <c:max val="4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chemeClr val="tx1"/>
                    </a:solidFill>
                  </a:rPr>
                  <a:t>model year</a:t>
                </a:r>
              </a:p>
            </c:rich>
          </c:tx>
          <c:layout>
            <c:manualLayout>
              <c:xMode val="edge"/>
              <c:yMode val="edge"/>
              <c:x val="0.44701552628154734"/>
              <c:y val="0.922542344634560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cross"/>
        <c:minorTickMark val="cross"/>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917020512"/>
        <c:crosses val="autoZero"/>
        <c:crossBetween val="midCat"/>
        <c:majorUnit val="10"/>
        <c:minorUnit val="5"/>
      </c:valAx>
      <c:valAx>
        <c:axId val="917020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chemeClr val="tx1"/>
                    </a:solidFill>
                  </a:rPr>
                  <a:t>cumulative emissions,</a:t>
                </a:r>
                <a:r>
                  <a:rPr lang="en-US" sz="900" b="1" baseline="0">
                    <a:solidFill>
                      <a:schemeClr val="tx1"/>
                    </a:solidFill>
                  </a:rPr>
                  <a:t> MgCO</a:t>
                </a:r>
                <a:r>
                  <a:rPr lang="en-US" sz="900" b="1" baseline="-25000">
                    <a:solidFill>
                      <a:schemeClr val="tx1"/>
                    </a:solidFill>
                  </a:rPr>
                  <a:t>2</a:t>
                </a:r>
                <a:r>
                  <a:rPr lang="en-US" sz="900" b="1" baseline="0">
                    <a:solidFill>
                      <a:schemeClr val="tx1"/>
                    </a:solidFill>
                  </a:rPr>
                  <a:t>e/ha</a:t>
                </a:r>
                <a:endParaRPr lang="en-US" sz="900" b="1">
                  <a:solidFill>
                    <a:schemeClr val="tx1"/>
                  </a:solidFill>
                </a:endParaRP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571412608"/>
        <c:crosses val="autoZero"/>
        <c:crossBetween val="midCat"/>
      </c:val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89050808947395E-2"/>
          <c:y val="7.8387859968208198E-2"/>
          <c:w val="0.63043397187291883"/>
          <c:h val="0.76536985693689696"/>
        </c:manualLayout>
      </c:layout>
      <c:scatterChart>
        <c:scatterStyle val="lineMarker"/>
        <c:varyColors val="0"/>
        <c:ser>
          <c:idx val="5"/>
          <c:order val="0"/>
          <c:tx>
            <c:strRef>
              <c:f>'Figures B1-B3'!$C$12</c:f>
              <c:strCache>
                <c:ptCount val="1"/>
                <c:pt idx="0">
                  <c:v>baseline stock</c:v>
                </c:pt>
              </c:strCache>
            </c:strRef>
          </c:tx>
          <c:spPr>
            <a:ln w="38100" cap="rnd">
              <a:solidFill>
                <a:srgbClr val="A1D99B"/>
              </a:solidFill>
              <a:round/>
            </a:ln>
            <a:effectLst/>
          </c:spPr>
          <c:marker>
            <c:symbol val="none"/>
          </c:marker>
          <c:xVal>
            <c:numRef>
              <c:f>'Figures B1-B3'!$E$7:$RP$7</c:f>
              <c:numCache>
                <c:formatCode>#,##0.00</c:formatCode>
                <c:ptCount val="480"/>
                <c:pt idx="0">
                  <c:v>8.3333333333333329E-2</c:v>
                </c:pt>
                <c:pt idx="1">
                  <c:v>0.16666666666666666</c:v>
                </c:pt>
                <c:pt idx="2">
                  <c:v>0.25</c:v>
                </c:pt>
                <c:pt idx="3">
                  <c:v>0.33333333333333331</c:v>
                </c:pt>
                <c:pt idx="4">
                  <c:v>0.41666666666666669</c:v>
                </c:pt>
                <c:pt idx="5">
                  <c:v>0.5</c:v>
                </c:pt>
                <c:pt idx="6">
                  <c:v>0.58333333333333337</c:v>
                </c:pt>
                <c:pt idx="7">
                  <c:v>0.66666666666666663</c:v>
                </c:pt>
                <c:pt idx="8">
                  <c:v>0.75</c:v>
                </c:pt>
                <c:pt idx="9">
                  <c:v>0.83333333333333337</c:v>
                </c:pt>
                <c:pt idx="10">
                  <c:v>0.91666666666666663</c:v>
                </c:pt>
                <c:pt idx="11">
                  <c:v>1</c:v>
                </c:pt>
                <c:pt idx="12">
                  <c:v>1.0833333333333333</c:v>
                </c:pt>
                <c:pt idx="13">
                  <c:v>1.1666666666666667</c:v>
                </c:pt>
                <c:pt idx="14">
                  <c:v>1.25</c:v>
                </c:pt>
                <c:pt idx="15">
                  <c:v>1.3333333333333333</c:v>
                </c:pt>
                <c:pt idx="16">
                  <c:v>1.4166666666666667</c:v>
                </c:pt>
                <c:pt idx="17">
                  <c:v>1.5</c:v>
                </c:pt>
                <c:pt idx="18">
                  <c:v>1.5833333333333333</c:v>
                </c:pt>
                <c:pt idx="19">
                  <c:v>1.6666666666666667</c:v>
                </c:pt>
                <c:pt idx="20">
                  <c:v>1.75</c:v>
                </c:pt>
                <c:pt idx="21">
                  <c:v>1.8333333333333333</c:v>
                </c:pt>
                <c:pt idx="22">
                  <c:v>1.9166666666666667</c:v>
                </c:pt>
                <c:pt idx="23">
                  <c:v>2</c:v>
                </c:pt>
                <c:pt idx="24">
                  <c:v>2.0833333333333335</c:v>
                </c:pt>
                <c:pt idx="25">
                  <c:v>2.1666666666666665</c:v>
                </c:pt>
                <c:pt idx="26">
                  <c:v>2.25</c:v>
                </c:pt>
                <c:pt idx="27">
                  <c:v>2.3333333333333335</c:v>
                </c:pt>
                <c:pt idx="28">
                  <c:v>2.4166666666666665</c:v>
                </c:pt>
                <c:pt idx="29">
                  <c:v>2.5</c:v>
                </c:pt>
                <c:pt idx="30">
                  <c:v>2.5833333333333335</c:v>
                </c:pt>
                <c:pt idx="31">
                  <c:v>2.6666666666666665</c:v>
                </c:pt>
                <c:pt idx="32">
                  <c:v>2.75</c:v>
                </c:pt>
                <c:pt idx="33">
                  <c:v>2.8333333333333335</c:v>
                </c:pt>
                <c:pt idx="34">
                  <c:v>2.9166666666666665</c:v>
                </c:pt>
                <c:pt idx="35">
                  <c:v>3</c:v>
                </c:pt>
                <c:pt idx="36">
                  <c:v>3.0833333333333335</c:v>
                </c:pt>
                <c:pt idx="37">
                  <c:v>3.1666666666666665</c:v>
                </c:pt>
                <c:pt idx="38">
                  <c:v>3.25</c:v>
                </c:pt>
                <c:pt idx="39">
                  <c:v>3.3333333333333335</c:v>
                </c:pt>
                <c:pt idx="40">
                  <c:v>3.4166666666666665</c:v>
                </c:pt>
                <c:pt idx="41">
                  <c:v>3.5</c:v>
                </c:pt>
                <c:pt idx="42">
                  <c:v>3.5833333333333335</c:v>
                </c:pt>
                <c:pt idx="43">
                  <c:v>3.6666666666666665</c:v>
                </c:pt>
                <c:pt idx="44">
                  <c:v>3.75</c:v>
                </c:pt>
                <c:pt idx="45">
                  <c:v>3.8333333333333335</c:v>
                </c:pt>
                <c:pt idx="46">
                  <c:v>3.9166666666666665</c:v>
                </c:pt>
                <c:pt idx="47">
                  <c:v>4</c:v>
                </c:pt>
                <c:pt idx="48">
                  <c:v>4.083333333333333</c:v>
                </c:pt>
                <c:pt idx="49">
                  <c:v>4.166666666666667</c:v>
                </c:pt>
                <c:pt idx="50">
                  <c:v>4.25</c:v>
                </c:pt>
                <c:pt idx="51">
                  <c:v>4.333333333333333</c:v>
                </c:pt>
                <c:pt idx="52">
                  <c:v>4.416666666666667</c:v>
                </c:pt>
                <c:pt idx="53">
                  <c:v>4.5</c:v>
                </c:pt>
                <c:pt idx="54">
                  <c:v>4.583333333333333</c:v>
                </c:pt>
                <c:pt idx="55">
                  <c:v>4.666666666666667</c:v>
                </c:pt>
                <c:pt idx="56">
                  <c:v>4.75</c:v>
                </c:pt>
                <c:pt idx="57">
                  <c:v>4.833333333333333</c:v>
                </c:pt>
                <c:pt idx="58">
                  <c:v>4.916666666666667</c:v>
                </c:pt>
                <c:pt idx="59">
                  <c:v>5</c:v>
                </c:pt>
                <c:pt idx="60">
                  <c:v>5.083333333333333</c:v>
                </c:pt>
                <c:pt idx="61">
                  <c:v>5.166666666666667</c:v>
                </c:pt>
                <c:pt idx="62">
                  <c:v>5.25</c:v>
                </c:pt>
                <c:pt idx="63">
                  <c:v>5.333333333333333</c:v>
                </c:pt>
                <c:pt idx="64">
                  <c:v>5.416666666666667</c:v>
                </c:pt>
                <c:pt idx="65">
                  <c:v>5.5</c:v>
                </c:pt>
                <c:pt idx="66">
                  <c:v>5.583333333333333</c:v>
                </c:pt>
                <c:pt idx="67">
                  <c:v>5.666666666666667</c:v>
                </c:pt>
                <c:pt idx="68">
                  <c:v>5.75</c:v>
                </c:pt>
                <c:pt idx="69">
                  <c:v>5.833333333333333</c:v>
                </c:pt>
                <c:pt idx="70">
                  <c:v>5.916666666666667</c:v>
                </c:pt>
                <c:pt idx="71">
                  <c:v>6</c:v>
                </c:pt>
                <c:pt idx="72">
                  <c:v>6.083333333333333</c:v>
                </c:pt>
                <c:pt idx="73">
                  <c:v>6.166666666666667</c:v>
                </c:pt>
                <c:pt idx="74">
                  <c:v>6.25</c:v>
                </c:pt>
                <c:pt idx="75">
                  <c:v>6.333333333333333</c:v>
                </c:pt>
                <c:pt idx="76">
                  <c:v>6.416666666666667</c:v>
                </c:pt>
                <c:pt idx="77">
                  <c:v>6.5</c:v>
                </c:pt>
                <c:pt idx="78">
                  <c:v>6.583333333333333</c:v>
                </c:pt>
                <c:pt idx="79">
                  <c:v>6.666666666666667</c:v>
                </c:pt>
                <c:pt idx="80">
                  <c:v>6.75</c:v>
                </c:pt>
                <c:pt idx="81">
                  <c:v>6.833333333333333</c:v>
                </c:pt>
                <c:pt idx="82">
                  <c:v>6.916666666666667</c:v>
                </c:pt>
                <c:pt idx="83">
                  <c:v>7</c:v>
                </c:pt>
                <c:pt idx="84">
                  <c:v>7.083333333333333</c:v>
                </c:pt>
                <c:pt idx="85">
                  <c:v>7.166666666666667</c:v>
                </c:pt>
                <c:pt idx="86">
                  <c:v>7.25</c:v>
                </c:pt>
                <c:pt idx="87">
                  <c:v>7.333333333333333</c:v>
                </c:pt>
                <c:pt idx="88">
                  <c:v>7.416666666666667</c:v>
                </c:pt>
                <c:pt idx="89">
                  <c:v>7.5</c:v>
                </c:pt>
                <c:pt idx="90">
                  <c:v>7.583333333333333</c:v>
                </c:pt>
                <c:pt idx="91">
                  <c:v>7.666666666666667</c:v>
                </c:pt>
                <c:pt idx="92">
                  <c:v>7.75</c:v>
                </c:pt>
                <c:pt idx="93">
                  <c:v>7.833333333333333</c:v>
                </c:pt>
                <c:pt idx="94">
                  <c:v>7.916666666666667</c:v>
                </c:pt>
                <c:pt idx="95">
                  <c:v>8</c:v>
                </c:pt>
                <c:pt idx="96">
                  <c:v>8.0833333333333339</c:v>
                </c:pt>
                <c:pt idx="97">
                  <c:v>8.1666666666666661</c:v>
                </c:pt>
                <c:pt idx="98">
                  <c:v>8.25</c:v>
                </c:pt>
                <c:pt idx="99">
                  <c:v>8.3333333333333339</c:v>
                </c:pt>
                <c:pt idx="100">
                  <c:v>8.4166666666666661</c:v>
                </c:pt>
                <c:pt idx="101">
                  <c:v>8.5</c:v>
                </c:pt>
                <c:pt idx="102">
                  <c:v>8.5833333333333339</c:v>
                </c:pt>
                <c:pt idx="103">
                  <c:v>8.6666666666666661</c:v>
                </c:pt>
                <c:pt idx="104">
                  <c:v>8.75</c:v>
                </c:pt>
                <c:pt idx="105">
                  <c:v>8.8333333333333339</c:v>
                </c:pt>
                <c:pt idx="106">
                  <c:v>8.9166666666666661</c:v>
                </c:pt>
                <c:pt idx="107">
                  <c:v>9</c:v>
                </c:pt>
                <c:pt idx="108">
                  <c:v>9.0833333333333339</c:v>
                </c:pt>
                <c:pt idx="109">
                  <c:v>9.1666666666666661</c:v>
                </c:pt>
                <c:pt idx="110">
                  <c:v>9.25</c:v>
                </c:pt>
                <c:pt idx="111">
                  <c:v>9.3333333333333339</c:v>
                </c:pt>
                <c:pt idx="112">
                  <c:v>9.4166666666666661</c:v>
                </c:pt>
                <c:pt idx="113">
                  <c:v>9.5</c:v>
                </c:pt>
                <c:pt idx="114">
                  <c:v>9.5833333333333339</c:v>
                </c:pt>
                <c:pt idx="115">
                  <c:v>9.6666666666666661</c:v>
                </c:pt>
                <c:pt idx="116">
                  <c:v>9.75</c:v>
                </c:pt>
                <c:pt idx="117">
                  <c:v>9.8333333333333339</c:v>
                </c:pt>
                <c:pt idx="118">
                  <c:v>9.9166666666666661</c:v>
                </c:pt>
                <c:pt idx="119">
                  <c:v>10</c:v>
                </c:pt>
                <c:pt idx="120">
                  <c:v>10.083333333333334</c:v>
                </c:pt>
                <c:pt idx="121">
                  <c:v>10.166666666666666</c:v>
                </c:pt>
                <c:pt idx="122">
                  <c:v>10.25</c:v>
                </c:pt>
                <c:pt idx="123">
                  <c:v>10.333333333333334</c:v>
                </c:pt>
                <c:pt idx="124">
                  <c:v>10.416666666666666</c:v>
                </c:pt>
                <c:pt idx="125">
                  <c:v>10.5</c:v>
                </c:pt>
                <c:pt idx="126">
                  <c:v>10.583333333333334</c:v>
                </c:pt>
                <c:pt idx="127">
                  <c:v>10.666666666666666</c:v>
                </c:pt>
                <c:pt idx="128">
                  <c:v>10.75</c:v>
                </c:pt>
                <c:pt idx="129">
                  <c:v>10.833333333333334</c:v>
                </c:pt>
                <c:pt idx="130">
                  <c:v>10.916666666666666</c:v>
                </c:pt>
                <c:pt idx="131">
                  <c:v>11</c:v>
                </c:pt>
                <c:pt idx="132">
                  <c:v>11.083333333333334</c:v>
                </c:pt>
                <c:pt idx="133">
                  <c:v>11.166666666666666</c:v>
                </c:pt>
                <c:pt idx="134">
                  <c:v>11.25</c:v>
                </c:pt>
                <c:pt idx="135">
                  <c:v>11.333333333333334</c:v>
                </c:pt>
                <c:pt idx="136">
                  <c:v>11.416666666666666</c:v>
                </c:pt>
                <c:pt idx="137">
                  <c:v>11.5</c:v>
                </c:pt>
                <c:pt idx="138">
                  <c:v>11.583333333333334</c:v>
                </c:pt>
                <c:pt idx="139">
                  <c:v>11.666666666666666</c:v>
                </c:pt>
                <c:pt idx="140">
                  <c:v>11.75</c:v>
                </c:pt>
                <c:pt idx="141">
                  <c:v>11.833333333333334</c:v>
                </c:pt>
                <c:pt idx="142">
                  <c:v>11.916666666666666</c:v>
                </c:pt>
                <c:pt idx="143">
                  <c:v>12</c:v>
                </c:pt>
                <c:pt idx="144">
                  <c:v>12.083333333333334</c:v>
                </c:pt>
                <c:pt idx="145">
                  <c:v>12.166666666666666</c:v>
                </c:pt>
                <c:pt idx="146">
                  <c:v>12.25</c:v>
                </c:pt>
                <c:pt idx="147">
                  <c:v>12.333333333333334</c:v>
                </c:pt>
                <c:pt idx="148">
                  <c:v>12.416666666666666</c:v>
                </c:pt>
                <c:pt idx="149">
                  <c:v>12.5</c:v>
                </c:pt>
                <c:pt idx="150">
                  <c:v>12.583333333333334</c:v>
                </c:pt>
                <c:pt idx="151">
                  <c:v>12.666666666666666</c:v>
                </c:pt>
                <c:pt idx="152">
                  <c:v>12.75</c:v>
                </c:pt>
                <c:pt idx="153">
                  <c:v>12.833333333333334</c:v>
                </c:pt>
                <c:pt idx="154">
                  <c:v>12.916666666666666</c:v>
                </c:pt>
                <c:pt idx="155">
                  <c:v>13</c:v>
                </c:pt>
                <c:pt idx="156">
                  <c:v>13.083333333333334</c:v>
                </c:pt>
                <c:pt idx="157">
                  <c:v>13.166666666666666</c:v>
                </c:pt>
                <c:pt idx="158">
                  <c:v>13.25</c:v>
                </c:pt>
                <c:pt idx="159">
                  <c:v>13.333333333333334</c:v>
                </c:pt>
                <c:pt idx="160">
                  <c:v>13.416666666666666</c:v>
                </c:pt>
                <c:pt idx="161">
                  <c:v>13.5</c:v>
                </c:pt>
                <c:pt idx="162">
                  <c:v>13.583333333333334</c:v>
                </c:pt>
                <c:pt idx="163">
                  <c:v>13.666666666666666</c:v>
                </c:pt>
                <c:pt idx="164">
                  <c:v>13.75</c:v>
                </c:pt>
                <c:pt idx="165">
                  <c:v>13.833333333333334</c:v>
                </c:pt>
                <c:pt idx="166">
                  <c:v>13.916666666666666</c:v>
                </c:pt>
                <c:pt idx="167">
                  <c:v>14</c:v>
                </c:pt>
                <c:pt idx="168">
                  <c:v>14.083333333333334</c:v>
                </c:pt>
                <c:pt idx="169">
                  <c:v>14.166666666666666</c:v>
                </c:pt>
                <c:pt idx="170">
                  <c:v>14.25</c:v>
                </c:pt>
                <c:pt idx="171">
                  <c:v>14.333333333333334</c:v>
                </c:pt>
                <c:pt idx="172">
                  <c:v>14.416666666666666</c:v>
                </c:pt>
                <c:pt idx="173">
                  <c:v>14.5</c:v>
                </c:pt>
                <c:pt idx="174">
                  <c:v>14.583333333333334</c:v>
                </c:pt>
                <c:pt idx="175">
                  <c:v>14.666666666666666</c:v>
                </c:pt>
                <c:pt idx="176">
                  <c:v>14.75</c:v>
                </c:pt>
                <c:pt idx="177">
                  <c:v>14.833333333333334</c:v>
                </c:pt>
                <c:pt idx="178">
                  <c:v>14.916666666666666</c:v>
                </c:pt>
                <c:pt idx="179">
                  <c:v>15</c:v>
                </c:pt>
                <c:pt idx="180">
                  <c:v>15.083333333333334</c:v>
                </c:pt>
                <c:pt idx="181">
                  <c:v>15.166666666666666</c:v>
                </c:pt>
                <c:pt idx="182">
                  <c:v>15.25</c:v>
                </c:pt>
                <c:pt idx="183">
                  <c:v>15.333333333333334</c:v>
                </c:pt>
                <c:pt idx="184">
                  <c:v>15.416666666666666</c:v>
                </c:pt>
                <c:pt idx="185">
                  <c:v>15.5</c:v>
                </c:pt>
                <c:pt idx="186">
                  <c:v>15.583333333333334</c:v>
                </c:pt>
                <c:pt idx="187">
                  <c:v>15.666666666666666</c:v>
                </c:pt>
                <c:pt idx="188">
                  <c:v>15.75</c:v>
                </c:pt>
                <c:pt idx="189">
                  <c:v>15.833333333333334</c:v>
                </c:pt>
                <c:pt idx="190">
                  <c:v>15.916666666666666</c:v>
                </c:pt>
                <c:pt idx="191">
                  <c:v>16</c:v>
                </c:pt>
                <c:pt idx="192">
                  <c:v>16.083333333333332</c:v>
                </c:pt>
                <c:pt idx="193">
                  <c:v>16.166666666666668</c:v>
                </c:pt>
                <c:pt idx="194">
                  <c:v>16.25</c:v>
                </c:pt>
                <c:pt idx="195">
                  <c:v>16.333333333333332</c:v>
                </c:pt>
                <c:pt idx="196">
                  <c:v>16.416666666666668</c:v>
                </c:pt>
                <c:pt idx="197">
                  <c:v>16.5</c:v>
                </c:pt>
                <c:pt idx="198">
                  <c:v>16.583333333333332</c:v>
                </c:pt>
                <c:pt idx="199">
                  <c:v>16.666666666666668</c:v>
                </c:pt>
                <c:pt idx="200">
                  <c:v>16.75</c:v>
                </c:pt>
                <c:pt idx="201">
                  <c:v>16.833333333333332</c:v>
                </c:pt>
                <c:pt idx="202">
                  <c:v>16.916666666666668</c:v>
                </c:pt>
                <c:pt idx="203">
                  <c:v>17</c:v>
                </c:pt>
                <c:pt idx="204">
                  <c:v>17.083333333333332</c:v>
                </c:pt>
                <c:pt idx="205">
                  <c:v>17.166666666666668</c:v>
                </c:pt>
                <c:pt idx="206">
                  <c:v>17.25</c:v>
                </c:pt>
                <c:pt idx="207">
                  <c:v>17.333333333333332</c:v>
                </c:pt>
                <c:pt idx="208">
                  <c:v>17.416666666666668</c:v>
                </c:pt>
                <c:pt idx="209">
                  <c:v>17.5</c:v>
                </c:pt>
                <c:pt idx="210">
                  <c:v>17.583333333333332</c:v>
                </c:pt>
                <c:pt idx="211">
                  <c:v>17.666666666666668</c:v>
                </c:pt>
                <c:pt idx="212">
                  <c:v>17.75</c:v>
                </c:pt>
                <c:pt idx="213">
                  <c:v>17.833333333333332</c:v>
                </c:pt>
                <c:pt idx="214">
                  <c:v>17.916666666666668</c:v>
                </c:pt>
                <c:pt idx="215">
                  <c:v>18</c:v>
                </c:pt>
                <c:pt idx="216">
                  <c:v>18.083333333333332</c:v>
                </c:pt>
                <c:pt idx="217">
                  <c:v>18.166666666666668</c:v>
                </c:pt>
                <c:pt idx="218">
                  <c:v>18.25</c:v>
                </c:pt>
                <c:pt idx="219">
                  <c:v>18.333333333333332</c:v>
                </c:pt>
                <c:pt idx="220">
                  <c:v>18.416666666666668</c:v>
                </c:pt>
                <c:pt idx="221">
                  <c:v>18.5</c:v>
                </c:pt>
                <c:pt idx="222">
                  <c:v>18.583333333333332</c:v>
                </c:pt>
                <c:pt idx="223">
                  <c:v>18.666666666666668</c:v>
                </c:pt>
                <c:pt idx="224">
                  <c:v>18.75</c:v>
                </c:pt>
                <c:pt idx="225">
                  <c:v>18.833333333333332</c:v>
                </c:pt>
                <c:pt idx="226">
                  <c:v>18.916666666666668</c:v>
                </c:pt>
                <c:pt idx="227">
                  <c:v>19</c:v>
                </c:pt>
                <c:pt idx="228">
                  <c:v>19.083333333333332</c:v>
                </c:pt>
                <c:pt idx="229">
                  <c:v>19.166666666666668</c:v>
                </c:pt>
                <c:pt idx="230">
                  <c:v>19.25</c:v>
                </c:pt>
                <c:pt idx="231">
                  <c:v>19.333333333333332</c:v>
                </c:pt>
                <c:pt idx="232">
                  <c:v>19.416666666666668</c:v>
                </c:pt>
                <c:pt idx="233">
                  <c:v>19.5</c:v>
                </c:pt>
                <c:pt idx="234">
                  <c:v>19.583333333333332</c:v>
                </c:pt>
                <c:pt idx="235">
                  <c:v>19.666666666666668</c:v>
                </c:pt>
                <c:pt idx="236">
                  <c:v>19.75</c:v>
                </c:pt>
                <c:pt idx="237">
                  <c:v>19.833333333333332</c:v>
                </c:pt>
                <c:pt idx="238">
                  <c:v>19.916666666666668</c:v>
                </c:pt>
                <c:pt idx="239">
                  <c:v>20</c:v>
                </c:pt>
                <c:pt idx="240">
                  <c:v>20.083333333333332</c:v>
                </c:pt>
                <c:pt idx="241">
                  <c:v>20.166666666666668</c:v>
                </c:pt>
                <c:pt idx="242">
                  <c:v>20.25</c:v>
                </c:pt>
                <c:pt idx="243">
                  <c:v>20.333333333333332</c:v>
                </c:pt>
                <c:pt idx="244">
                  <c:v>20.416666666666668</c:v>
                </c:pt>
                <c:pt idx="245">
                  <c:v>20.5</c:v>
                </c:pt>
                <c:pt idx="246">
                  <c:v>20.583333333333332</c:v>
                </c:pt>
                <c:pt idx="247">
                  <c:v>20.666666666666668</c:v>
                </c:pt>
                <c:pt idx="248">
                  <c:v>20.75</c:v>
                </c:pt>
                <c:pt idx="249">
                  <c:v>20.833333333333332</c:v>
                </c:pt>
                <c:pt idx="250">
                  <c:v>20.916666666666668</c:v>
                </c:pt>
                <c:pt idx="251">
                  <c:v>21</c:v>
                </c:pt>
                <c:pt idx="252">
                  <c:v>21.083333333333332</c:v>
                </c:pt>
                <c:pt idx="253">
                  <c:v>21.166666666666668</c:v>
                </c:pt>
                <c:pt idx="254">
                  <c:v>21.25</c:v>
                </c:pt>
                <c:pt idx="255">
                  <c:v>21.333333333333332</c:v>
                </c:pt>
                <c:pt idx="256">
                  <c:v>21.416666666666668</c:v>
                </c:pt>
                <c:pt idx="257">
                  <c:v>21.5</c:v>
                </c:pt>
                <c:pt idx="258">
                  <c:v>21.583333333333332</c:v>
                </c:pt>
                <c:pt idx="259">
                  <c:v>21.666666666666668</c:v>
                </c:pt>
                <c:pt idx="260">
                  <c:v>21.75</c:v>
                </c:pt>
                <c:pt idx="261">
                  <c:v>21.833333333333332</c:v>
                </c:pt>
                <c:pt idx="262">
                  <c:v>21.916666666666668</c:v>
                </c:pt>
                <c:pt idx="263">
                  <c:v>22</c:v>
                </c:pt>
                <c:pt idx="264">
                  <c:v>22.083333333333332</c:v>
                </c:pt>
                <c:pt idx="265">
                  <c:v>22.166666666666668</c:v>
                </c:pt>
                <c:pt idx="266">
                  <c:v>22.25</c:v>
                </c:pt>
                <c:pt idx="267">
                  <c:v>22.333333333333332</c:v>
                </c:pt>
                <c:pt idx="268">
                  <c:v>22.416666666666668</c:v>
                </c:pt>
                <c:pt idx="269">
                  <c:v>22.5</c:v>
                </c:pt>
                <c:pt idx="270">
                  <c:v>22.583333333333332</c:v>
                </c:pt>
                <c:pt idx="271">
                  <c:v>22.666666666666668</c:v>
                </c:pt>
                <c:pt idx="272">
                  <c:v>22.75</c:v>
                </c:pt>
                <c:pt idx="273">
                  <c:v>22.833333333333332</c:v>
                </c:pt>
                <c:pt idx="274">
                  <c:v>22.916666666666668</c:v>
                </c:pt>
                <c:pt idx="275">
                  <c:v>23</c:v>
                </c:pt>
                <c:pt idx="276">
                  <c:v>23.083333333333332</c:v>
                </c:pt>
                <c:pt idx="277">
                  <c:v>23.166666666666668</c:v>
                </c:pt>
                <c:pt idx="278">
                  <c:v>23.25</c:v>
                </c:pt>
                <c:pt idx="279">
                  <c:v>23.333333333333332</c:v>
                </c:pt>
                <c:pt idx="280">
                  <c:v>23.416666666666668</c:v>
                </c:pt>
                <c:pt idx="281">
                  <c:v>23.5</c:v>
                </c:pt>
                <c:pt idx="282">
                  <c:v>23.583333333333332</c:v>
                </c:pt>
                <c:pt idx="283">
                  <c:v>23.666666666666668</c:v>
                </c:pt>
                <c:pt idx="284">
                  <c:v>23.75</c:v>
                </c:pt>
                <c:pt idx="285">
                  <c:v>23.833333333333332</c:v>
                </c:pt>
                <c:pt idx="286">
                  <c:v>23.916666666666668</c:v>
                </c:pt>
                <c:pt idx="287">
                  <c:v>24</c:v>
                </c:pt>
                <c:pt idx="288">
                  <c:v>24.083333333333332</c:v>
                </c:pt>
                <c:pt idx="289">
                  <c:v>24.166666666666668</c:v>
                </c:pt>
                <c:pt idx="290">
                  <c:v>24.25</c:v>
                </c:pt>
                <c:pt idx="291">
                  <c:v>24.333333333333332</c:v>
                </c:pt>
                <c:pt idx="292">
                  <c:v>24.416666666666668</c:v>
                </c:pt>
                <c:pt idx="293">
                  <c:v>24.5</c:v>
                </c:pt>
                <c:pt idx="294">
                  <c:v>24.583333333333332</c:v>
                </c:pt>
                <c:pt idx="295">
                  <c:v>24.666666666666668</c:v>
                </c:pt>
                <c:pt idx="296">
                  <c:v>24.75</c:v>
                </c:pt>
                <c:pt idx="297">
                  <c:v>24.833333333333332</c:v>
                </c:pt>
                <c:pt idx="298">
                  <c:v>24.916666666666668</c:v>
                </c:pt>
                <c:pt idx="299">
                  <c:v>25</c:v>
                </c:pt>
                <c:pt idx="300">
                  <c:v>25.083333333333332</c:v>
                </c:pt>
                <c:pt idx="301">
                  <c:v>25.166666666666668</c:v>
                </c:pt>
                <c:pt idx="302">
                  <c:v>25.25</c:v>
                </c:pt>
                <c:pt idx="303">
                  <c:v>25.333333333333332</c:v>
                </c:pt>
                <c:pt idx="304">
                  <c:v>25.416666666666668</c:v>
                </c:pt>
                <c:pt idx="305">
                  <c:v>25.5</c:v>
                </c:pt>
                <c:pt idx="306">
                  <c:v>25.583333333333332</c:v>
                </c:pt>
                <c:pt idx="307">
                  <c:v>25.666666666666668</c:v>
                </c:pt>
                <c:pt idx="308">
                  <c:v>25.75</c:v>
                </c:pt>
                <c:pt idx="309">
                  <c:v>25.833333333333332</c:v>
                </c:pt>
                <c:pt idx="310">
                  <c:v>25.916666666666668</c:v>
                </c:pt>
                <c:pt idx="311">
                  <c:v>26</c:v>
                </c:pt>
                <c:pt idx="312">
                  <c:v>26.083333333333332</c:v>
                </c:pt>
                <c:pt idx="313">
                  <c:v>26.166666666666668</c:v>
                </c:pt>
                <c:pt idx="314">
                  <c:v>26.25</c:v>
                </c:pt>
                <c:pt idx="315">
                  <c:v>26.333333333333332</c:v>
                </c:pt>
                <c:pt idx="316">
                  <c:v>26.416666666666668</c:v>
                </c:pt>
                <c:pt idx="317">
                  <c:v>26.5</c:v>
                </c:pt>
                <c:pt idx="318">
                  <c:v>26.583333333333332</c:v>
                </c:pt>
                <c:pt idx="319">
                  <c:v>26.666666666666668</c:v>
                </c:pt>
                <c:pt idx="320">
                  <c:v>26.75</c:v>
                </c:pt>
                <c:pt idx="321">
                  <c:v>26.833333333333332</c:v>
                </c:pt>
                <c:pt idx="322">
                  <c:v>26.916666666666668</c:v>
                </c:pt>
                <c:pt idx="323">
                  <c:v>27</c:v>
                </c:pt>
                <c:pt idx="324">
                  <c:v>27.083333333333332</c:v>
                </c:pt>
                <c:pt idx="325">
                  <c:v>27.166666666666668</c:v>
                </c:pt>
                <c:pt idx="326">
                  <c:v>27.25</c:v>
                </c:pt>
                <c:pt idx="327">
                  <c:v>27.333333333333332</c:v>
                </c:pt>
                <c:pt idx="328">
                  <c:v>27.416666666666668</c:v>
                </c:pt>
                <c:pt idx="329">
                  <c:v>27.5</c:v>
                </c:pt>
                <c:pt idx="330">
                  <c:v>27.583333333333332</c:v>
                </c:pt>
                <c:pt idx="331">
                  <c:v>27.666666666666668</c:v>
                </c:pt>
                <c:pt idx="332">
                  <c:v>27.75</c:v>
                </c:pt>
                <c:pt idx="333">
                  <c:v>27.833333333333332</c:v>
                </c:pt>
                <c:pt idx="334">
                  <c:v>27.916666666666668</c:v>
                </c:pt>
                <c:pt idx="335">
                  <c:v>28</c:v>
                </c:pt>
                <c:pt idx="336">
                  <c:v>28.083333333333332</c:v>
                </c:pt>
                <c:pt idx="337">
                  <c:v>28.166666666666668</c:v>
                </c:pt>
                <c:pt idx="338">
                  <c:v>28.25</c:v>
                </c:pt>
                <c:pt idx="339">
                  <c:v>28.333333333333332</c:v>
                </c:pt>
                <c:pt idx="340">
                  <c:v>28.416666666666668</c:v>
                </c:pt>
                <c:pt idx="341">
                  <c:v>28.5</c:v>
                </c:pt>
                <c:pt idx="342">
                  <c:v>28.583333333333332</c:v>
                </c:pt>
                <c:pt idx="343">
                  <c:v>28.666666666666668</c:v>
                </c:pt>
                <c:pt idx="344">
                  <c:v>28.75</c:v>
                </c:pt>
                <c:pt idx="345">
                  <c:v>28.833333333333332</c:v>
                </c:pt>
                <c:pt idx="346">
                  <c:v>28.916666666666668</c:v>
                </c:pt>
                <c:pt idx="347">
                  <c:v>29</c:v>
                </c:pt>
                <c:pt idx="348">
                  <c:v>29.083333333333332</c:v>
                </c:pt>
                <c:pt idx="349">
                  <c:v>29.166666666666668</c:v>
                </c:pt>
                <c:pt idx="350">
                  <c:v>29.25</c:v>
                </c:pt>
                <c:pt idx="351">
                  <c:v>29.333333333333332</c:v>
                </c:pt>
                <c:pt idx="352">
                  <c:v>29.416666666666668</c:v>
                </c:pt>
                <c:pt idx="353">
                  <c:v>29.5</c:v>
                </c:pt>
                <c:pt idx="354">
                  <c:v>29.583333333333332</c:v>
                </c:pt>
                <c:pt idx="355">
                  <c:v>29.666666666666668</c:v>
                </c:pt>
                <c:pt idx="356">
                  <c:v>29.75</c:v>
                </c:pt>
                <c:pt idx="357">
                  <c:v>29.833333333333332</c:v>
                </c:pt>
                <c:pt idx="358">
                  <c:v>29.916666666666668</c:v>
                </c:pt>
                <c:pt idx="359">
                  <c:v>30</c:v>
                </c:pt>
                <c:pt idx="360">
                  <c:v>30.083333333333332</c:v>
                </c:pt>
                <c:pt idx="361">
                  <c:v>30.166666666666668</c:v>
                </c:pt>
                <c:pt idx="362">
                  <c:v>30.25</c:v>
                </c:pt>
                <c:pt idx="363">
                  <c:v>30.333333333333332</c:v>
                </c:pt>
                <c:pt idx="364">
                  <c:v>30.416666666666668</c:v>
                </c:pt>
                <c:pt idx="365">
                  <c:v>30.5</c:v>
                </c:pt>
                <c:pt idx="366">
                  <c:v>30.583333333333332</c:v>
                </c:pt>
                <c:pt idx="367">
                  <c:v>30.666666666666668</c:v>
                </c:pt>
                <c:pt idx="368">
                  <c:v>30.75</c:v>
                </c:pt>
                <c:pt idx="369">
                  <c:v>30.833333333333332</c:v>
                </c:pt>
                <c:pt idx="370">
                  <c:v>30.916666666666668</c:v>
                </c:pt>
                <c:pt idx="371">
                  <c:v>31</c:v>
                </c:pt>
                <c:pt idx="372">
                  <c:v>31.083333333333332</c:v>
                </c:pt>
                <c:pt idx="373">
                  <c:v>31.166666666666668</c:v>
                </c:pt>
                <c:pt idx="374">
                  <c:v>31.25</c:v>
                </c:pt>
                <c:pt idx="375">
                  <c:v>31.333333333333332</c:v>
                </c:pt>
                <c:pt idx="376">
                  <c:v>31.416666666666668</c:v>
                </c:pt>
                <c:pt idx="377">
                  <c:v>31.5</c:v>
                </c:pt>
                <c:pt idx="378">
                  <c:v>31.583333333333332</c:v>
                </c:pt>
                <c:pt idx="379">
                  <c:v>31.666666666666668</c:v>
                </c:pt>
                <c:pt idx="380">
                  <c:v>31.75</c:v>
                </c:pt>
                <c:pt idx="381">
                  <c:v>31.833333333333332</c:v>
                </c:pt>
                <c:pt idx="382">
                  <c:v>31.916666666666668</c:v>
                </c:pt>
                <c:pt idx="383">
                  <c:v>32</c:v>
                </c:pt>
                <c:pt idx="384">
                  <c:v>32.083333333333336</c:v>
                </c:pt>
                <c:pt idx="385">
                  <c:v>32.166666666666664</c:v>
                </c:pt>
                <c:pt idx="386">
                  <c:v>32.25</c:v>
                </c:pt>
                <c:pt idx="387">
                  <c:v>32.333333333333336</c:v>
                </c:pt>
                <c:pt idx="388">
                  <c:v>32.416666666666664</c:v>
                </c:pt>
                <c:pt idx="389">
                  <c:v>32.5</c:v>
                </c:pt>
                <c:pt idx="390">
                  <c:v>32.583333333333336</c:v>
                </c:pt>
                <c:pt idx="391">
                  <c:v>32.666666666666664</c:v>
                </c:pt>
                <c:pt idx="392">
                  <c:v>32.75</c:v>
                </c:pt>
                <c:pt idx="393">
                  <c:v>32.833333333333336</c:v>
                </c:pt>
                <c:pt idx="394">
                  <c:v>32.916666666666664</c:v>
                </c:pt>
                <c:pt idx="395">
                  <c:v>33</c:v>
                </c:pt>
                <c:pt idx="396">
                  <c:v>33.083333333333336</c:v>
                </c:pt>
                <c:pt idx="397">
                  <c:v>33.166666666666664</c:v>
                </c:pt>
                <c:pt idx="398">
                  <c:v>33.25</c:v>
                </c:pt>
                <c:pt idx="399">
                  <c:v>33.333333333333336</c:v>
                </c:pt>
                <c:pt idx="400">
                  <c:v>33.416666666666664</c:v>
                </c:pt>
                <c:pt idx="401">
                  <c:v>33.5</c:v>
                </c:pt>
                <c:pt idx="402">
                  <c:v>33.583333333333336</c:v>
                </c:pt>
                <c:pt idx="403">
                  <c:v>33.666666666666664</c:v>
                </c:pt>
                <c:pt idx="404">
                  <c:v>33.75</c:v>
                </c:pt>
                <c:pt idx="405">
                  <c:v>33.833333333333336</c:v>
                </c:pt>
                <c:pt idx="406">
                  <c:v>33.916666666666664</c:v>
                </c:pt>
                <c:pt idx="407">
                  <c:v>34</c:v>
                </c:pt>
                <c:pt idx="408">
                  <c:v>34.083333333333336</c:v>
                </c:pt>
                <c:pt idx="409">
                  <c:v>34.166666666666664</c:v>
                </c:pt>
                <c:pt idx="410">
                  <c:v>34.25</c:v>
                </c:pt>
                <c:pt idx="411">
                  <c:v>34.333333333333336</c:v>
                </c:pt>
                <c:pt idx="412">
                  <c:v>34.416666666666664</c:v>
                </c:pt>
                <c:pt idx="413">
                  <c:v>34.5</c:v>
                </c:pt>
                <c:pt idx="414">
                  <c:v>34.583333333333336</c:v>
                </c:pt>
                <c:pt idx="415">
                  <c:v>34.666666666666664</c:v>
                </c:pt>
                <c:pt idx="416">
                  <c:v>34.75</c:v>
                </c:pt>
                <c:pt idx="417">
                  <c:v>34.833333333333336</c:v>
                </c:pt>
                <c:pt idx="418">
                  <c:v>34.916666666666664</c:v>
                </c:pt>
                <c:pt idx="419">
                  <c:v>35</c:v>
                </c:pt>
                <c:pt idx="420">
                  <c:v>35.083333333333336</c:v>
                </c:pt>
                <c:pt idx="421">
                  <c:v>35.166666666666664</c:v>
                </c:pt>
                <c:pt idx="422">
                  <c:v>35.25</c:v>
                </c:pt>
                <c:pt idx="423">
                  <c:v>35.333333333333336</c:v>
                </c:pt>
                <c:pt idx="424">
                  <c:v>35.416666666666664</c:v>
                </c:pt>
                <c:pt idx="425">
                  <c:v>35.5</c:v>
                </c:pt>
                <c:pt idx="426">
                  <c:v>35.583333333333336</c:v>
                </c:pt>
                <c:pt idx="427">
                  <c:v>35.666666666666664</c:v>
                </c:pt>
                <c:pt idx="428">
                  <c:v>35.75</c:v>
                </c:pt>
                <c:pt idx="429">
                  <c:v>35.833333333333336</c:v>
                </c:pt>
                <c:pt idx="430">
                  <c:v>35.916666666666664</c:v>
                </c:pt>
                <c:pt idx="431">
                  <c:v>36</c:v>
                </c:pt>
                <c:pt idx="432">
                  <c:v>36.083333333333336</c:v>
                </c:pt>
                <c:pt idx="433">
                  <c:v>36.166666666666664</c:v>
                </c:pt>
                <c:pt idx="434">
                  <c:v>36.25</c:v>
                </c:pt>
                <c:pt idx="435">
                  <c:v>36.333333333333336</c:v>
                </c:pt>
                <c:pt idx="436">
                  <c:v>36.416666666666664</c:v>
                </c:pt>
                <c:pt idx="437">
                  <c:v>36.5</c:v>
                </c:pt>
                <c:pt idx="438">
                  <c:v>36.583333333333336</c:v>
                </c:pt>
                <c:pt idx="439">
                  <c:v>36.666666666666664</c:v>
                </c:pt>
                <c:pt idx="440">
                  <c:v>36.75</c:v>
                </c:pt>
                <c:pt idx="441">
                  <c:v>36.833333333333336</c:v>
                </c:pt>
                <c:pt idx="442">
                  <c:v>36.916666666666664</c:v>
                </c:pt>
                <c:pt idx="443">
                  <c:v>37</c:v>
                </c:pt>
                <c:pt idx="444">
                  <c:v>37.083333333333336</c:v>
                </c:pt>
                <c:pt idx="445">
                  <c:v>37.166666666666664</c:v>
                </c:pt>
                <c:pt idx="446">
                  <c:v>37.25</c:v>
                </c:pt>
                <c:pt idx="447">
                  <c:v>37.333333333333336</c:v>
                </c:pt>
                <c:pt idx="448">
                  <c:v>37.416666666666664</c:v>
                </c:pt>
                <c:pt idx="449">
                  <c:v>37.5</c:v>
                </c:pt>
                <c:pt idx="450">
                  <c:v>37.583333333333336</c:v>
                </c:pt>
                <c:pt idx="451">
                  <c:v>37.666666666666664</c:v>
                </c:pt>
                <c:pt idx="452">
                  <c:v>37.75</c:v>
                </c:pt>
                <c:pt idx="453">
                  <c:v>37.833333333333336</c:v>
                </c:pt>
                <c:pt idx="454">
                  <c:v>37.916666666666664</c:v>
                </c:pt>
                <c:pt idx="455">
                  <c:v>38</c:v>
                </c:pt>
                <c:pt idx="456">
                  <c:v>38.083333333333336</c:v>
                </c:pt>
                <c:pt idx="457">
                  <c:v>38.166666666666664</c:v>
                </c:pt>
                <c:pt idx="458">
                  <c:v>38.25</c:v>
                </c:pt>
                <c:pt idx="459">
                  <c:v>38.333333333333336</c:v>
                </c:pt>
                <c:pt idx="460">
                  <c:v>38.416666666666664</c:v>
                </c:pt>
                <c:pt idx="461">
                  <c:v>38.5</c:v>
                </c:pt>
                <c:pt idx="462">
                  <c:v>38.583333333333336</c:v>
                </c:pt>
                <c:pt idx="463">
                  <c:v>38.666666666666664</c:v>
                </c:pt>
                <c:pt idx="464">
                  <c:v>38.75</c:v>
                </c:pt>
                <c:pt idx="465">
                  <c:v>38.833333333333336</c:v>
                </c:pt>
                <c:pt idx="466">
                  <c:v>38.916666666666664</c:v>
                </c:pt>
                <c:pt idx="467">
                  <c:v>39</c:v>
                </c:pt>
                <c:pt idx="468">
                  <c:v>39.083333333333336</c:v>
                </c:pt>
                <c:pt idx="469">
                  <c:v>39.166666666666664</c:v>
                </c:pt>
                <c:pt idx="470">
                  <c:v>39.25</c:v>
                </c:pt>
                <c:pt idx="471">
                  <c:v>39.333333333333336</c:v>
                </c:pt>
                <c:pt idx="472">
                  <c:v>39.416666666666664</c:v>
                </c:pt>
                <c:pt idx="473">
                  <c:v>39.5</c:v>
                </c:pt>
                <c:pt idx="474">
                  <c:v>39.583333333333336</c:v>
                </c:pt>
                <c:pt idx="475">
                  <c:v>39.666666666666664</c:v>
                </c:pt>
                <c:pt idx="476">
                  <c:v>39.75</c:v>
                </c:pt>
                <c:pt idx="477">
                  <c:v>39.833333333333336</c:v>
                </c:pt>
                <c:pt idx="478">
                  <c:v>39.916666666666664</c:v>
                </c:pt>
                <c:pt idx="479">
                  <c:v>40</c:v>
                </c:pt>
              </c:numCache>
            </c:numRef>
          </c:xVal>
          <c:yVal>
            <c:numRef>
              <c:f>'Figures B1-B3'!$E$12:$RP$12</c:f>
              <c:numCache>
                <c:formatCode>#,##0.0</c:formatCode>
                <c:ptCount val="480"/>
                <c:pt idx="0">
                  <c:v>8.5544570688243271E-6</c:v>
                </c:pt>
                <c:pt idx="1">
                  <c:v>6.8008465527976102E-5</c:v>
                </c:pt>
                <c:pt idx="2">
                  <c:v>2.2809679712868013E-4</c:v>
                </c:pt>
                <c:pt idx="3">
                  <c:v>5.3730357085554029E-4</c:v>
                </c:pt>
                <c:pt idx="4">
                  <c:v>1.0428839694930018E-3</c:v>
                </c:pt>
                <c:pt idx="5">
                  <c:v>1.7908856308893263E-3</c:v>
                </c:pt>
                <c:pt idx="6">
                  <c:v>2.8261697184418129E-3</c:v>
                </c:pt>
                <c:pt idx="7">
                  <c:v>4.192431675266812E-3</c:v>
                </c:pt>
                <c:pt idx="8">
                  <c:v>5.9322216664580707E-3</c:v>
                </c:pt>
                <c:pt idx="9">
                  <c:v>8.0869647137792496E-3</c:v>
                </c:pt>
                <c:pt idx="10">
                  <c:v>1.0696980527076586E-2</c:v>
                </c:pt>
                <c:pt idx="11">
                  <c:v>1.3801503036642727E-2</c:v>
                </c:pt>
                <c:pt idx="12">
                  <c:v>1.7438699630704126E-2</c:v>
                </c:pt>
                <c:pt idx="13">
                  <c:v>2.1645690102150235E-2</c:v>
                </c:pt>
                <c:pt idx="14">
                  <c:v>2.6458565308565586E-2</c:v>
                </c:pt>
                <c:pt idx="15">
                  <c:v>3.1912405549575487E-2</c:v>
                </c:pt>
                <c:pt idx="16">
                  <c:v>3.8041298665456802E-2</c:v>
                </c:pt>
                <c:pt idx="17">
                  <c:v>4.4878357860917865E-2</c:v>
                </c:pt>
                <c:pt idx="18">
                  <c:v>5.2455739257894866E-2</c:v>
                </c:pt>
                <c:pt idx="19">
                  <c:v>6.080465918116422E-2</c:v>
                </c:pt>
                <c:pt idx="20">
                  <c:v>6.9955411180516527E-2</c:v>
                </c:pt>
                <c:pt idx="21">
                  <c:v>7.9937382793190237E-2</c:v>
                </c:pt>
                <c:pt idx="22">
                  <c:v>9.0779072050210241E-2</c:v>
                </c:pt>
                <c:pt idx="23">
                  <c:v>0.10250810373022921</c:v>
                </c:pt>
                <c:pt idx="24">
                  <c:v>0.1151512453644276</c:v>
                </c:pt>
                <c:pt idx="25">
                  <c:v>0.12873442299596394</c:v>
                </c:pt>
                <c:pt idx="26">
                  <c:v>0.14328273669744057</c:v>
                </c:pt>
                <c:pt idx="27">
                  <c:v>0.15882047584978901</c:v>
                </c:pt>
                <c:pt idx="28">
                  <c:v>0.17537113418593711</c:v>
                </c:pt>
                <c:pt idx="29">
                  <c:v>0.19295742460257786</c:v>
                </c:pt>
                <c:pt idx="30">
                  <c:v>0.21160129374331518</c:v>
                </c:pt>
                <c:pt idx="31">
                  <c:v>0.23132393635640697</c:v>
                </c:pt>
                <c:pt idx="32">
                  <c:v>0.25214580943030535</c:v>
                </c:pt>
                <c:pt idx="33">
                  <c:v>0.27408664611012157</c:v>
                </c:pt>
                <c:pt idx="34">
                  <c:v>0.29716546939812627</c:v>
                </c:pt>
                <c:pt idx="35">
                  <c:v>0.32140060564134304</c:v>
                </c:pt>
                <c:pt idx="36">
                  <c:v>0.34680969780924586</c:v>
                </c:pt>
                <c:pt idx="37">
                  <c:v>0.37340971856454569</c:v>
                </c:pt>
                <c:pt idx="38">
                  <c:v>0.40121698312999765</c:v>
                </c:pt>
                <c:pt idx="39">
                  <c:v>0.43024716195412716</c:v>
                </c:pt>
                <c:pt idx="40">
                  <c:v>0.46051529317873102</c:v>
                </c:pt>
                <c:pt idx="41">
                  <c:v>0.49203579491098115</c:v>
                </c:pt>
                <c:pt idx="42">
                  <c:v>0.52482247730289744</c:v>
                </c:pt>
                <c:pt idx="43">
                  <c:v>0.5588885544409441</c:v>
                </c:pt>
                <c:pt idx="44">
                  <c:v>0.59424665604846327</c:v>
                </c:pt>
                <c:pt idx="45">
                  <c:v>0.63090883900358596</c:v>
                </c:pt>
                <c:pt idx="46">
                  <c:v>0.66888659867529388</c:v>
                </c:pt>
                <c:pt idx="47">
                  <c:v>0.70819088008020181</c:v>
                </c:pt>
                <c:pt idx="48">
                  <c:v>0.74883208886263108</c:v>
                </c:pt>
                <c:pt idx="49">
                  <c:v>0.79082010210050457</c:v>
                </c:pt>
                <c:pt idx="50">
                  <c:v>0.83416427893956235</c:v>
                </c:pt>
                <c:pt idx="51">
                  <c:v>0.87887347105833891</c:v>
                </c:pt>
                <c:pt idx="52">
                  <c:v>0.92495603296635942</c:v>
                </c:pt>
                <c:pt idx="53">
                  <c:v>0.97241983213791106</c:v>
                </c:pt>
                <c:pt idx="54">
                  <c:v>1.0212722589837857</c:v>
                </c:pt>
                <c:pt idx="55">
                  <c:v>1.0715202366633054</c:v>
                </c:pt>
                <c:pt idx="56">
                  <c:v>1.1231702307389244</c:v>
                </c:pt>
                <c:pt idx="57">
                  <c:v>1.176228258675686</c:v>
                </c:pt>
                <c:pt idx="58">
                  <c:v>1.2306998991877718</c:v>
                </c:pt>
                <c:pt idx="59">
                  <c:v>1.2865903014343147</c:v>
                </c:pt>
                <c:pt idx="60">
                  <c:v>1.343904194066716</c:v>
                </c:pt>
                <c:pt idx="61">
                  <c:v>1.4026458941295432</c:v>
                </c:pt>
                <c:pt idx="62">
                  <c:v>1.4628193158171579</c:v>
                </c:pt>
                <c:pt idx="63">
                  <c:v>1.5244279790881745</c:v>
                </c:pt>
                <c:pt idx="64">
                  <c:v>1.587475018139777</c:v>
                </c:pt>
                <c:pt idx="65">
                  <c:v>1.6519631897439422</c:v>
                </c:pt>
                <c:pt idx="66">
                  <c:v>1.7178948814475761</c:v>
                </c:pt>
                <c:pt idx="67">
                  <c:v>1.7852721196385259</c:v>
                </c:pt>
                <c:pt idx="68">
                  <c:v>1.854096577479422</c:v>
                </c:pt>
                <c:pt idx="69">
                  <c:v>1.9243695827112854</c:v>
                </c:pt>
                <c:pt idx="70">
                  <c:v>1.9960921253287776</c:v>
                </c:pt>
                <c:pt idx="71">
                  <c:v>2.0692648651289542</c:v>
                </c:pt>
                <c:pt idx="72">
                  <c:v>2.1438881391354103</c:v>
                </c:pt>
                <c:pt idx="73">
                  <c:v>2.2199619688995957</c:v>
                </c:pt>
                <c:pt idx="74">
                  <c:v>2.2974860676810884</c:v>
                </c:pt>
                <c:pt idx="75">
                  <c:v>2.37645984750865</c:v>
                </c:pt>
                <c:pt idx="76">
                  <c:v>2.4568824261237392</c:v>
                </c:pt>
                <c:pt idx="77">
                  <c:v>2.5387526338082598</c:v>
                </c:pt>
                <c:pt idx="78">
                  <c:v>2.6220690200981962</c:v>
                </c:pt>
                <c:pt idx="79">
                  <c:v>2.7068298603848753</c:v>
                </c:pt>
                <c:pt idx="80">
                  <c:v>2.7930331624053983</c:v>
                </c:pt>
                <c:pt idx="81">
                  <c:v>2.8806766726240038</c:v>
                </c:pt>
                <c:pt idx="82">
                  <c:v>2.9697578825058577</c:v>
                </c:pt>
                <c:pt idx="83">
                  <c:v>3.0602740346849182</c:v>
                </c:pt>
                <c:pt idx="84">
                  <c:v>3.1522221290273933</c:v>
                </c:pt>
                <c:pt idx="85">
                  <c:v>3.245598928592405</c:v>
                </c:pt>
                <c:pt idx="86">
                  <c:v>3.3404009654912583</c:v>
                </c:pt>
                <c:pt idx="87">
                  <c:v>3.4366245466469594</c:v>
                </c:pt>
                <c:pt idx="88">
                  <c:v>3.5342657594553346</c:v>
                </c:pt>
                <c:pt idx="89">
                  <c:v>3.6333204773492791</c:v>
                </c:pt>
                <c:pt idx="90">
                  <c:v>3.7337843652675535</c:v>
                </c:pt>
                <c:pt idx="91">
                  <c:v>3.8356528850295617</c:v>
                </c:pt>
                <c:pt idx="92">
                  <c:v>3.9389213006174426</c:v>
                </c:pt>
                <c:pt idx="93">
                  <c:v>4.0435846833669586</c:v>
                </c:pt>
                <c:pt idx="94">
                  <c:v>4.149637917068473</c:v>
                </c:pt>
                <c:pt idx="95">
                  <c:v>4.2570757029793187</c:v>
                </c:pt>
                <c:pt idx="96">
                  <c:v>4.3658925647490125</c:v>
                </c:pt>
                <c:pt idx="97">
                  <c:v>4.4760828532584638</c:v>
                </c:pt>
                <c:pt idx="98">
                  <c:v>4.5876407513745976</c:v>
                </c:pt>
                <c:pt idx="99">
                  <c:v>4.7005602786215333</c:v>
                </c:pt>
                <c:pt idx="100">
                  <c:v>4.8148352957696918</c:v>
                </c:pt>
                <c:pt idx="101">
                  <c:v>4.9304595093439723</c:v>
                </c:pt>
                <c:pt idx="102">
                  <c:v>5.0474264760522605</c:v>
                </c:pt>
                <c:pt idx="103">
                  <c:v>5.1657296071354564</c:v>
                </c:pt>
                <c:pt idx="104">
                  <c:v>5.2853621726401947</c:v>
                </c:pt>
                <c:pt idx="105">
                  <c:v>5.4063173056154223</c:v>
                </c:pt>
                <c:pt idx="106">
                  <c:v>5.5285880062340107</c:v>
                </c:pt>
                <c:pt idx="107">
                  <c:v>5.6521671458405169</c:v>
                </c:pt>
                <c:pt idx="108">
                  <c:v>5.7770474709261794</c:v>
                </c:pt>
                <c:pt idx="109">
                  <c:v>5.9032216070323038</c:v>
                </c:pt>
                <c:pt idx="110">
                  <c:v>6.0306820625831072</c:v>
                </c:pt>
                <c:pt idx="111">
                  <c:v>6.1594212326490734</c:v>
                </c:pt>
                <c:pt idx="112">
                  <c:v>6.2894314026418838</c:v>
                </c:pt>
                <c:pt idx="113">
                  <c:v>6.4207047519420053</c:v>
                </c:pt>
                <c:pt idx="114">
                  <c:v>6.5532333574598631</c:v>
                </c:pt>
                <c:pt idx="115">
                  <c:v>6.6870091971317445</c:v>
                </c:pt>
                <c:pt idx="116">
                  <c:v>6.8220241533513359</c:v>
                </c:pt>
                <c:pt idx="117">
                  <c:v>6.9582700163378606</c:v>
                </c:pt>
                <c:pt idx="118">
                  <c:v>7.0957384874419063</c:v>
                </c:pt>
                <c:pt idx="119">
                  <c:v>7.2344211823897746</c:v>
                </c:pt>
                <c:pt idx="120">
                  <c:v>7.3743096344673678</c:v>
                </c:pt>
                <c:pt idx="121">
                  <c:v>7.5153952976444769</c:v>
                </c:pt>
                <c:pt idx="122">
                  <c:v>7.6576695496405094</c:v>
                </c:pt>
                <c:pt idx="123">
                  <c:v>7.8011236949324054</c:v>
                </c:pt>
                <c:pt idx="124">
                  <c:v>7.9457489677057547</c:v>
                </c:pt>
                <c:pt idx="125">
                  <c:v>8.0915365347499435</c:v>
                </c:pt>
                <c:pt idx="126">
                  <c:v>8.2384774982981739</c:v>
                </c:pt>
                <c:pt idx="127">
                  <c:v>8.3865628988132812</c:v>
                </c:pt>
                <c:pt idx="128">
                  <c:v>8.535783717720145</c:v>
                </c:pt>
                <c:pt idx="129">
                  <c:v>8.6861308800854697</c:v>
                </c:pt>
                <c:pt idx="130">
                  <c:v>8.8375952572459102</c:v>
                </c:pt>
                <c:pt idx="131">
                  <c:v>8.9901676693851371</c:v>
                </c:pt>
                <c:pt idx="132">
                  <c:v>9.1438388880608628</c:v>
                </c:pt>
                <c:pt idx="133">
                  <c:v>9.2985996386824148</c:v>
                </c:pt>
                <c:pt idx="134">
                  <c:v>9.4544406029397763</c:v>
                </c:pt>
                <c:pt idx="135">
                  <c:v>9.6113524211846979</c:v>
                </c:pt>
                <c:pt idx="136">
                  <c:v>9.7693256947648877</c:v>
                </c:pt>
                <c:pt idx="137">
                  <c:v>9.9283509883116974</c:v>
                </c:pt>
                <c:pt idx="138">
                  <c:v>10.088418831982281</c:v>
                </c:pt>
                <c:pt idx="139">
                  <c:v>10.249519723656872</c:v>
                </c:pt>
                <c:pt idx="140">
                  <c:v>10.41164413109183</c:v>
                </c:pt>
                <c:pt idx="141">
                  <c:v>10.574782494029222</c:v>
                </c:pt>
                <c:pt idx="142">
                  <c:v>10.73892522626363</c:v>
                </c:pt>
                <c:pt idx="143">
                  <c:v>10.904062717666822</c:v>
                </c:pt>
                <c:pt idx="144">
                  <c:v>11.070185336170969</c:v>
                </c:pt>
                <c:pt idx="145">
                  <c:v>11.237283429711121</c:v>
                </c:pt>
                <c:pt idx="146">
                  <c:v>11.40534732812749</c:v>
                </c:pt>
                <c:pt idx="147">
                  <c:v>11.574367345028266</c:v>
                </c:pt>
                <c:pt idx="148">
                  <c:v>11.744333779613566</c:v>
                </c:pt>
                <c:pt idx="149">
                  <c:v>11.915236918461199</c:v>
                </c:pt>
                <c:pt idx="150">
                  <c:v>12.08706703727467</c:v>
                </c:pt>
                <c:pt idx="151">
                  <c:v>12.259814402594316</c:v>
                </c:pt>
                <c:pt idx="152">
                  <c:v>12.43346927347193</c:v>
                </c:pt>
                <c:pt idx="153">
                  <c:v>12.608021903109561</c:v>
                </c:pt>
                <c:pt idx="154">
                  <c:v>12.783462540463075</c:v>
                </c:pt>
                <c:pt idx="155">
                  <c:v>12.959781431811036</c:v>
                </c:pt>
                <c:pt idx="156">
                  <c:v>13.136968822289402</c:v>
                </c:pt>
                <c:pt idx="157">
                  <c:v>13.315014957392767</c:v>
                </c:pt>
                <c:pt idx="158">
                  <c:v>13.493910084442467</c:v>
                </c:pt>
                <c:pt idx="159">
                  <c:v>13.673644454022279</c:v>
                </c:pt>
                <c:pt idx="160">
                  <c:v>13.854208321382108</c:v>
                </c:pt>
                <c:pt idx="161">
                  <c:v>14.035591947810332</c:v>
                </c:pt>
                <c:pt idx="162">
                  <c:v>14.217785601975118</c:v>
                </c:pt>
                <c:pt idx="163">
                  <c:v>14.400779561235423</c:v>
                </c:pt>
                <c:pt idx="164">
                  <c:v>14.584564112922065</c:v>
                </c:pt>
                <c:pt idx="165">
                  <c:v>14.769129555589402</c:v>
                </c:pt>
                <c:pt idx="166">
                  <c:v>14.954466200238011</c:v>
                </c:pt>
                <c:pt idx="167">
                  <c:v>15.140564371508987</c:v>
                </c:pt>
                <c:pt idx="168">
                  <c:v>15.3274144088503</c:v>
                </c:pt>
                <c:pt idx="169">
                  <c:v>15.515006667655552</c:v>
                </c:pt>
                <c:pt idx="170">
                  <c:v>15.70333152037577</c:v>
                </c:pt>
                <c:pt idx="171">
                  <c:v>15.89237935760452</c:v>
                </c:pt>
                <c:pt idx="172">
                  <c:v>16.08214058913693</c:v>
                </c:pt>
                <c:pt idx="173">
                  <c:v>16.272605645003011</c:v>
                </c:pt>
                <c:pt idx="174">
                  <c:v>16.463764976475609</c:v>
                </c:pt>
                <c:pt idx="175">
                  <c:v>16.655609057053578</c:v>
                </c:pt>
                <c:pt idx="176">
                  <c:v>16.84812838342053</c:v>
                </c:pt>
                <c:pt idx="177">
                  <c:v>17.041313476379504</c:v>
                </c:pt>
                <c:pt idx="178">
                  <c:v>17.235154881763957</c:v>
                </c:pt>
                <c:pt idx="179">
                  <c:v>17.4296431713258</c:v>
                </c:pt>
                <c:pt idx="180">
                  <c:v>17.62476894360028</c:v>
                </c:pt>
                <c:pt idx="181">
                  <c:v>17.820522824748689</c:v>
                </c:pt>
                <c:pt idx="182">
                  <c:v>18.016895469378877</c:v>
                </c:pt>
                <c:pt idx="183">
                  <c:v>18.213877561344159</c:v>
                </c:pt>
                <c:pt idx="184">
                  <c:v>18.411459814520917</c:v>
                </c:pt>
                <c:pt idx="185">
                  <c:v>18.609632973565351</c:v>
                </c:pt>
                <c:pt idx="186">
                  <c:v>18.808387814649443</c:v>
                </c:pt>
                <c:pt idx="187">
                  <c:v>19.007715146176967</c:v>
                </c:pt>
                <c:pt idx="188">
                  <c:v>19.207605809479496</c:v>
                </c:pt>
                <c:pt idx="189">
                  <c:v>19.40805067949292</c:v>
                </c:pt>
                <c:pt idx="190">
                  <c:v>19.609040665414746</c:v>
                </c:pt>
                <c:pt idx="191">
                  <c:v>19.810566711342741</c:v>
                </c:pt>
                <c:pt idx="192">
                  <c:v>20.012619796894764</c:v>
                </c:pt>
                <c:pt idx="193">
                  <c:v>20.215190937810778</c:v>
                </c:pt>
                <c:pt idx="194">
                  <c:v>20.418271186536586</c:v>
                </c:pt>
                <c:pt idx="195">
                  <c:v>20.621851632790491</c:v>
                </c:pt>
                <c:pt idx="196">
                  <c:v>20.825923404112231</c:v>
                </c:pt>
                <c:pt idx="197">
                  <c:v>21.030477666395434</c:v>
                </c:pt>
                <c:pt idx="198">
                  <c:v>21.235505624403107</c:v>
                </c:pt>
                <c:pt idx="199">
                  <c:v>21.440998522266952</c:v>
                </c:pt>
                <c:pt idx="200">
                  <c:v>21.646947643970702</c:v>
                </c:pt>
                <c:pt idx="201">
                  <c:v>21.853344313817516</c:v>
                </c:pt>
                <c:pt idx="202">
                  <c:v>22.060179896882083</c:v>
                </c:pt>
                <c:pt idx="203">
                  <c:v>22.267445799447479</c:v>
                </c:pt>
                <c:pt idx="204">
                  <c:v>22.475133469427057</c:v>
                </c:pt>
                <c:pt idx="205">
                  <c:v>22.68323439677188</c:v>
                </c:pt>
                <c:pt idx="206">
                  <c:v>22.891740113863492</c:v>
                </c:pt>
                <c:pt idx="207">
                  <c:v>23.100642195892867</c:v>
                </c:pt>
                <c:pt idx="208">
                  <c:v>23.309932261225381</c:v>
                </c:pt>
                <c:pt idx="209">
                  <c:v>23.519601971752081</c:v>
                </c:pt>
                <c:pt idx="210">
                  <c:v>23.729643033227898</c:v>
                </c:pt>
                <c:pt idx="211">
                  <c:v>23.940047195596488</c:v>
                </c:pt>
                <c:pt idx="212">
                  <c:v>24.150806253302314</c:v>
                </c:pt>
                <c:pt idx="213">
                  <c:v>24.361912045590181</c:v>
                </c:pt>
                <c:pt idx="214">
                  <c:v>24.573356456792311</c:v>
                </c:pt>
                <c:pt idx="215">
                  <c:v>24.785131416603353</c:v>
                </c:pt>
                <c:pt idx="216">
                  <c:v>24.997228900343327</c:v>
                </c:pt>
                <c:pt idx="217">
                  <c:v>25.209640929209105</c:v>
                </c:pt>
                <c:pt idx="218">
                  <c:v>25.4223595705142</c:v>
                </c:pt>
                <c:pt idx="219">
                  <c:v>25.635376937917517</c:v>
                </c:pt>
                <c:pt idx="220">
                  <c:v>25.848685191640854</c:v>
                </c:pt>
                <c:pt idx="221">
                  <c:v>26.062276538675707</c:v>
                </c:pt>
                <c:pt idx="222">
                  <c:v>26.276143232979578</c:v>
                </c:pt>
                <c:pt idx="223">
                  <c:v>26.490277575661562</c:v>
                </c:pt>
                <c:pt idx="224">
                  <c:v>26.704671915157995</c:v>
                </c:pt>
                <c:pt idx="225">
                  <c:v>26.919318647398036</c:v>
                </c:pt>
                <c:pt idx="226">
                  <c:v>27.134210215959346</c:v>
                </c:pt>
                <c:pt idx="227">
                  <c:v>27.349339112214277</c:v>
                </c:pt>
                <c:pt idx="228">
                  <c:v>27.564697875466507</c:v>
                </c:pt>
                <c:pt idx="229">
                  <c:v>27.780279093078605</c:v>
                </c:pt>
                <c:pt idx="230">
                  <c:v>27.996075400590268</c:v>
                </c:pt>
                <c:pt idx="231">
                  <c:v>28.212079481827988</c:v>
                </c:pt>
                <c:pt idx="232">
                  <c:v>28.428284069005858</c:v>
                </c:pt>
                <c:pt idx="233">
                  <c:v>28.644681942817769</c:v>
                </c:pt>
                <c:pt idx="234">
                  <c:v>28.861265932521501</c:v>
                </c:pt>
                <c:pt idx="235">
                  <c:v>29.078028916014389</c:v>
                </c:pt>
                <c:pt idx="236">
                  <c:v>29.294963819901177</c:v>
                </c:pt>
                <c:pt idx="237">
                  <c:v>29.512063619553807</c:v>
                </c:pt>
                <c:pt idx="238">
                  <c:v>29.729321339163842</c:v>
                </c:pt>
                <c:pt idx="239">
                  <c:v>29.946730051786854</c:v>
                </c:pt>
                <c:pt idx="240">
                  <c:v>30.164282879380085</c:v>
                </c:pt>
                <c:pt idx="241">
                  <c:v>30.381972992832342</c:v>
                </c:pt>
                <c:pt idx="242">
                  <c:v>30.599793611987074</c:v>
                </c:pt>
                <c:pt idx="243">
                  <c:v>30.817738005658576</c:v>
                </c:pt>
                <c:pt idx="244">
                  <c:v>31.035799491641296</c:v>
                </c:pt>
                <c:pt idx="245">
                  <c:v>31.253971436712572</c:v>
                </c:pt>
                <c:pt idx="246">
                  <c:v>31.472247256628854</c:v>
                </c:pt>
                <c:pt idx="247">
                  <c:v>31.69062041611576</c:v>
                </c:pt>
                <c:pt idx="248">
                  <c:v>31.909084428851621</c:v>
                </c:pt>
                <c:pt idx="249">
                  <c:v>32.127632857445185</c:v>
                </c:pt>
                <c:pt idx="250">
                  <c:v>32.346259313407394</c:v>
                </c:pt>
                <c:pt idx="251">
                  <c:v>32.564957457117195</c:v>
                </c:pt>
                <c:pt idx="252">
                  <c:v>32.78372099778182</c:v>
                </c:pt>
                <c:pt idx="253">
                  <c:v>33.002543693391466</c:v>
                </c:pt>
                <c:pt idx="254">
                  <c:v>33.221419350668526</c:v>
                </c:pt>
                <c:pt idx="255">
                  <c:v>33.440341825011586</c:v>
                </c:pt>
                <c:pt idx="256">
                  <c:v>33.65930502043426</c:v>
                </c:pt>
                <c:pt idx="257">
                  <c:v>33.878302889498748</c:v>
                </c:pt>
                <c:pt idx="258">
                  <c:v>34.097329433244759</c:v>
                </c:pt>
                <c:pt idx="259">
                  <c:v>34.316378701113486</c:v>
                </c:pt>
                <c:pt idx="260">
                  <c:v>34.535444790866663</c:v>
                </c:pt>
                <c:pt idx="261">
                  <c:v>34.754521848501462</c:v>
                </c:pt>
                <c:pt idx="262">
                  <c:v>34.973604068160284</c:v>
                </c:pt>
                <c:pt idx="263">
                  <c:v>35.192685692036868</c:v>
                </c:pt>
                <c:pt idx="264">
                  <c:v>35.41176101027753</c:v>
                </c:pt>
                <c:pt idx="265">
                  <c:v>35.630824360878535</c:v>
                </c:pt>
                <c:pt idx="266">
                  <c:v>35.849870129579251</c:v>
                </c:pt>
                <c:pt idx="267">
                  <c:v>36.068892749751491</c:v>
                </c:pt>
                <c:pt idx="268">
                  <c:v>36.28788670228483</c:v>
                </c:pt>
                <c:pt idx="269">
                  <c:v>36.506846515468069</c:v>
                </c:pt>
                <c:pt idx="270">
                  <c:v>36.725766764867366</c:v>
                </c:pt>
                <c:pt idx="271">
                  <c:v>36.944642073200392</c:v>
                </c:pt>
                <c:pt idx="272">
                  <c:v>37.163467110207137</c:v>
                </c:pt>
                <c:pt idx="273">
                  <c:v>37.382236592517444</c:v>
                </c:pt>
                <c:pt idx="274">
                  <c:v>37.600945283514946</c:v>
                </c:pt>
                <c:pt idx="275">
                  <c:v>37.819587993197999</c:v>
                </c:pt>
                <c:pt idx="276">
                  <c:v>38.038159578037472</c:v>
                </c:pt>
                <c:pt idx="277">
                  <c:v>38.256654940831311</c:v>
                </c:pt>
                <c:pt idx="278">
                  <c:v>38.475069030556199</c:v>
                </c:pt>
                <c:pt idx="279">
                  <c:v>38.693396842216387</c:v>
                </c:pt>
                <c:pt idx="280">
                  <c:v>38.911633416689789</c:v>
                </c:pt>
                <c:pt idx="281">
                  <c:v>39.129773840570969</c:v>
                </c:pt>
                <c:pt idx="282">
                  <c:v>39.347813246011967</c:v>
                </c:pt>
                <c:pt idx="283">
                  <c:v>39.565746810560206</c:v>
                </c:pt>
                <c:pt idx="284">
                  <c:v>39.783569756993927</c:v>
                </c:pt>
                <c:pt idx="285">
                  <c:v>40.001277353155402</c:v>
                </c:pt>
                <c:pt idx="286">
                  <c:v>40.218864911781495</c:v>
                </c:pt>
                <c:pt idx="287">
                  <c:v>40.436327790332221</c:v>
                </c:pt>
                <c:pt idx="288">
                  <c:v>40.653661390816815</c:v>
                </c:pt>
                <c:pt idx="289">
                  <c:v>40.870861159617938</c:v>
                </c:pt>
                <c:pt idx="290">
                  <c:v>41.087922587313464</c:v>
                </c:pt>
                <c:pt idx="291">
                  <c:v>41.304841208496562</c:v>
                </c:pt>
                <c:pt idx="292">
                  <c:v>41.521612601593716</c:v>
                </c:pt>
                <c:pt idx="293">
                  <c:v>41.738232388680728</c:v>
                </c:pt>
                <c:pt idx="294">
                  <c:v>41.954696235297085</c:v>
                </c:pt>
                <c:pt idx="295">
                  <c:v>42.170999850258504</c:v>
                </c:pt>
                <c:pt idx="296">
                  <c:v>42.387138985467679</c:v>
                </c:pt>
                <c:pt idx="297">
                  <c:v>42.603109435723518</c:v>
                </c:pt>
                <c:pt idx="298">
                  <c:v>42.818907038528828</c:v>
                </c:pt>
                <c:pt idx="299">
                  <c:v>43.034527673896086</c:v>
                </c:pt>
                <c:pt idx="300">
                  <c:v>43.249967264152403</c:v>
                </c:pt>
                <c:pt idx="301">
                  <c:v>43.46522177374252</c:v>
                </c:pt>
                <c:pt idx="302">
                  <c:v>43.680287209030539</c:v>
                </c:pt>
                <c:pt idx="303">
                  <c:v>43.895159618100649</c:v>
                </c:pt>
                <c:pt idx="304">
                  <c:v>44.109835090556246</c:v>
                </c:pt>
                <c:pt idx="305">
                  <c:v>44.324309757317906</c:v>
                </c:pt>
                <c:pt idx="306">
                  <c:v>44.538579790420535</c:v>
                </c:pt>
                <c:pt idx="307">
                  <c:v>44.752641402808855</c:v>
                </c:pt>
                <c:pt idx="308">
                  <c:v>44.96649084813231</c:v>
                </c:pt>
                <c:pt idx="309">
                  <c:v>45.180124420538789</c:v>
                </c:pt>
                <c:pt idx="310">
                  <c:v>45.393538454467276</c:v>
                </c:pt>
                <c:pt idx="311">
                  <c:v>45.606729324439719</c:v>
                </c:pt>
                <c:pt idx="312">
                  <c:v>45.819693444852106</c:v>
                </c:pt>
                <c:pt idx="313">
                  <c:v>46.032427269764462</c:v>
                </c:pt>
                <c:pt idx="314">
                  <c:v>46.244927292690193</c:v>
                </c:pt>
                <c:pt idx="315">
                  <c:v>46.457190046384838</c:v>
                </c:pt>
                <c:pt idx="316">
                  <c:v>46.669212102633821</c:v>
                </c:pt>
                <c:pt idx="317">
                  <c:v>46.880990072039744</c:v>
                </c:pt>
                <c:pt idx="318">
                  <c:v>47.092520603809035</c:v>
                </c:pt>
                <c:pt idx="319">
                  <c:v>47.30380038553789</c:v>
                </c:pt>
                <c:pt idx="320">
                  <c:v>47.514826142997897</c:v>
                </c:pt>
                <c:pt idx="321">
                  <c:v>47.725594639920985</c:v>
                </c:pt>
                <c:pt idx="322">
                  <c:v>47.936102677783822</c:v>
                </c:pt>
                <c:pt idx="323">
                  <c:v>48.146347095592041</c:v>
                </c:pt>
                <c:pt idx="324">
                  <c:v>48.356324769663921</c:v>
                </c:pt>
                <c:pt idx="325">
                  <c:v>48.566032613413562</c:v>
                </c:pt>
                <c:pt idx="326">
                  <c:v>48.775467577134073</c:v>
                </c:pt>
                <c:pt idx="327">
                  <c:v>48.98462664778009</c:v>
                </c:pt>
                <c:pt idx="328">
                  <c:v>49.19350684875041</c:v>
                </c:pt>
                <c:pt idx="329">
                  <c:v>49.402105239669915</c:v>
                </c:pt>
                <c:pt idx="330">
                  <c:v>49.610418916171923</c:v>
                </c:pt>
                <c:pt idx="331">
                  <c:v>49.818445009679657</c:v>
                </c:pt>
                <c:pt idx="332">
                  <c:v>50.026180687188251</c:v>
                </c:pt>
                <c:pt idx="333">
                  <c:v>50.233623151046118</c:v>
                </c:pt>
                <c:pt idx="334">
                  <c:v>50.44076963873659</c:v>
                </c:pt>
                <c:pt idx="335">
                  <c:v>50.647617422659295</c:v>
                </c:pt>
                <c:pt idx="336">
                  <c:v>50.854163809911576</c:v>
                </c:pt>
                <c:pt idx="337">
                  <c:v>51.060406142069986</c:v>
                </c:pt>
                <c:pt idx="338">
                  <c:v>51.266341794971645</c:v>
                </c:pt>
                <c:pt idx="339">
                  <c:v>51.471968178495835</c:v>
                </c:pt>
                <c:pt idx="340">
                  <c:v>51.677282736345596</c:v>
                </c:pt>
                <c:pt idx="341">
                  <c:v>51.88228294582931</c:v>
                </c:pt>
                <c:pt idx="342">
                  <c:v>52.086966317642634</c:v>
                </c:pt>
                <c:pt idx="343">
                  <c:v>52.291330395650483</c:v>
                </c:pt>
                <c:pt idx="344">
                  <c:v>52.495372756668992</c:v>
                </c:pt>
                <c:pt idx="345">
                  <c:v>52.699091010248161</c:v>
                </c:pt>
                <c:pt idx="346">
                  <c:v>52.902482798454223</c:v>
                </c:pt>
                <c:pt idx="347">
                  <c:v>53.105545795652432</c:v>
                </c:pt>
                <c:pt idx="348">
                  <c:v>53.308277708290277</c:v>
                </c:pt>
                <c:pt idx="349">
                  <c:v>53.510676274680783</c:v>
                </c:pt>
                <c:pt idx="350">
                  <c:v>53.712739264786059</c:v>
                </c:pt>
                <c:pt idx="351">
                  <c:v>53.914464480001492</c:v>
                </c:pt>
                <c:pt idx="352">
                  <c:v>54.115849752939951</c:v>
                </c:pt>
                <c:pt idx="353">
                  <c:v>54.316892947216417</c:v>
                </c:pt>
                <c:pt idx="354">
                  <c:v>54.517591957233257</c:v>
                </c:pt>
                <c:pt idx="355">
                  <c:v>54.717944707965479</c:v>
                </c:pt>
                <c:pt idx="356">
                  <c:v>54.917949154746744</c:v>
                </c:pt>
                <c:pt idx="357">
                  <c:v>55.117603283055665</c:v>
                </c:pt>
                <c:pt idx="358">
                  <c:v>55.316905108302606</c:v>
                </c:pt>
                <c:pt idx="359">
                  <c:v>55.515852675616792</c:v>
                </c:pt>
                <c:pt idx="360">
                  <c:v>55.714444059634204</c:v>
                </c:pt>
                <c:pt idx="361">
                  <c:v>55.912677364285663</c:v>
                </c:pt>
                <c:pt idx="362">
                  <c:v>56.11055072258565</c:v>
                </c:pt>
                <c:pt idx="363">
                  <c:v>56.308062296421511</c:v>
                </c:pt>
                <c:pt idx="364">
                  <c:v>56.505210276343227</c:v>
                </c:pt>
                <c:pt idx="365">
                  <c:v>56.701992881353831</c:v>
                </c:pt>
                <c:pt idx="366">
                  <c:v>56.898408358700372</c:v>
                </c:pt>
                <c:pt idx="367">
                  <c:v>57.094454983665301</c:v>
                </c:pt>
                <c:pt idx="368">
                  <c:v>57.29013105935865</c:v>
                </c:pt>
                <c:pt idx="369">
                  <c:v>57.485434916510755</c:v>
                </c:pt>
                <c:pt idx="370">
                  <c:v>57.680364913265556</c:v>
                </c:pt>
                <c:pt idx="371">
                  <c:v>57.874919434974622</c:v>
                </c:pt>
                <c:pt idx="372">
                  <c:v>58.069096893991642</c:v>
                </c:pt>
                <c:pt idx="373">
                  <c:v>58.262895729467822</c:v>
                </c:pt>
                <c:pt idx="374">
                  <c:v>58.456314407147758</c:v>
                </c:pt>
                <c:pt idx="375">
                  <c:v>58.649351419166102</c:v>
                </c:pt>
                <c:pt idx="376">
                  <c:v>58.842005283844678</c:v>
                </c:pt>
                <c:pt idx="377">
                  <c:v>59.034274545490774</c:v>
                </c:pt>
                <c:pt idx="378">
                  <c:v>59.226157774195549</c:v>
                </c:pt>
                <c:pt idx="379">
                  <c:v>59.417653565633735</c:v>
                </c:pt>
                <c:pt idx="380">
                  <c:v>59.608760540863457</c:v>
                </c:pt>
                <c:pt idx="381">
                  <c:v>59.799477346127482</c:v>
                </c:pt>
                <c:pt idx="382">
                  <c:v>59.989802652654568</c:v>
                </c:pt>
                <c:pt idx="383">
                  <c:v>60.179735156461923</c:v>
                </c:pt>
                <c:pt idx="384">
                  <c:v>60.369273578158385</c:v>
                </c:pt>
                <c:pt idx="385">
                  <c:v>60.558416662748272</c:v>
                </c:pt>
                <c:pt idx="386">
                  <c:v>60.747163179436143</c:v>
                </c:pt>
                <c:pt idx="387">
                  <c:v>60.935511921432145</c:v>
                </c:pt>
                <c:pt idx="388">
                  <c:v>61.123461705758373</c:v>
                </c:pt>
                <c:pt idx="389">
                  <c:v>61.311011373055813</c:v>
                </c:pt>
                <c:pt idx="390">
                  <c:v>61.498159787392389</c:v>
                </c:pt>
                <c:pt idx="391">
                  <c:v>61.684905836071387</c:v>
                </c:pt>
                <c:pt idx="392">
                  <c:v>61.87124842944111</c:v>
                </c:pt>
                <c:pt idx="393">
                  <c:v>62.057186500705093</c:v>
                </c:pt>
                <c:pt idx="394">
                  <c:v>62.242719005733242</c:v>
                </c:pt>
                <c:pt idx="395">
                  <c:v>62.427844922873923</c:v>
                </c:pt>
                <c:pt idx="396">
                  <c:v>62.612563252766577</c:v>
                </c:pt>
                <c:pt idx="397">
                  <c:v>62.796873018155424</c:v>
                </c:pt>
                <c:pt idx="398">
                  <c:v>62.980773263704094</c:v>
                </c:pt>
                <c:pt idx="399">
                  <c:v>63.1642630558107</c:v>
                </c:pt>
                <c:pt idx="400">
                  <c:v>63.34734148242439</c:v>
                </c:pt>
                <c:pt idx="401">
                  <c:v>63.530007652862089</c:v>
                </c:pt>
                <c:pt idx="402">
                  <c:v>63.712260697626668</c:v>
                </c:pt>
                <c:pt idx="403">
                  <c:v>63.894099768225558</c:v>
                </c:pt>
                <c:pt idx="404">
                  <c:v>64.075524036990629</c:v>
                </c:pt>
                <c:pt idx="405">
                  <c:v>64.256532696898532</c:v>
                </c:pt>
                <c:pt idx="406">
                  <c:v>64.4371249613923</c:v>
                </c:pt>
                <c:pt idx="407">
                  <c:v>64.617300064203548</c:v>
                </c:pt>
                <c:pt idx="408">
                  <c:v>64.797057259175816</c:v>
                </c:pt>
                <c:pt idx="409">
                  <c:v>64.97639582008847</c:v>
                </c:pt>
                <c:pt idx="410">
                  <c:v>65.155315040481824</c:v>
                </c:pt>
                <c:pt idx="411">
                  <c:v>65.333814233483082</c:v>
                </c:pt>
                <c:pt idx="412">
                  <c:v>65.511892731632841</c:v>
                </c:pt>
                <c:pt idx="413">
                  <c:v>65.689549886713095</c:v>
                </c:pt>
                <c:pt idx="414">
                  <c:v>65.86678506957557</c:v>
                </c:pt>
                <c:pt idx="415">
                  <c:v>66.04359766997139</c:v>
                </c:pt>
                <c:pt idx="416">
                  <c:v>66.219987096381317</c:v>
                </c:pt>
                <c:pt idx="417">
                  <c:v>66.395952775847078</c:v>
                </c:pt>
                <c:pt idx="418">
                  <c:v>66.571494153803613</c:v>
                </c:pt>
                <c:pt idx="419">
                  <c:v>66.746610693912174</c:v>
                </c:pt>
                <c:pt idx="420">
                  <c:v>66.921301877894294</c:v>
                </c:pt>
                <c:pt idx="421">
                  <c:v>67.095567205366763</c:v>
                </c:pt>
                <c:pt idx="422">
                  <c:v>67.269406193677511</c:v>
                </c:pt>
                <c:pt idx="423">
                  <c:v>67.442818377742256</c:v>
                </c:pt>
                <c:pt idx="424">
                  <c:v>67.615803309882267</c:v>
                </c:pt>
                <c:pt idx="425">
                  <c:v>67.788360559662948</c:v>
                </c:pt>
                <c:pt idx="426">
                  <c:v>67.960489713733281</c:v>
                </c:pt>
                <c:pt idx="427">
                  <c:v>68.13219037566634</c:v>
                </c:pt>
                <c:pt idx="428">
                  <c:v>68.303462165800525</c:v>
                </c:pt>
                <c:pt idx="429">
                  <c:v>68.474304721081893</c:v>
                </c:pt>
                <c:pt idx="430">
                  <c:v>68.644717694907243</c:v>
                </c:pt>
                <c:pt idx="431">
                  <c:v>68.814700756968321</c:v>
                </c:pt>
                <c:pt idx="432">
                  <c:v>68.984253593096739</c:v>
                </c:pt>
                <c:pt idx="433">
                  <c:v>69.153375905109769</c:v>
                </c:pt>
                <c:pt idx="434">
                  <c:v>69.322067410657525</c:v>
                </c:pt>
                <c:pt idx="435">
                  <c:v>69.490327843070318</c:v>
                </c:pt>
                <c:pt idx="436">
                  <c:v>69.65815695120753</c:v>
                </c:pt>
                <c:pt idx="437">
                  <c:v>69.825554499307216</c:v>
                </c:pt>
                <c:pt idx="438">
                  <c:v>69.99252026683638</c:v>
                </c:pt>
                <c:pt idx="439">
                  <c:v>70.159054048342597</c:v>
                </c:pt>
                <c:pt idx="440">
                  <c:v>70.325155653306197</c:v>
                </c:pt>
                <c:pt idx="441">
                  <c:v>70.490824905993577</c:v>
                </c:pt>
                <c:pt idx="442">
                  <c:v>70.656061645311155</c:v>
                </c:pt>
                <c:pt idx="443">
                  <c:v>70.820865724660678</c:v>
                </c:pt>
                <c:pt idx="444">
                  <c:v>70.985237011794837</c:v>
                </c:pt>
                <c:pt idx="445">
                  <c:v>71.149175388674351</c:v>
                </c:pt>
                <c:pt idx="446">
                  <c:v>71.312680751325686</c:v>
                </c:pt>
                <c:pt idx="447">
                  <c:v>71.475753009699602</c:v>
                </c:pt>
                <c:pt idx="448">
                  <c:v>71.638392087530775</c:v>
                </c:pt>
                <c:pt idx="449">
                  <c:v>71.800597922198278</c:v>
                </c:pt>
                <c:pt idx="450">
                  <c:v>71.962370464586883</c:v>
                </c:pt>
                <c:pt idx="451">
                  <c:v>72.123709678949226</c:v>
                </c:pt>
                <c:pt idx="452">
                  <c:v>72.28461554276916</c:v>
                </c:pt>
                <c:pt idx="453">
                  <c:v>72.445088046625585</c:v>
                </c:pt>
                <c:pt idx="454">
                  <c:v>72.60512719405736</c:v>
                </c:pt>
                <c:pt idx="455">
                  <c:v>72.764733001429349</c:v>
                </c:pt>
                <c:pt idx="456">
                  <c:v>72.923905497798785</c:v>
                </c:pt>
                <c:pt idx="457">
                  <c:v>73.082644724783108</c:v>
                </c:pt>
                <c:pt idx="458">
                  <c:v>73.240950736428275</c:v>
                </c:pt>
                <c:pt idx="459">
                  <c:v>73.398823599078071</c:v>
                </c:pt>
                <c:pt idx="460">
                  <c:v>73.556263391244514</c:v>
                </c:pt>
                <c:pt idx="461">
                  <c:v>73.713270203478714</c:v>
                </c:pt>
                <c:pt idx="462">
                  <c:v>73.869844138242897</c:v>
                </c:pt>
                <c:pt idx="463">
                  <c:v>74.025985309783394</c:v>
                </c:pt>
                <c:pt idx="464">
                  <c:v>74.18169384400403</c:v>
                </c:pt>
                <c:pt idx="465">
                  <c:v>74.336969878340966</c:v>
                </c:pt>
                <c:pt idx="466">
                  <c:v>74.49181356163794</c:v>
                </c:pt>
                <c:pt idx="467">
                  <c:v>74.646225054022594</c:v>
                </c:pt>
                <c:pt idx="468">
                  <c:v>74.800204526783659</c:v>
                </c:pt>
                <c:pt idx="469">
                  <c:v>74.953752162248861</c:v>
                </c:pt>
                <c:pt idx="470">
                  <c:v>75.106868153663825</c:v>
                </c:pt>
                <c:pt idx="471">
                  <c:v>75.25955270507167</c:v>
                </c:pt>
                <c:pt idx="472">
                  <c:v>75.41180603119362</c:v>
                </c:pt>
                <c:pt idx="473">
                  <c:v>75.563628357310392</c:v>
                </c:pt>
                <c:pt idx="474">
                  <c:v>75.715019919144353</c:v>
                </c:pt>
                <c:pt idx="475">
                  <c:v>75.865980962742555</c:v>
                </c:pt>
                <c:pt idx="476">
                  <c:v>76.016511744360699</c:v>
                </c:pt>
                <c:pt idx="477">
                  <c:v>76.166612530347649</c:v>
                </c:pt>
                <c:pt idx="478">
                  <c:v>76.316283597031301</c:v>
                </c:pt>
                <c:pt idx="479">
                  <c:v>76.465525230604669</c:v>
                </c:pt>
              </c:numCache>
            </c:numRef>
          </c:yVal>
          <c:smooth val="0"/>
          <c:extLst>
            <c:ext xmlns:c16="http://schemas.microsoft.com/office/drawing/2014/chart" uri="{C3380CC4-5D6E-409C-BE32-E72D297353CC}">
              <c16:uniqueId val="{00000000-19AE-47C4-B655-56987C594259}"/>
            </c:ext>
          </c:extLst>
        </c:ser>
        <c:ser>
          <c:idx val="0"/>
          <c:order val="1"/>
          <c:tx>
            <c:strRef>
              <c:f>'Figures B1-B3'!$C$13</c:f>
              <c:strCache>
                <c:ptCount val="1"/>
                <c:pt idx="0">
                  <c:v>modified stock</c:v>
                </c:pt>
              </c:strCache>
            </c:strRef>
          </c:tx>
          <c:spPr>
            <a:ln w="19050" cap="rnd">
              <a:solidFill>
                <a:srgbClr val="2171B5"/>
              </a:solidFill>
              <a:prstDash val="solid"/>
              <a:round/>
            </a:ln>
            <a:effectLst/>
          </c:spPr>
          <c:marker>
            <c:symbol val="none"/>
          </c:marker>
          <c:xVal>
            <c:numRef>
              <c:f>'Figures B1-B3'!$E$7:$RP$7</c:f>
              <c:numCache>
                <c:formatCode>#,##0.00</c:formatCode>
                <c:ptCount val="480"/>
                <c:pt idx="0">
                  <c:v>8.3333333333333329E-2</c:v>
                </c:pt>
                <c:pt idx="1">
                  <c:v>0.16666666666666666</c:v>
                </c:pt>
                <c:pt idx="2">
                  <c:v>0.25</c:v>
                </c:pt>
                <c:pt idx="3">
                  <c:v>0.33333333333333331</c:v>
                </c:pt>
                <c:pt idx="4">
                  <c:v>0.41666666666666669</c:v>
                </c:pt>
                <c:pt idx="5">
                  <c:v>0.5</c:v>
                </c:pt>
                <c:pt idx="6">
                  <c:v>0.58333333333333337</c:v>
                </c:pt>
                <c:pt idx="7">
                  <c:v>0.66666666666666663</c:v>
                </c:pt>
                <c:pt idx="8">
                  <c:v>0.75</c:v>
                </c:pt>
                <c:pt idx="9">
                  <c:v>0.83333333333333337</c:v>
                </c:pt>
                <c:pt idx="10">
                  <c:v>0.91666666666666663</c:v>
                </c:pt>
                <c:pt idx="11">
                  <c:v>1</c:v>
                </c:pt>
                <c:pt idx="12">
                  <c:v>1.0833333333333333</c:v>
                </c:pt>
                <c:pt idx="13">
                  <c:v>1.1666666666666667</c:v>
                </c:pt>
                <c:pt idx="14">
                  <c:v>1.25</c:v>
                </c:pt>
                <c:pt idx="15">
                  <c:v>1.3333333333333333</c:v>
                </c:pt>
                <c:pt idx="16">
                  <c:v>1.4166666666666667</c:v>
                </c:pt>
                <c:pt idx="17">
                  <c:v>1.5</c:v>
                </c:pt>
                <c:pt idx="18">
                  <c:v>1.5833333333333333</c:v>
                </c:pt>
                <c:pt idx="19">
                  <c:v>1.6666666666666667</c:v>
                </c:pt>
                <c:pt idx="20">
                  <c:v>1.75</c:v>
                </c:pt>
                <c:pt idx="21">
                  <c:v>1.8333333333333333</c:v>
                </c:pt>
                <c:pt idx="22">
                  <c:v>1.9166666666666667</c:v>
                </c:pt>
                <c:pt idx="23">
                  <c:v>2</c:v>
                </c:pt>
                <c:pt idx="24">
                  <c:v>2.0833333333333335</c:v>
                </c:pt>
                <c:pt idx="25">
                  <c:v>2.1666666666666665</c:v>
                </c:pt>
                <c:pt idx="26">
                  <c:v>2.25</c:v>
                </c:pt>
                <c:pt idx="27">
                  <c:v>2.3333333333333335</c:v>
                </c:pt>
                <c:pt idx="28">
                  <c:v>2.4166666666666665</c:v>
                </c:pt>
                <c:pt idx="29">
                  <c:v>2.5</c:v>
                </c:pt>
                <c:pt idx="30">
                  <c:v>2.5833333333333335</c:v>
                </c:pt>
                <c:pt idx="31">
                  <c:v>2.6666666666666665</c:v>
                </c:pt>
                <c:pt idx="32">
                  <c:v>2.75</c:v>
                </c:pt>
                <c:pt idx="33">
                  <c:v>2.8333333333333335</c:v>
                </c:pt>
                <c:pt idx="34">
                  <c:v>2.9166666666666665</c:v>
                </c:pt>
                <c:pt idx="35">
                  <c:v>3</c:v>
                </c:pt>
                <c:pt idx="36">
                  <c:v>3.0833333333333335</c:v>
                </c:pt>
                <c:pt idx="37">
                  <c:v>3.1666666666666665</c:v>
                </c:pt>
                <c:pt idx="38">
                  <c:v>3.25</c:v>
                </c:pt>
                <c:pt idx="39">
                  <c:v>3.3333333333333335</c:v>
                </c:pt>
                <c:pt idx="40">
                  <c:v>3.4166666666666665</c:v>
                </c:pt>
                <c:pt idx="41">
                  <c:v>3.5</c:v>
                </c:pt>
                <c:pt idx="42">
                  <c:v>3.5833333333333335</c:v>
                </c:pt>
                <c:pt idx="43">
                  <c:v>3.6666666666666665</c:v>
                </c:pt>
                <c:pt idx="44">
                  <c:v>3.75</c:v>
                </c:pt>
                <c:pt idx="45">
                  <c:v>3.8333333333333335</c:v>
                </c:pt>
                <c:pt idx="46">
                  <c:v>3.9166666666666665</c:v>
                </c:pt>
                <c:pt idx="47">
                  <c:v>4</c:v>
                </c:pt>
                <c:pt idx="48">
                  <c:v>4.083333333333333</c:v>
                </c:pt>
                <c:pt idx="49">
                  <c:v>4.166666666666667</c:v>
                </c:pt>
                <c:pt idx="50">
                  <c:v>4.25</c:v>
                </c:pt>
                <c:pt idx="51">
                  <c:v>4.333333333333333</c:v>
                </c:pt>
                <c:pt idx="52">
                  <c:v>4.416666666666667</c:v>
                </c:pt>
                <c:pt idx="53">
                  <c:v>4.5</c:v>
                </c:pt>
                <c:pt idx="54">
                  <c:v>4.583333333333333</c:v>
                </c:pt>
                <c:pt idx="55">
                  <c:v>4.666666666666667</c:v>
                </c:pt>
                <c:pt idx="56">
                  <c:v>4.75</c:v>
                </c:pt>
                <c:pt idx="57">
                  <c:v>4.833333333333333</c:v>
                </c:pt>
                <c:pt idx="58">
                  <c:v>4.916666666666667</c:v>
                </c:pt>
                <c:pt idx="59">
                  <c:v>5</c:v>
                </c:pt>
                <c:pt idx="60">
                  <c:v>5.083333333333333</c:v>
                </c:pt>
                <c:pt idx="61">
                  <c:v>5.166666666666667</c:v>
                </c:pt>
                <c:pt idx="62">
                  <c:v>5.25</c:v>
                </c:pt>
                <c:pt idx="63">
                  <c:v>5.333333333333333</c:v>
                </c:pt>
                <c:pt idx="64">
                  <c:v>5.416666666666667</c:v>
                </c:pt>
                <c:pt idx="65">
                  <c:v>5.5</c:v>
                </c:pt>
                <c:pt idx="66">
                  <c:v>5.583333333333333</c:v>
                </c:pt>
                <c:pt idx="67">
                  <c:v>5.666666666666667</c:v>
                </c:pt>
                <c:pt idx="68">
                  <c:v>5.75</c:v>
                </c:pt>
                <c:pt idx="69">
                  <c:v>5.833333333333333</c:v>
                </c:pt>
                <c:pt idx="70">
                  <c:v>5.916666666666667</c:v>
                </c:pt>
                <c:pt idx="71">
                  <c:v>6</c:v>
                </c:pt>
                <c:pt idx="72">
                  <c:v>6.083333333333333</c:v>
                </c:pt>
                <c:pt idx="73">
                  <c:v>6.166666666666667</c:v>
                </c:pt>
                <c:pt idx="74">
                  <c:v>6.25</c:v>
                </c:pt>
                <c:pt idx="75">
                  <c:v>6.333333333333333</c:v>
                </c:pt>
                <c:pt idx="76">
                  <c:v>6.416666666666667</c:v>
                </c:pt>
                <c:pt idx="77">
                  <c:v>6.5</c:v>
                </c:pt>
                <c:pt idx="78">
                  <c:v>6.583333333333333</c:v>
                </c:pt>
                <c:pt idx="79">
                  <c:v>6.666666666666667</c:v>
                </c:pt>
                <c:pt idx="80">
                  <c:v>6.75</c:v>
                </c:pt>
                <c:pt idx="81">
                  <c:v>6.833333333333333</c:v>
                </c:pt>
                <c:pt idx="82">
                  <c:v>6.916666666666667</c:v>
                </c:pt>
                <c:pt idx="83">
                  <c:v>7</c:v>
                </c:pt>
                <c:pt idx="84">
                  <c:v>7.083333333333333</c:v>
                </c:pt>
                <c:pt idx="85">
                  <c:v>7.166666666666667</c:v>
                </c:pt>
                <c:pt idx="86">
                  <c:v>7.25</c:v>
                </c:pt>
                <c:pt idx="87">
                  <c:v>7.333333333333333</c:v>
                </c:pt>
                <c:pt idx="88">
                  <c:v>7.416666666666667</c:v>
                </c:pt>
                <c:pt idx="89">
                  <c:v>7.5</c:v>
                </c:pt>
                <c:pt idx="90">
                  <c:v>7.583333333333333</c:v>
                </c:pt>
                <c:pt idx="91">
                  <c:v>7.666666666666667</c:v>
                </c:pt>
                <c:pt idx="92">
                  <c:v>7.75</c:v>
                </c:pt>
                <c:pt idx="93">
                  <c:v>7.833333333333333</c:v>
                </c:pt>
                <c:pt idx="94">
                  <c:v>7.916666666666667</c:v>
                </c:pt>
                <c:pt idx="95">
                  <c:v>8</c:v>
                </c:pt>
                <c:pt idx="96">
                  <c:v>8.0833333333333339</c:v>
                </c:pt>
                <c:pt idx="97">
                  <c:v>8.1666666666666661</c:v>
                </c:pt>
                <c:pt idx="98">
                  <c:v>8.25</c:v>
                </c:pt>
                <c:pt idx="99">
                  <c:v>8.3333333333333339</c:v>
                </c:pt>
                <c:pt idx="100">
                  <c:v>8.4166666666666661</c:v>
                </c:pt>
                <c:pt idx="101">
                  <c:v>8.5</c:v>
                </c:pt>
                <c:pt idx="102">
                  <c:v>8.5833333333333339</c:v>
                </c:pt>
                <c:pt idx="103">
                  <c:v>8.6666666666666661</c:v>
                </c:pt>
                <c:pt idx="104">
                  <c:v>8.75</c:v>
                </c:pt>
                <c:pt idx="105">
                  <c:v>8.8333333333333339</c:v>
                </c:pt>
                <c:pt idx="106">
                  <c:v>8.9166666666666661</c:v>
                </c:pt>
                <c:pt idx="107">
                  <c:v>9</c:v>
                </c:pt>
                <c:pt idx="108">
                  <c:v>9.0833333333333339</c:v>
                </c:pt>
                <c:pt idx="109">
                  <c:v>9.1666666666666661</c:v>
                </c:pt>
                <c:pt idx="110">
                  <c:v>9.25</c:v>
                </c:pt>
                <c:pt idx="111">
                  <c:v>9.3333333333333339</c:v>
                </c:pt>
                <c:pt idx="112">
                  <c:v>9.4166666666666661</c:v>
                </c:pt>
                <c:pt idx="113">
                  <c:v>9.5</c:v>
                </c:pt>
                <c:pt idx="114">
                  <c:v>9.5833333333333339</c:v>
                </c:pt>
                <c:pt idx="115">
                  <c:v>9.6666666666666661</c:v>
                </c:pt>
                <c:pt idx="116">
                  <c:v>9.75</c:v>
                </c:pt>
                <c:pt idx="117">
                  <c:v>9.8333333333333339</c:v>
                </c:pt>
                <c:pt idx="118">
                  <c:v>9.9166666666666661</c:v>
                </c:pt>
                <c:pt idx="119">
                  <c:v>10</c:v>
                </c:pt>
                <c:pt idx="120">
                  <c:v>10.083333333333334</c:v>
                </c:pt>
                <c:pt idx="121">
                  <c:v>10.166666666666666</c:v>
                </c:pt>
                <c:pt idx="122">
                  <c:v>10.25</c:v>
                </c:pt>
                <c:pt idx="123">
                  <c:v>10.333333333333334</c:v>
                </c:pt>
                <c:pt idx="124">
                  <c:v>10.416666666666666</c:v>
                </c:pt>
                <c:pt idx="125">
                  <c:v>10.5</c:v>
                </c:pt>
                <c:pt idx="126">
                  <c:v>10.583333333333334</c:v>
                </c:pt>
                <c:pt idx="127">
                  <c:v>10.666666666666666</c:v>
                </c:pt>
                <c:pt idx="128">
                  <c:v>10.75</c:v>
                </c:pt>
                <c:pt idx="129">
                  <c:v>10.833333333333334</c:v>
                </c:pt>
                <c:pt idx="130">
                  <c:v>10.916666666666666</c:v>
                </c:pt>
                <c:pt idx="131">
                  <c:v>11</c:v>
                </c:pt>
                <c:pt idx="132">
                  <c:v>11.083333333333334</c:v>
                </c:pt>
                <c:pt idx="133">
                  <c:v>11.166666666666666</c:v>
                </c:pt>
                <c:pt idx="134">
                  <c:v>11.25</c:v>
                </c:pt>
                <c:pt idx="135">
                  <c:v>11.333333333333334</c:v>
                </c:pt>
                <c:pt idx="136">
                  <c:v>11.416666666666666</c:v>
                </c:pt>
                <c:pt idx="137">
                  <c:v>11.5</c:v>
                </c:pt>
                <c:pt idx="138">
                  <c:v>11.583333333333334</c:v>
                </c:pt>
                <c:pt idx="139">
                  <c:v>11.666666666666666</c:v>
                </c:pt>
                <c:pt idx="140">
                  <c:v>11.75</c:v>
                </c:pt>
                <c:pt idx="141">
                  <c:v>11.833333333333334</c:v>
                </c:pt>
                <c:pt idx="142">
                  <c:v>11.916666666666666</c:v>
                </c:pt>
                <c:pt idx="143">
                  <c:v>12</c:v>
                </c:pt>
                <c:pt idx="144">
                  <c:v>12.083333333333334</c:v>
                </c:pt>
                <c:pt idx="145">
                  <c:v>12.166666666666666</c:v>
                </c:pt>
                <c:pt idx="146">
                  <c:v>12.25</c:v>
                </c:pt>
                <c:pt idx="147">
                  <c:v>12.333333333333334</c:v>
                </c:pt>
                <c:pt idx="148">
                  <c:v>12.416666666666666</c:v>
                </c:pt>
                <c:pt idx="149">
                  <c:v>12.5</c:v>
                </c:pt>
                <c:pt idx="150">
                  <c:v>12.583333333333334</c:v>
                </c:pt>
                <c:pt idx="151">
                  <c:v>12.666666666666666</c:v>
                </c:pt>
                <c:pt idx="152">
                  <c:v>12.75</c:v>
                </c:pt>
                <c:pt idx="153">
                  <c:v>12.833333333333334</c:v>
                </c:pt>
                <c:pt idx="154">
                  <c:v>12.916666666666666</c:v>
                </c:pt>
                <c:pt idx="155">
                  <c:v>13</c:v>
                </c:pt>
                <c:pt idx="156">
                  <c:v>13.083333333333334</c:v>
                </c:pt>
                <c:pt idx="157">
                  <c:v>13.166666666666666</c:v>
                </c:pt>
                <c:pt idx="158">
                  <c:v>13.25</c:v>
                </c:pt>
                <c:pt idx="159">
                  <c:v>13.333333333333334</c:v>
                </c:pt>
                <c:pt idx="160">
                  <c:v>13.416666666666666</c:v>
                </c:pt>
                <c:pt idx="161">
                  <c:v>13.5</c:v>
                </c:pt>
                <c:pt idx="162">
                  <c:v>13.583333333333334</c:v>
                </c:pt>
                <c:pt idx="163">
                  <c:v>13.666666666666666</c:v>
                </c:pt>
                <c:pt idx="164">
                  <c:v>13.75</c:v>
                </c:pt>
                <c:pt idx="165">
                  <c:v>13.833333333333334</c:v>
                </c:pt>
                <c:pt idx="166">
                  <c:v>13.916666666666666</c:v>
                </c:pt>
                <c:pt idx="167">
                  <c:v>14</c:v>
                </c:pt>
                <c:pt idx="168">
                  <c:v>14.083333333333334</c:v>
                </c:pt>
                <c:pt idx="169">
                  <c:v>14.166666666666666</c:v>
                </c:pt>
                <c:pt idx="170">
                  <c:v>14.25</c:v>
                </c:pt>
                <c:pt idx="171">
                  <c:v>14.333333333333334</c:v>
                </c:pt>
                <c:pt idx="172">
                  <c:v>14.416666666666666</c:v>
                </c:pt>
                <c:pt idx="173">
                  <c:v>14.5</c:v>
                </c:pt>
                <c:pt idx="174">
                  <c:v>14.583333333333334</c:v>
                </c:pt>
                <c:pt idx="175">
                  <c:v>14.666666666666666</c:v>
                </c:pt>
                <c:pt idx="176">
                  <c:v>14.75</c:v>
                </c:pt>
                <c:pt idx="177">
                  <c:v>14.833333333333334</c:v>
                </c:pt>
                <c:pt idx="178">
                  <c:v>14.916666666666666</c:v>
                </c:pt>
                <c:pt idx="179">
                  <c:v>15</c:v>
                </c:pt>
                <c:pt idx="180">
                  <c:v>15.083333333333334</c:v>
                </c:pt>
                <c:pt idx="181">
                  <c:v>15.166666666666666</c:v>
                </c:pt>
                <c:pt idx="182">
                  <c:v>15.25</c:v>
                </c:pt>
                <c:pt idx="183">
                  <c:v>15.333333333333334</c:v>
                </c:pt>
                <c:pt idx="184">
                  <c:v>15.416666666666666</c:v>
                </c:pt>
                <c:pt idx="185">
                  <c:v>15.5</c:v>
                </c:pt>
                <c:pt idx="186">
                  <c:v>15.583333333333334</c:v>
                </c:pt>
                <c:pt idx="187">
                  <c:v>15.666666666666666</c:v>
                </c:pt>
                <c:pt idx="188">
                  <c:v>15.75</c:v>
                </c:pt>
                <c:pt idx="189">
                  <c:v>15.833333333333334</c:v>
                </c:pt>
                <c:pt idx="190">
                  <c:v>15.916666666666666</c:v>
                </c:pt>
                <c:pt idx="191">
                  <c:v>16</c:v>
                </c:pt>
                <c:pt idx="192">
                  <c:v>16.083333333333332</c:v>
                </c:pt>
                <c:pt idx="193">
                  <c:v>16.166666666666668</c:v>
                </c:pt>
                <c:pt idx="194">
                  <c:v>16.25</c:v>
                </c:pt>
                <c:pt idx="195">
                  <c:v>16.333333333333332</c:v>
                </c:pt>
                <c:pt idx="196">
                  <c:v>16.416666666666668</c:v>
                </c:pt>
                <c:pt idx="197">
                  <c:v>16.5</c:v>
                </c:pt>
                <c:pt idx="198">
                  <c:v>16.583333333333332</c:v>
                </c:pt>
                <c:pt idx="199">
                  <c:v>16.666666666666668</c:v>
                </c:pt>
                <c:pt idx="200">
                  <c:v>16.75</c:v>
                </c:pt>
                <c:pt idx="201">
                  <c:v>16.833333333333332</c:v>
                </c:pt>
                <c:pt idx="202">
                  <c:v>16.916666666666668</c:v>
                </c:pt>
                <c:pt idx="203">
                  <c:v>17</c:v>
                </c:pt>
                <c:pt idx="204">
                  <c:v>17.083333333333332</c:v>
                </c:pt>
                <c:pt idx="205">
                  <c:v>17.166666666666668</c:v>
                </c:pt>
                <c:pt idx="206">
                  <c:v>17.25</c:v>
                </c:pt>
                <c:pt idx="207">
                  <c:v>17.333333333333332</c:v>
                </c:pt>
                <c:pt idx="208">
                  <c:v>17.416666666666668</c:v>
                </c:pt>
                <c:pt idx="209">
                  <c:v>17.5</c:v>
                </c:pt>
                <c:pt idx="210">
                  <c:v>17.583333333333332</c:v>
                </c:pt>
                <c:pt idx="211">
                  <c:v>17.666666666666668</c:v>
                </c:pt>
                <c:pt idx="212">
                  <c:v>17.75</c:v>
                </c:pt>
                <c:pt idx="213">
                  <c:v>17.833333333333332</c:v>
                </c:pt>
                <c:pt idx="214">
                  <c:v>17.916666666666668</c:v>
                </c:pt>
                <c:pt idx="215">
                  <c:v>18</c:v>
                </c:pt>
                <c:pt idx="216">
                  <c:v>18.083333333333332</c:v>
                </c:pt>
                <c:pt idx="217">
                  <c:v>18.166666666666668</c:v>
                </c:pt>
                <c:pt idx="218">
                  <c:v>18.25</c:v>
                </c:pt>
                <c:pt idx="219">
                  <c:v>18.333333333333332</c:v>
                </c:pt>
                <c:pt idx="220">
                  <c:v>18.416666666666668</c:v>
                </c:pt>
                <c:pt idx="221">
                  <c:v>18.5</c:v>
                </c:pt>
                <c:pt idx="222">
                  <c:v>18.583333333333332</c:v>
                </c:pt>
                <c:pt idx="223">
                  <c:v>18.666666666666668</c:v>
                </c:pt>
                <c:pt idx="224">
                  <c:v>18.75</c:v>
                </c:pt>
                <c:pt idx="225">
                  <c:v>18.833333333333332</c:v>
                </c:pt>
                <c:pt idx="226">
                  <c:v>18.916666666666668</c:v>
                </c:pt>
                <c:pt idx="227">
                  <c:v>19</c:v>
                </c:pt>
                <c:pt idx="228">
                  <c:v>19.083333333333332</c:v>
                </c:pt>
                <c:pt idx="229">
                  <c:v>19.166666666666668</c:v>
                </c:pt>
                <c:pt idx="230">
                  <c:v>19.25</c:v>
                </c:pt>
                <c:pt idx="231">
                  <c:v>19.333333333333332</c:v>
                </c:pt>
                <c:pt idx="232">
                  <c:v>19.416666666666668</c:v>
                </c:pt>
                <c:pt idx="233">
                  <c:v>19.5</c:v>
                </c:pt>
                <c:pt idx="234">
                  <c:v>19.583333333333332</c:v>
                </c:pt>
                <c:pt idx="235">
                  <c:v>19.666666666666668</c:v>
                </c:pt>
                <c:pt idx="236">
                  <c:v>19.75</c:v>
                </c:pt>
                <c:pt idx="237">
                  <c:v>19.833333333333332</c:v>
                </c:pt>
                <c:pt idx="238">
                  <c:v>19.916666666666668</c:v>
                </c:pt>
                <c:pt idx="239">
                  <c:v>20</c:v>
                </c:pt>
                <c:pt idx="240">
                  <c:v>20.083333333333332</c:v>
                </c:pt>
                <c:pt idx="241">
                  <c:v>20.166666666666668</c:v>
                </c:pt>
                <c:pt idx="242">
                  <c:v>20.25</c:v>
                </c:pt>
                <c:pt idx="243">
                  <c:v>20.333333333333332</c:v>
                </c:pt>
                <c:pt idx="244">
                  <c:v>20.416666666666668</c:v>
                </c:pt>
                <c:pt idx="245">
                  <c:v>20.5</c:v>
                </c:pt>
                <c:pt idx="246">
                  <c:v>20.583333333333332</c:v>
                </c:pt>
                <c:pt idx="247">
                  <c:v>20.666666666666668</c:v>
                </c:pt>
                <c:pt idx="248">
                  <c:v>20.75</c:v>
                </c:pt>
                <c:pt idx="249">
                  <c:v>20.833333333333332</c:v>
                </c:pt>
                <c:pt idx="250">
                  <c:v>20.916666666666668</c:v>
                </c:pt>
                <c:pt idx="251">
                  <c:v>21</c:v>
                </c:pt>
                <c:pt idx="252">
                  <c:v>21.083333333333332</c:v>
                </c:pt>
                <c:pt idx="253">
                  <c:v>21.166666666666668</c:v>
                </c:pt>
                <c:pt idx="254">
                  <c:v>21.25</c:v>
                </c:pt>
                <c:pt idx="255">
                  <c:v>21.333333333333332</c:v>
                </c:pt>
                <c:pt idx="256">
                  <c:v>21.416666666666668</c:v>
                </c:pt>
                <c:pt idx="257">
                  <c:v>21.5</c:v>
                </c:pt>
                <c:pt idx="258">
                  <c:v>21.583333333333332</c:v>
                </c:pt>
                <c:pt idx="259">
                  <c:v>21.666666666666668</c:v>
                </c:pt>
                <c:pt idx="260">
                  <c:v>21.75</c:v>
                </c:pt>
                <c:pt idx="261">
                  <c:v>21.833333333333332</c:v>
                </c:pt>
                <c:pt idx="262">
                  <c:v>21.916666666666668</c:v>
                </c:pt>
                <c:pt idx="263">
                  <c:v>22</c:v>
                </c:pt>
                <c:pt idx="264">
                  <c:v>22.083333333333332</c:v>
                </c:pt>
                <c:pt idx="265">
                  <c:v>22.166666666666668</c:v>
                </c:pt>
                <c:pt idx="266">
                  <c:v>22.25</c:v>
                </c:pt>
                <c:pt idx="267">
                  <c:v>22.333333333333332</c:v>
                </c:pt>
                <c:pt idx="268">
                  <c:v>22.416666666666668</c:v>
                </c:pt>
                <c:pt idx="269">
                  <c:v>22.5</c:v>
                </c:pt>
                <c:pt idx="270">
                  <c:v>22.583333333333332</c:v>
                </c:pt>
                <c:pt idx="271">
                  <c:v>22.666666666666668</c:v>
                </c:pt>
                <c:pt idx="272">
                  <c:v>22.75</c:v>
                </c:pt>
                <c:pt idx="273">
                  <c:v>22.833333333333332</c:v>
                </c:pt>
                <c:pt idx="274">
                  <c:v>22.916666666666668</c:v>
                </c:pt>
                <c:pt idx="275">
                  <c:v>23</c:v>
                </c:pt>
                <c:pt idx="276">
                  <c:v>23.083333333333332</c:v>
                </c:pt>
                <c:pt idx="277">
                  <c:v>23.166666666666668</c:v>
                </c:pt>
                <c:pt idx="278">
                  <c:v>23.25</c:v>
                </c:pt>
                <c:pt idx="279">
                  <c:v>23.333333333333332</c:v>
                </c:pt>
                <c:pt idx="280">
                  <c:v>23.416666666666668</c:v>
                </c:pt>
                <c:pt idx="281">
                  <c:v>23.5</c:v>
                </c:pt>
                <c:pt idx="282">
                  <c:v>23.583333333333332</c:v>
                </c:pt>
                <c:pt idx="283">
                  <c:v>23.666666666666668</c:v>
                </c:pt>
                <c:pt idx="284">
                  <c:v>23.75</c:v>
                </c:pt>
                <c:pt idx="285">
                  <c:v>23.833333333333332</c:v>
                </c:pt>
                <c:pt idx="286">
                  <c:v>23.916666666666668</c:v>
                </c:pt>
                <c:pt idx="287">
                  <c:v>24</c:v>
                </c:pt>
                <c:pt idx="288">
                  <c:v>24.083333333333332</c:v>
                </c:pt>
                <c:pt idx="289">
                  <c:v>24.166666666666668</c:v>
                </c:pt>
                <c:pt idx="290">
                  <c:v>24.25</c:v>
                </c:pt>
                <c:pt idx="291">
                  <c:v>24.333333333333332</c:v>
                </c:pt>
                <c:pt idx="292">
                  <c:v>24.416666666666668</c:v>
                </c:pt>
                <c:pt idx="293">
                  <c:v>24.5</c:v>
                </c:pt>
                <c:pt idx="294">
                  <c:v>24.583333333333332</c:v>
                </c:pt>
                <c:pt idx="295">
                  <c:v>24.666666666666668</c:v>
                </c:pt>
                <c:pt idx="296">
                  <c:v>24.75</c:v>
                </c:pt>
                <c:pt idx="297">
                  <c:v>24.833333333333332</c:v>
                </c:pt>
                <c:pt idx="298">
                  <c:v>24.916666666666668</c:v>
                </c:pt>
                <c:pt idx="299">
                  <c:v>25</c:v>
                </c:pt>
                <c:pt idx="300">
                  <c:v>25.083333333333332</c:v>
                </c:pt>
                <c:pt idx="301">
                  <c:v>25.166666666666668</c:v>
                </c:pt>
                <c:pt idx="302">
                  <c:v>25.25</c:v>
                </c:pt>
                <c:pt idx="303">
                  <c:v>25.333333333333332</c:v>
                </c:pt>
                <c:pt idx="304">
                  <c:v>25.416666666666668</c:v>
                </c:pt>
                <c:pt idx="305">
                  <c:v>25.5</c:v>
                </c:pt>
                <c:pt idx="306">
                  <c:v>25.583333333333332</c:v>
                </c:pt>
                <c:pt idx="307">
                  <c:v>25.666666666666668</c:v>
                </c:pt>
                <c:pt idx="308">
                  <c:v>25.75</c:v>
                </c:pt>
                <c:pt idx="309">
                  <c:v>25.833333333333332</c:v>
                </c:pt>
                <c:pt idx="310">
                  <c:v>25.916666666666668</c:v>
                </c:pt>
                <c:pt idx="311">
                  <c:v>26</c:v>
                </c:pt>
                <c:pt idx="312">
                  <c:v>26.083333333333332</c:v>
                </c:pt>
                <c:pt idx="313">
                  <c:v>26.166666666666668</c:v>
                </c:pt>
                <c:pt idx="314">
                  <c:v>26.25</c:v>
                </c:pt>
                <c:pt idx="315">
                  <c:v>26.333333333333332</c:v>
                </c:pt>
                <c:pt idx="316">
                  <c:v>26.416666666666668</c:v>
                </c:pt>
                <c:pt idx="317">
                  <c:v>26.5</c:v>
                </c:pt>
                <c:pt idx="318">
                  <c:v>26.583333333333332</c:v>
                </c:pt>
                <c:pt idx="319">
                  <c:v>26.666666666666668</c:v>
                </c:pt>
                <c:pt idx="320">
                  <c:v>26.75</c:v>
                </c:pt>
                <c:pt idx="321">
                  <c:v>26.833333333333332</c:v>
                </c:pt>
                <c:pt idx="322">
                  <c:v>26.916666666666668</c:v>
                </c:pt>
                <c:pt idx="323">
                  <c:v>27</c:v>
                </c:pt>
                <c:pt idx="324">
                  <c:v>27.083333333333332</c:v>
                </c:pt>
                <c:pt idx="325">
                  <c:v>27.166666666666668</c:v>
                </c:pt>
                <c:pt idx="326">
                  <c:v>27.25</c:v>
                </c:pt>
                <c:pt idx="327">
                  <c:v>27.333333333333332</c:v>
                </c:pt>
                <c:pt idx="328">
                  <c:v>27.416666666666668</c:v>
                </c:pt>
                <c:pt idx="329">
                  <c:v>27.5</c:v>
                </c:pt>
                <c:pt idx="330">
                  <c:v>27.583333333333332</c:v>
                </c:pt>
                <c:pt idx="331">
                  <c:v>27.666666666666668</c:v>
                </c:pt>
                <c:pt idx="332">
                  <c:v>27.75</c:v>
                </c:pt>
                <c:pt idx="333">
                  <c:v>27.833333333333332</c:v>
                </c:pt>
                <c:pt idx="334">
                  <c:v>27.916666666666668</c:v>
                </c:pt>
                <c:pt idx="335">
                  <c:v>28</c:v>
                </c:pt>
                <c:pt idx="336">
                  <c:v>28.083333333333332</c:v>
                </c:pt>
                <c:pt idx="337">
                  <c:v>28.166666666666668</c:v>
                </c:pt>
                <c:pt idx="338">
                  <c:v>28.25</c:v>
                </c:pt>
                <c:pt idx="339">
                  <c:v>28.333333333333332</c:v>
                </c:pt>
                <c:pt idx="340">
                  <c:v>28.416666666666668</c:v>
                </c:pt>
                <c:pt idx="341">
                  <c:v>28.5</c:v>
                </c:pt>
                <c:pt idx="342">
                  <c:v>28.583333333333332</c:v>
                </c:pt>
                <c:pt idx="343">
                  <c:v>28.666666666666668</c:v>
                </c:pt>
                <c:pt idx="344">
                  <c:v>28.75</c:v>
                </c:pt>
                <c:pt idx="345">
                  <c:v>28.833333333333332</c:v>
                </c:pt>
                <c:pt idx="346">
                  <c:v>28.916666666666668</c:v>
                </c:pt>
                <c:pt idx="347">
                  <c:v>29</c:v>
                </c:pt>
                <c:pt idx="348">
                  <c:v>29.083333333333332</c:v>
                </c:pt>
                <c:pt idx="349">
                  <c:v>29.166666666666668</c:v>
                </c:pt>
                <c:pt idx="350">
                  <c:v>29.25</c:v>
                </c:pt>
                <c:pt idx="351">
                  <c:v>29.333333333333332</c:v>
                </c:pt>
                <c:pt idx="352">
                  <c:v>29.416666666666668</c:v>
                </c:pt>
                <c:pt idx="353">
                  <c:v>29.5</c:v>
                </c:pt>
                <c:pt idx="354">
                  <c:v>29.583333333333332</c:v>
                </c:pt>
                <c:pt idx="355">
                  <c:v>29.666666666666668</c:v>
                </c:pt>
                <c:pt idx="356">
                  <c:v>29.75</c:v>
                </c:pt>
                <c:pt idx="357">
                  <c:v>29.833333333333332</c:v>
                </c:pt>
                <c:pt idx="358">
                  <c:v>29.916666666666668</c:v>
                </c:pt>
                <c:pt idx="359">
                  <c:v>30</c:v>
                </c:pt>
                <c:pt idx="360">
                  <c:v>30.083333333333332</c:v>
                </c:pt>
                <c:pt idx="361">
                  <c:v>30.166666666666668</c:v>
                </c:pt>
                <c:pt idx="362">
                  <c:v>30.25</c:v>
                </c:pt>
                <c:pt idx="363">
                  <c:v>30.333333333333332</c:v>
                </c:pt>
                <c:pt idx="364">
                  <c:v>30.416666666666668</c:v>
                </c:pt>
                <c:pt idx="365">
                  <c:v>30.5</c:v>
                </c:pt>
                <c:pt idx="366">
                  <c:v>30.583333333333332</c:v>
                </c:pt>
                <c:pt idx="367">
                  <c:v>30.666666666666668</c:v>
                </c:pt>
                <c:pt idx="368">
                  <c:v>30.75</c:v>
                </c:pt>
                <c:pt idx="369">
                  <c:v>30.833333333333332</c:v>
                </c:pt>
                <c:pt idx="370">
                  <c:v>30.916666666666668</c:v>
                </c:pt>
                <c:pt idx="371">
                  <c:v>31</c:v>
                </c:pt>
                <c:pt idx="372">
                  <c:v>31.083333333333332</c:v>
                </c:pt>
                <c:pt idx="373">
                  <c:v>31.166666666666668</c:v>
                </c:pt>
                <c:pt idx="374">
                  <c:v>31.25</c:v>
                </c:pt>
                <c:pt idx="375">
                  <c:v>31.333333333333332</c:v>
                </c:pt>
                <c:pt idx="376">
                  <c:v>31.416666666666668</c:v>
                </c:pt>
                <c:pt idx="377">
                  <c:v>31.5</c:v>
                </c:pt>
                <c:pt idx="378">
                  <c:v>31.583333333333332</c:v>
                </c:pt>
                <c:pt idx="379">
                  <c:v>31.666666666666668</c:v>
                </c:pt>
                <c:pt idx="380">
                  <c:v>31.75</c:v>
                </c:pt>
                <c:pt idx="381">
                  <c:v>31.833333333333332</c:v>
                </c:pt>
                <c:pt idx="382">
                  <c:v>31.916666666666668</c:v>
                </c:pt>
                <c:pt idx="383">
                  <c:v>32</c:v>
                </c:pt>
                <c:pt idx="384">
                  <c:v>32.083333333333336</c:v>
                </c:pt>
                <c:pt idx="385">
                  <c:v>32.166666666666664</c:v>
                </c:pt>
                <c:pt idx="386">
                  <c:v>32.25</c:v>
                </c:pt>
                <c:pt idx="387">
                  <c:v>32.333333333333336</c:v>
                </c:pt>
                <c:pt idx="388">
                  <c:v>32.416666666666664</c:v>
                </c:pt>
                <c:pt idx="389">
                  <c:v>32.5</c:v>
                </c:pt>
                <c:pt idx="390">
                  <c:v>32.583333333333336</c:v>
                </c:pt>
                <c:pt idx="391">
                  <c:v>32.666666666666664</c:v>
                </c:pt>
                <c:pt idx="392">
                  <c:v>32.75</c:v>
                </c:pt>
                <c:pt idx="393">
                  <c:v>32.833333333333336</c:v>
                </c:pt>
                <c:pt idx="394">
                  <c:v>32.916666666666664</c:v>
                </c:pt>
                <c:pt idx="395">
                  <c:v>33</c:v>
                </c:pt>
                <c:pt idx="396">
                  <c:v>33.083333333333336</c:v>
                </c:pt>
                <c:pt idx="397">
                  <c:v>33.166666666666664</c:v>
                </c:pt>
                <c:pt idx="398">
                  <c:v>33.25</c:v>
                </c:pt>
                <c:pt idx="399">
                  <c:v>33.333333333333336</c:v>
                </c:pt>
                <c:pt idx="400">
                  <c:v>33.416666666666664</c:v>
                </c:pt>
                <c:pt idx="401">
                  <c:v>33.5</c:v>
                </c:pt>
                <c:pt idx="402">
                  <c:v>33.583333333333336</c:v>
                </c:pt>
                <c:pt idx="403">
                  <c:v>33.666666666666664</c:v>
                </c:pt>
                <c:pt idx="404">
                  <c:v>33.75</c:v>
                </c:pt>
                <c:pt idx="405">
                  <c:v>33.833333333333336</c:v>
                </c:pt>
                <c:pt idx="406">
                  <c:v>33.916666666666664</c:v>
                </c:pt>
                <c:pt idx="407">
                  <c:v>34</c:v>
                </c:pt>
                <c:pt idx="408">
                  <c:v>34.083333333333336</c:v>
                </c:pt>
                <c:pt idx="409">
                  <c:v>34.166666666666664</c:v>
                </c:pt>
                <c:pt idx="410">
                  <c:v>34.25</c:v>
                </c:pt>
                <c:pt idx="411">
                  <c:v>34.333333333333336</c:v>
                </c:pt>
                <c:pt idx="412">
                  <c:v>34.416666666666664</c:v>
                </c:pt>
                <c:pt idx="413">
                  <c:v>34.5</c:v>
                </c:pt>
                <c:pt idx="414">
                  <c:v>34.583333333333336</c:v>
                </c:pt>
                <c:pt idx="415">
                  <c:v>34.666666666666664</c:v>
                </c:pt>
                <c:pt idx="416">
                  <c:v>34.75</c:v>
                </c:pt>
                <c:pt idx="417">
                  <c:v>34.833333333333336</c:v>
                </c:pt>
                <c:pt idx="418">
                  <c:v>34.916666666666664</c:v>
                </c:pt>
                <c:pt idx="419">
                  <c:v>35</c:v>
                </c:pt>
                <c:pt idx="420">
                  <c:v>35.083333333333336</c:v>
                </c:pt>
                <c:pt idx="421">
                  <c:v>35.166666666666664</c:v>
                </c:pt>
                <c:pt idx="422">
                  <c:v>35.25</c:v>
                </c:pt>
                <c:pt idx="423">
                  <c:v>35.333333333333336</c:v>
                </c:pt>
                <c:pt idx="424">
                  <c:v>35.416666666666664</c:v>
                </c:pt>
                <c:pt idx="425">
                  <c:v>35.5</c:v>
                </c:pt>
                <c:pt idx="426">
                  <c:v>35.583333333333336</c:v>
                </c:pt>
                <c:pt idx="427">
                  <c:v>35.666666666666664</c:v>
                </c:pt>
                <c:pt idx="428">
                  <c:v>35.75</c:v>
                </c:pt>
                <c:pt idx="429">
                  <c:v>35.833333333333336</c:v>
                </c:pt>
                <c:pt idx="430">
                  <c:v>35.916666666666664</c:v>
                </c:pt>
                <c:pt idx="431">
                  <c:v>36</c:v>
                </c:pt>
                <c:pt idx="432">
                  <c:v>36.083333333333336</c:v>
                </c:pt>
                <c:pt idx="433">
                  <c:v>36.166666666666664</c:v>
                </c:pt>
                <c:pt idx="434">
                  <c:v>36.25</c:v>
                </c:pt>
                <c:pt idx="435">
                  <c:v>36.333333333333336</c:v>
                </c:pt>
                <c:pt idx="436">
                  <c:v>36.416666666666664</c:v>
                </c:pt>
                <c:pt idx="437">
                  <c:v>36.5</c:v>
                </c:pt>
                <c:pt idx="438">
                  <c:v>36.583333333333336</c:v>
                </c:pt>
                <c:pt idx="439">
                  <c:v>36.666666666666664</c:v>
                </c:pt>
                <c:pt idx="440">
                  <c:v>36.75</c:v>
                </c:pt>
                <c:pt idx="441">
                  <c:v>36.833333333333336</c:v>
                </c:pt>
                <c:pt idx="442">
                  <c:v>36.916666666666664</c:v>
                </c:pt>
                <c:pt idx="443">
                  <c:v>37</c:v>
                </c:pt>
                <c:pt idx="444">
                  <c:v>37.083333333333336</c:v>
                </c:pt>
                <c:pt idx="445">
                  <c:v>37.166666666666664</c:v>
                </c:pt>
                <c:pt idx="446">
                  <c:v>37.25</c:v>
                </c:pt>
                <c:pt idx="447">
                  <c:v>37.333333333333336</c:v>
                </c:pt>
                <c:pt idx="448">
                  <c:v>37.416666666666664</c:v>
                </c:pt>
                <c:pt idx="449">
                  <c:v>37.5</c:v>
                </c:pt>
                <c:pt idx="450">
                  <c:v>37.583333333333336</c:v>
                </c:pt>
                <c:pt idx="451">
                  <c:v>37.666666666666664</c:v>
                </c:pt>
                <c:pt idx="452">
                  <c:v>37.75</c:v>
                </c:pt>
                <c:pt idx="453">
                  <c:v>37.833333333333336</c:v>
                </c:pt>
                <c:pt idx="454">
                  <c:v>37.916666666666664</c:v>
                </c:pt>
                <c:pt idx="455">
                  <c:v>38</c:v>
                </c:pt>
                <c:pt idx="456">
                  <c:v>38.083333333333336</c:v>
                </c:pt>
                <c:pt idx="457">
                  <c:v>38.166666666666664</c:v>
                </c:pt>
                <c:pt idx="458">
                  <c:v>38.25</c:v>
                </c:pt>
                <c:pt idx="459">
                  <c:v>38.333333333333336</c:v>
                </c:pt>
                <c:pt idx="460">
                  <c:v>38.416666666666664</c:v>
                </c:pt>
                <c:pt idx="461">
                  <c:v>38.5</c:v>
                </c:pt>
                <c:pt idx="462">
                  <c:v>38.583333333333336</c:v>
                </c:pt>
                <c:pt idx="463">
                  <c:v>38.666666666666664</c:v>
                </c:pt>
                <c:pt idx="464">
                  <c:v>38.75</c:v>
                </c:pt>
                <c:pt idx="465">
                  <c:v>38.833333333333336</c:v>
                </c:pt>
                <c:pt idx="466">
                  <c:v>38.916666666666664</c:v>
                </c:pt>
                <c:pt idx="467">
                  <c:v>39</c:v>
                </c:pt>
                <c:pt idx="468">
                  <c:v>39.083333333333336</c:v>
                </c:pt>
                <c:pt idx="469">
                  <c:v>39.166666666666664</c:v>
                </c:pt>
                <c:pt idx="470">
                  <c:v>39.25</c:v>
                </c:pt>
                <c:pt idx="471">
                  <c:v>39.333333333333336</c:v>
                </c:pt>
                <c:pt idx="472">
                  <c:v>39.416666666666664</c:v>
                </c:pt>
                <c:pt idx="473">
                  <c:v>39.5</c:v>
                </c:pt>
                <c:pt idx="474">
                  <c:v>39.583333333333336</c:v>
                </c:pt>
                <c:pt idx="475">
                  <c:v>39.666666666666664</c:v>
                </c:pt>
                <c:pt idx="476">
                  <c:v>39.75</c:v>
                </c:pt>
                <c:pt idx="477">
                  <c:v>39.833333333333336</c:v>
                </c:pt>
                <c:pt idx="478">
                  <c:v>39.916666666666664</c:v>
                </c:pt>
                <c:pt idx="479">
                  <c:v>40</c:v>
                </c:pt>
              </c:numCache>
            </c:numRef>
          </c:xVal>
          <c:yVal>
            <c:numRef>
              <c:f>'Figures B1-B3'!$E$13:$RP$13</c:f>
              <c:numCache>
                <c:formatCode>#,##0.0</c:formatCode>
                <c:ptCount val="480"/>
                <c:pt idx="0">
                  <c:v>8.5544570688243271E-6</c:v>
                </c:pt>
                <c:pt idx="1">
                  <c:v>6.8008465527976102E-5</c:v>
                </c:pt>
                <c:pt idx="2">
                  <c:v>2.2809679712868013E-4</c:v>
                </c:pt>
                <c:pt idx="3">
                  <c:v>5.3730357085554029E-4</c:v>
                </c:pt>
                <c:pt idx="4">
                  <c:v>1.0428839694930018E-3</c:v>
                </c:pt>
                <c:pt idx="5">
                  <c:v>1.7908856308893263E-3</c:v>
                </c:pt>
                <c:pt idx="6">
                  <c:v>2.8261697184418129E-3</c:v>
                </c:pt>
                <c:pt idx="7">
                  <c:v>4.192431675266812E-3</c:v>
                </c:pt>
                <c:pt idx="8">
                  <c:v>5.9322216664580707E-3</c:v>
                </c:pt>
                <c:pt idx="9">
                  <c:v>8.0869647137792496E-3</c:v>
                </c:pt>
                <c:pt idx="10">
                  <c:v>1.0696980527076586E-2</c:v>
                </c:pt>
                <c:pt idx="11">
                  <c:v>1.3801503036642727E-2</c:v>
                </c:pt>
                <c:pt idx="12">
                  <c:v>1.7438699630704126E-2</c:v>
                </c:pt>
                <c:pt idx="13">
                  <c:v>2.1645690102150235E-2</c:v>
                </c:pt>
                <c:pt idx="14">
                  <c:v>2.6458565308565586E-2</c:v>
                </c:pt>
                <c:pt idx="15">
                  <c:v>3.1912405549575487E-2</c:v>
                </c:pt>
                <c:pt idx="16">
                  <c:v>3.8041298665456802E-2</c:v>
                </c:pt>
                <c:pt idx="17">
                  <c:v>4.4878357860917865E-2</c:v>
                </c:pt>
                <c:pt idx="18">
                  <c:v>5.2455739257894866E-2</c:v>
                </c:pt>
                <c:pt idx="19">
                  <c:v>6.080465918116422E-2</c:v>
                </c:pt>
                <c:pt idx="20">
                  <c:v>6.9955411180516527E-2</c:v>
                </c:pt>
                <c:pt idx="21">
                  <c:v>7.9937382793190237E-2</c:v>
                </c:pt>
                <c:pt idx="22">
                  <c:v>9.0779072050210241E-2</c:v>
                </c:pt>
                <c:pt idx="23">
                  <c:v>0.10250810373022921</c:v>
                </c:pt>
                <c:pt idx="24">
                  <c:v>0.1151512453644276</c:v>
                </c:pt>
                <c:pt idx="25">
                  <c:v>0.12873442299596394</c:v>
                </c:pt>
                <c:pt idx="26">
                  <c:v>0.14328273669744057</c:v>
                </c:pt>
                <c:pt idx="27">
                  <c:v>0.15882047584978901</c:v>
                </c:pt>
                <c:pt idx="28">
                  <c:v>0.17537113418593711</c:v>
                </c:pt>
                <c:pt idx="29">
                  <c:v>0.19295742460257786</c:v>
                </c:pt>
                <c:pt idx="30">
                  <c:v>0.21160129374331518</c:v>
                </c:pt>
                <c:pt idx="31">
                  <c:v>0.23132393635640697</c:v>
                </c:pt>
                <c:pt idx="32">
                  <c:v>0.25214580943030535</c:v>
                </c:pt>
                <c:pt idx="33">
                  <c:v>0.27408664611012157</c:v>
                </c:pt>
                <c:pt idx="34">
                  <c:v>0.29716546939812627</c:v>
                </c:pt>
                <c:pt idx="35">
                  <c:v>0.32140060564134304</c:v>
                </c:pt>
                <c:pt idx="36">
                  <c:v>0.34680969780924586</c:v>
                </c:pt>
                <c:pt idx="37">
                  <c:v>0.37340971856454569</c:v>
                </c:pt>
                <c:pt idx="38">
                  <c:v>0.40121698312999765</c:v>
                </c:pt>
                <c:pt idx="39">
                  <c:v>0.43024716195412716</c:v>
                </c:pt>
                <c:pt idx="40">
                  <c:v>0.46051529317873102</c:v>
                </c:pt>
                <c:pt idx="41">
                  <c:v>0.49203579491098115</c:v>
                </c:pt>
                <c:pt idx="42">
                  <c:v>0.52482247730289744</c:v>
                </c:pt>
                <c:pt idx="43">
                  <c:v>0.5588885544409441</c:v>
                </c:pt>
                <c:pt idx="44">
                  <c:v>0.59424665604846327</c:v>
                </c:pt>
                <c:pt idx="45">
                  <c:v>0.63090883900358596</c:v>
                </c:pt>
                <c:pt idx="46">
                  <c:v>0.66888659867529388</c:v>
                </c:pt>
                <c:pt idx="47">
                  <c:v>0.70819088008020181</c:v>
                </c:pt>
                <c:pt idx="48">
                  <c:v>0.74883208886263108</c:v>
                </c:pt>
                <c:pt idx="49">
                  <c:v>0.79082010210050457</c:v>
                </c:pt>
                <c:pt idx="50">
                  <c:v>0.83416427893956235</c:v>
                </c:pt>
                <c:pt idx="51">
                  <c:v>0.87887347105833891</c:v>
                </c:pt>
                <c:pt idx="52">
                  <c:v>0.92495603296635942</c:v>
                </c:pt>
                <c:pt idx="53">
                  <c:v>0.97241983213791106</c:v>
                </c:pt>
                <c:pt idx="54">
                  <c:v>1.0212722589837857</c:v>
                </c:pt>
                <c:pt idx="55">
                  <c:v>1.0715202366633054</c:v>
                </c:pt>
                <c:pt idx="56">
                  <c:v>1.1231702307389244</c:v>
                </c:pt>
                <c:pt idx="57">
                  <c:v>1.176228258675686</c:v>
                </c:pt>
                <c:pt idx="58">
                  <c:v>1.2306998991877718</c:v>
                </c:pt>
                <c:pt idx="59">
                  <c:v>1.2865903014343147</c:v>
                </c:pt>
                <c:pt idx="60">
                  <c:v>1.343904194066716</c:v>
                </c:pt>
                <c:pt idx="61">
                  <c:v>1.4026458941295432</c:v>
                </c:pt>
                <c:pt idx="62">
                  <c:v>1.4628193158171579</c:v>
                </c:pt>
                <c:pt idx="63">
                  <c:v>1.5244279790881745</c:v>
                </c:pt>
                <c:pt idx="64">
                  <c:v>1.587475018139777</c:v>
                </c:pt>
                <c:pt idx="65">
                  <c:v>1.6519631897439422</c:v>
                </c:pt>
                <c:pt idx="66">
                  <c:v>1.7178948814475761</c:v>
                </c:pt>
                <c:pt idx="67">
                  <c:v>1.7852721196385259</c:v>
                </c:pt>
                <c:pt idx="68">
                  <c:v>1.854096577479422</c:v>
                </c:pt>
                <c:pt idx="69">
                  <c:v>1.9243695827112854</c:v>
                </c:pt>
                <c:pt idx="70">
                  <c:v>1.9960921253287776</c:v>
                </c:pt>
                <c:pt idx="71">
                  <c:v>2.0692648651289542</c:v>
                </c:pt>
                <c:pt idx="72">
                  <c:v>2.1438881391354103</c:v>
                </c:pt>
                <c:pt idx="73">
                  <c:v>2.2199619688995957</c:v>
                </c:pt>
                <c:pt idx="74">
                  <c:v>2.2974860676810884</c:v>
                </c:pt>
                <c:pt idx="75">
                  <c:v>2.37645984750865</c:v>
                </c:pt>
                <c:pt idx="76">
                  <c:v>2.4568824261237392</c:v>
                </c:pt>
                <c:pt idx="77">
                  <c:v>2.5387526338082598</c:v>
                </c:pt>
                <c:pt idx="78">
                  <c:v>2.6220690200981962</c:v>
                </c:pt>
                <c:pt idx="79">
                  <c:v>2.7068298603848753</c:v>
                </c:pt>
                <c:pt idx="80">
                  <c:v>2.7930331624053983</c:v>
                </c:pt>
                <c:pt idx="81">
                  <c:v>2.8806766726240038</c:v>
                </c:pt>
                <c:pt idx="82">
                  <c:v>2.9697578825058577</c:v>
                </c:pt>
                <c:pt idx="83">
                  <c:v>3.0602740346849182</c:v>
                </c:pt>
                <c:pt idx="84">
                  <c:v>3.1522221290273933</c:v>
                </c:pt>
                <c:pt idx="85">
                  <c:v>3.245598928592405</c:v>
                </c:pt>
                <c:pt idx="86">
                  <c:v>3.3404009654912583</c:v>
                </c:pt>
                <c:pt idx="87">
                  <c:v>3.4366245466469594</c:v>
                </c:pt>
                <c:pt idx="88">
                  <c:v>3.5342657594553346</c:v>
                </c:pt>
                <c:pt idx="89">
                  <c:v>3.6333204773492791</c:v>
                </c:pt>
                <c:pt idx="90">
                  <c:v>3.7337843652675535</c:v>
                </c:pt>
                <c:pt idx="91">
                  <c:v>3.8356528850295617</c:v>
                </c:pt>
                <c:pt idx="92">
                  <c:v>3.9389213006174426</c:v>
                </c:pt>
                <c:pt idx="93">
                  <c:v>4.0435846833669586</c:v>
                </c:pt>
                <c:pt idx="94">
                  <c:v>4.149637917068473</c:v>
                </c:pt>
                <c:pt idx="95">
                  <c:v>4.2570757029793187</c:v>
                </c:pt>
                <c:pt idx="96">
                  <c:v>4.3658925647490125</c:v>
                </c:pt>
                <c:pt idx="97">
                  <c:v>4.4760828532584638</c:v>
                </c:pt>
                <c:pt idx="98">
                  <c:v>4.5876407513745976</c:v>
                </c:pt>
                <c:pt idx="99">
                  <c:v>4.7005602786215333</c:v>
                </c:pt>
                <c:pt idx="100">
                  <c:v>4.8148352957696918</c:v>
                </c:pt>
                <c:pt idx="101">
                  <c:v>4.9304595093439723</c:v>
                </c:pt>
                <c:pt idx="102">
                  <c:v>5.0474264760522605</c:v>
                </c:pt>
                <c:pt idx="103">
                  <c:v>5.1657296071354564</c:v>
                </c:pt>
                <c:pt idx="104">
                  <c:v>5.2853621726401947</c:v>
                </c:pt>
                <c:pt idx="105">
                  <c:v>5.4063173056154223</c:v>
                </c:pt>
                <c:pt idx="106">
                  <c:v>5.5285880062340107</c:v>
                </c:pt>
                <c:pt idx="107">
                  <c:v>5.6521671458405169</c:v>
                </c:pt>
                <c:pt idx="108">
                  <c:v>5.7770474709261794</c:v>
                </c:pt>
                <c:pt idx="109">
                  <c:v>5.9032216070323038</c:v>
                </c:pt>
                <c:pt idx="110">
                  <c:v>6.0306820625831072</c:v>
                </c:pt>
                <c:pt idx="111">
                  <c:v>6.1594212326490734</c:v>
                </c:pt>
                <c:pt idx="112">
                  <c:v>6.2894314026418838</c:v>
                </c:pt>
                <c:pt idx="113">
                  <c:v>6.4207047519420053</c:v>
                </c:pt>
                <c:pt idx="114">
                  <c:v>6.5532333574598631</c:v>
                </c:pt>
                <c:pt idx="115">
                  <c:v>6.6870091971317445</c:v>
                </c:pt>
                <c:pt idx="116">
                  <c:v>6.8220241533513359</c:v>
                </c:pt>
                <c:pt idx="117">
                  <c:v>6.9582700163378606</c:v>
                </c:pt>
                <c:pt idx="118">
                  <c:v>7.0957384874419063</c:v>
                </c:pt>
                <c:pt idx="119">
                  <c:v>7.2344211823897746</c:v>
                </c:pt>
                <c:pt idx="120">
                  <c:v>7.3743096344673678</c:v>
                </c:pt>
                <c:pt idx="121">
                  <c:v>7.5153952976444769</c:v>
                </c:pt>
                <c:pt idx="122">
                  <c:v>7.6576695496405094</c:v>
                </c:pt>
                <c:pt idx="123">
                  <c:v>7.8011236949324054</c:v>
                </c:pt>
                <c:pt idx="124">
                  <c:v>7.9457489677057547</c:v>
                </c:pt>
                <c:pt idx="125">
                  <c:v>8.0915365347499435</c:v>
                </c:pt>
                <c:pt idx="126">
                  <c:v>8.2384774982981739</c:v>
                </c:pt>
                <c:pt idx="127">
                  <c:v>8.3865628988132812</c:v>
                </c:pt>
                <c:pt idx="128">
                  <c:v>8.535783717720145</c:v>
                </c:pt>
                <c:pt idx="129">
                  <c:v>8.6861308800854697</c:v>
                </c:pt>
                <c:pt idx="130">
                  <c:v>8.8375952572459102</c:v>
                </c:pt>
                <c:pt idx="131">
                  <c:v>8.9901676693851371</c:v>
                </c:pt>
                <c:pt idx="132">
                  <c:v>9.1438388880608628</c:v>
                </c:pt>
                <c:pt idx="133">
                  <c:v>9.2985996386824148</c:v>
                </c:pt>
                <c:pt idx="134">
                  <c:v>9.4544406029397763</c:v>
                </c:pt>
                <c:pt idx="135">
                  <c:v>9.6113524211846979</c:v>
                </c:pt>
                <c:pt idx="136">
                  <c:v>9.7693256947648877</c:v>
                </c:pt>
                <c:pt idx="137">
                  <c:v>9.9283509883116974</c:v>
                </c:pt>
                <c:pt idx="138">
                  <c:v>10.088418831982281</c:v>
                </c:pt>
                <c:pt idx="139">
                  <c:v>10.249519723656872</c:v>
                </c:pt>
                <c:pt idx="140">
                  <c:v>10.41164413109183</c:v>
                </c:pt>
                <c:pt idx="141">
                  <c:v>10.574782494029222</c:v>
                </c:pt>
                <c:pt idx="142">
                  <c:v>10.73892522626363</c:v>
                </c:pt>
                <c:pt idx="143">
                  <c:v>10.904062717666822</c:v>
                </c:pt>
                <c:pt idx="144">
                  <c:v>11.070185336170969</c:v>
                </c:pt>
                <c:pt idx="145">
                  <c:v>11.237283429711121</c:v>
                </c:pt>
                <c:pt idx="146">
                  <c:v>11.40534732812749</c:v>
                </c:pt>
                <c:pt idx="147">
                  <c:v>11.574367345028266</c:v>
                </c:pt>
                <c:pt idx="148">
                  <c:v>11.744333779613566</c:v>
                </c:pt>
                <c:pt idx="149">
                  <c:v>11.915236918461199</c:v>
                </c:pt>
                <c:pt idx="150">
                  <c:v>12.08706703727467</c:v>
                </c:pt>
                <c:pt idx="151">
                  <c:v>12.259814402594316</c:v>
                </c:pt>
                <c:pt idx="152">
                  <c:v>12.43346927347193</c:v>
                </c:pt>
                <c:pt idx="153">
                  <c:v>12.608021903109561</c:v>
                </c:pt>
                <c:pt idx="154">
                  <c:v>12.783462540463075</c:v>
                </c:pt>
                <c:pt idx="155">
                  <c:v>12.959781431811036</c:v>
                </c:pt>
                <c:pt idx="156">
                  <c:v>13.136968822289402</c:v>
                </c:pt>
                <c:pt idx="157">
                  <c:v>13.315014957392767</c:v>
                </c:pt>
                <c:pt idx="158">
                  <c:v>13.493910084442467</c:v>
                </c:pt>
                <c:pt idx="159">
                  <c:v>13.673644454022279</c:v>
                </c:pt>
                <c:pt idx="160">
                  <c:v>13.854208321382108</c:v>
                </c:pt>
                <c:pt idx="161">
                  <c:v>14.035591947810332</c:v>
                </c:pt>
                <c:pt idx="162">
                  <c:v>14.217785601975118</c:v>
                </c:pt>
                <c:pt idx="163">
                  <c:v>14.400779561235423</c:v>
                </c:pt>
                <c:pt idx="164">
                  <c:v>14.584564112922065</c:v>
                </c:pt>
                <c:pt idx="165">
                  <c:v>14.769129555589402</c:v>
                </c:pt>
                <c:pt idx="166">
                  <c:v>14.954466200238011</c:v>
                </c:pt>
                <c:pt idx="167">
                  <c:v>15.140564371508987</c:v>
                </c:pt>
                <c:pt idx="168">
                  <c:v>15.3274144088503</c:v>
                </c:pt>
                <c:pt idx="169">
                  <c:v>15.515006667655552</c:v>
                </c:pt>
                <c:pt idx="170">
                  <c:v>15.70333152037577</c:v>
                </c:pt>
                <c:pt idx="171">
                  <c:v>15.89237935760452</c:v>
                </c:pt>
                <c:pt idx="172">
                  <c:v>16.08214058913693</c:v>
                </c:pt>
                <c:pt idx="173">
                  <c:v>16.272605645003011</c:v>
                </c:pt>
                <c:pt idx="174">
                  <c:v>16.463764976475609</c:v>
                </c:pt>
                <c:pt idx="175">
                  <c:v>16.655609057053578</c:v>
                </c:pt>
                <c:pt idx="176">
                  <c:v>16.84812838342053</c:v>
                </c:pt>
                <c:pt idx="177">
                  <c:v>17.041313476379504</c:v>
                </c:pt>
                <c:pt idx="178">
                  <c:v>17.235154881763957</c:v>
                </c:pt>
                <c:pt idx="179">
                  <c:v>17.4296431713258</c:v>
                </c:pt>
                <c:pt idx="180">
                  <c:v>11.615667376929403</c:v>
                </c:pt>
                <c:pt idx="181">
                  <c:v>11.796607487876278</c:v>
                </c:pt>
                <c:pt idx="182">
                  <c:v>11.978651133791631</c:v>
                </c:pt>
                <c:pt idx="183">
                  <c:v>12.161786662202429</c:v>
                </c:pt>
                <c:pt idx="184">
                  <c:v>12.34600237723278</c:v>
                </c:pt>
                <c:pt idx="185">
                  <c:v>12.531286542600673</c:v>
                </c:pt>
                <c:pt idx="186">
                  <c:v>12.71762738456297</c:v>
                </c:pt>
                <c:pt idx="187">
                  <c:v>12.905013094809332</c:v>
                </c:pt>
                <c:pt idx="188">
                  <c:v>13.093431833305134</c:v>
                </c:pt>
                <c:pt idx="189">
                  <c:v>13.282871731083707</c:v>
                </c:pt>
                <c:pt idx="190">
                  <c:v>13.473320892988328</c:v>
                </c:pt>
                <c:pt idx="191">
                  <c:v>13.66476740036437</c:v>
                </c:pt>
                <c:pt idx="192">
                  <c:v>13.857199313701649</c:v>
                </c:pt>
                <c:pt idx="193">
                  <c:v>14.050604675227856</c:v>
                </c:pt>
                <c:pt idx="194">
                  <c:v>14.244971511452855</c:v>
                </c:pt>
                <c:pt idx="195">
                  <c:v>14.440287835664867</c:v>
                </c:pt>
                <c:pt idx="196">
                  <c:v>14.636541650378318</c:v>
                </c:pt>
                <c:pt idx="197">
                  <c:v>14.83372094973431</c:v>
                </c:pt>
                <c:pt idx="198">
                  <c:v>15.031813721853725</c:v>
                </c:pt>
                <c:pt idx="199">
                  <c:v>15.230807951143602</c:v>
                </c:pt>
                <c:pt idx="200">
                  <c:v>15.4306916205572</c:v>
                </c:pt>
                <c:pt idx="201">
                  <c:v>15.631452713808056</c:v>
                </c:pt>
                <c:pt idx="202">
                  <c:v>15.833079217538634</c:v>
                </c:pt>
                <c:pt idx="203">
                  <c:v>16.035559123443939</c:v>
                </c:pt>
                <c:pt idx="204">
                  <c:v>16.238880430350513</c:v>
                </c:pt>
                <c:pt idx="205">
                  <c:v>16.44303114625145</c:v>
                </c:pt>
                <c:pt idx="206">
                  <c:v>16.64799929029753</c:v>
                </c:pt>
                <c:pt idx="207">
                  <c:v>16.853772894745401</c:v>
                </c:pt>
                <c:pt idx="208">
                  <c:v>17.060340006862948</c:v>
                </c:pt>
                <c:pt idx="209">
                  <c:v>17.267688690792308</c:v>
                </c:pt>
                <c:pt idx="210">
                  <c:v>17.475807029371374</c:v>
                </c:pt>
                <c:pt idx="211">
                  <c:v>17.684683125913782</c:v>
                </c:pt>
                <c:pt idx="212">
                  <c:v>17.894305105948149</c:v>
                </c:pt>
                <c:pt idx="213">
                  <c:v>18.104661118917036</c:v>
                </c:pt>
                <c:pt idx="214">
                  <c:v>18.315739339836025</c:v>
                </c:pt>
                <c:pt idx="215">
                  <c:v>18.527527970913457</c:v>
                </c:pt>
                <c:pt idx="216">
                  <c:v>18.740015243131197</c:v>
                </c:pt>
                <c:pt idx="217">
                  <c:v>18.953189417787204</c:v>
                </c:pt>
                <c:pt idx="218">
                  <c:v>19.167038787999967</c:v>
                </c:pt>
                <c:pt idx="219">
                  <c:v>19.381551680175743</c:v>
                </c:pt>
                <c:pt idx="220">
                  <c:v>19.59671645543866</c:v>
                </c:pt>
                <c:pt idx="221">
                  <c:v>19.812521511024485</c:v>
                </c:pt>
                <c:pt idx="222">
                  <c:v>20.028955281638538</c:v>
                </c:pt>
                <c:pt idx="223">
                  <c:v>20.24600624077782</c:v>
                </c:pt>
                <c:pt idx="224">
                  <c:v>20.463662902018452</c:v>
                </c:pt>
                <c:pt idx="225">
                  <c:v>20.681913820268491</c:v>
                </c:pt>
                <c:pt idx="226">
                  <c:v>20.900747592986644</c:v>
                </c:pt>
                <c:pt idx="227">
                  <c:v>21.120152861367568</c:v>
                </c:pt>
                <c:pt idx="228">
                  <c:v>21.340118311493992</c:v>
                </c:pt>
                <c:pt idx="229">
                  <c:v>21.560632675456336</c:v>
                </c:pt>
                <c:pt idx="230">
                  <c:v>21.781684732440052</c:v>
                </c:pt>
                <c:pt idx="231">
                  <c:v>22.003263309781527</c:v>
                </c:pt>
                <c:pt idx="232">
                  <c:v>22.225357283992672</c:v>
                </c:pt>
                <c:pt idx="233">
                  <c:v>22.447955581754748</c:v>
                </c:pt>
                <c:pt idx="234">
                  <c:v>22.671047180882127</c:v>
                </c:pt>
                <c:pt idx="235">
                  <c:v>22.894621111256082</c:v>
                </c:pt>
                <c:pt idx="236">
                  <c:v>23.118666455729386</c:v>
                </c:pt>
                <c:pt idx="237">
                  <c:v>23.343172351001911</c:v>
                </c:pt>
                <c:pt idx="238">
                  <c:v>23.568127988468021</c:v>
                </c:pt>
                <c:pt idx="239">
                  <c:v>23.793522615035624</c:v>
                </c:pt>
                <c:pt idx="240">
                  <c:v>24.019345533918209</c:v>
                </c:pt>
                <c:pt idx="241">
                  <c:v>24.245586105399372</c:v>
                </c:pt>
                <c:pt idx="242">
                  <c:v>24.472233747570893</c:v>
                </c:pt>
                <c:pt idx="243">
                  <c:v>24.699277937044677</c:v>
                </c:pt>
                <c:pt idx="244">
                  <c:v>24.9267082096388</c:v>
                </c:pt>
                <c:pt idx="245">
                  <c:v>25.154514161038275</c:v>
                </c:pt>
                <c:pt idx="246">
                  <c:v>25.382685447430894</c:v>
                </c:pt>
                <c:pt idx="247">
                  <c:v>25.611211786118737</c:v>
                </c:pt>
                <c:pt idx="248">
                  <c:v>25.840082956105306</c:v>
                </c:pt>
                <c:pt idx="249">
                  <c:v>26.069288798659311</c:v>
                </c:pt>
                <c:pt idx="250">
                  <c:v>26.298819217855101</c:v>
                </c:pt>
                <c:pt idx="251">
                  <c:v>26.528664181090228</c:v>
                </c:pt>
                <c:pt idx="252">
                  <c:v>26.758813719580651</c:v>
                </c:pt>
                <c:pt idx="253">
                  <c:v>26.989257928833901</c:v>
                </c:pt>
                <c:pt idx="254">
                  <c:v>27.219986969100571</c:v>
                </c:pt>
                <c:pt idx="255">
                  <c:v>27.450991065804665</c:v>
                </c:pt>
                <c:pt idx="256">
                  <c:v>27.682260509953064</c:v>
                </c:pt>
                <c:pt idx="257">
                  <c:v>27.913785658524393</c:v>
                </c:pt>
                <c:pt idx="258">
                  <c:v>28.145556934838027</c:v>
                </c:pt>
                <c:pt idx="259">
                  <c:v>28.377564828903314</c:v>
                </c:pt>
                <c:pt idx="260">
                  <c:v>28.60979989774928</c:v>
                </c:pt>
                <c:pt idx="261">
                  <c:v>28.84225276573574</c:v>
                </c:pt>
                <c:pt idx="262">
                  <c:v>29.074914124845304</c:v>
                </c:pt>
                <c:pt idx="263">
                  <c:v>29.3077747349577</c:v>
                </c:pt>
                <c:pt idx="264">
                  <c:v>29.540825424105762</c:v>
                </c:pt>
                <c:pt idx="265">
                  <c:v>29.774057088714081</c:v>
                </c:pt>
                <c:pt idx="266">
                  <c:v>30.007460693820391</c:v>
                </c:pt>
                <c:pt idx="267">
                  <c:v>30.241027273280245</c:v>
                </c:pt>
                <c:pt idx="268">
                  <c:v>30.474747929955004</c:v>
                </c:pt>
                <c:pt idx="269">
                  <c:v>30.708613835883643</c:v>
                </c:pt>
                <c:pt idx="270">
                  <c:v>30.942616232438986</c:v>
                </c:pt>
                <c:pt idx="271">
                  <c:v>31.176746430468103</c:v>
                </c:pt>
                <c:pt idx="272">
                  <c:v>31.410995810417621</c:v>
                </c:pt>
                <c:pt idx="273">
                  <c:v>31.64535582244428</c:v>
                </c:pt>
                <c:pt idx="274">
                  <c:v>31.879817986510695</c:v>
                </c:pt>
                <c:pt idx="275">
                  <c:v>32.114373892467036</c:v>
                </c:pt>
                <c:pt idx="276">
                  <c:v>32.349015200118771</c:v>
                </c:pt>
                <c:pt idx="277">
                  <c:v>32.583733639280638</c:v>
                </c:pt>
                <c:pt idx="278">
                  <c:v>32.818521009817267</c:v>
                </c:pt>
                <c:pt idx="279">
                  <c:v>33.053369181670874</c:v>
                </c:pt>
                <c:pt idx="280">
                  <c:v>33.288270094876225</c:v>
                </c:pt>
                <c:pt idx="281">
                  <c:v>33.523215759562753</c:v>
                </c:pt>
                <c:pt idx="282">
                  <c:v>33.758198255944997</c:v>
                </c:pt>
                <c:pt idx="283">
                  <c:v>33.993209734300727</c:v>
                </c:pt>
                <c:pt idx="284">
                  <c:v>34.228242414937526</c:v>
                </c:pt>
                <c:pt idx="285">
                  <c:v>34.463288588148131</c:v>
                </c:pt>
                <c:pt idx="286">
                  <c:v>34.698340614154439</c:v>
                </c:pt>
                <c:pt idx="287">
                  <c:v>34.933390923040839</c:v>
                </c:pt>
                <c:pt idx="288">
                  <c:v>35.168432014676853</c:v>
                </c:pt>
                <c:pt idx="289">
                  <c:v>35.40345645862952</c:v>
                </c:pt>
                <c:pt idx="290">
                  <c:v>35.638456894065548</c:v>
                </c:pt>
                <c:pt idx="291">
                  <c:v>35.873426029643802</c:v>
                </c:pt>
                <c:pt idx="292">
                  <c:v>36.108356643398125</c:v>
                </c:pt>
                <c:pt idx="293">
                  <c:v>36.343241582610723</c:v>
                </c:pt>
                <c:pt idx="294">
                  <c:v>36.578073763676528</c:v>
                </c:pt>
                <c:pt idx="295">
                  <c:v>36.812846171958675</c:v>
                </c:pt>
                <c:pt idx="296">
                  <c:v>37.047551861635192</c:v>
                </c:pt>
                <c:pt idx="297">
                  <c:v>37.28218395553742</c:v>
                </c:pt>
                <c:pt idx="298">
                  <c:v>37.516735644980187</c:v>
                </c:pt>
                <c:pt idx="299">
                  <c:v>37.751200189583706</c:v>
                </c:pt>
                <c:pt idx="300">
                  <c:v>37.985570917088232</c:v>
                </c:pt>
                <c:pt idx="301">
                  <c:v>38.219841223160664</c:v>
                </c:pt>
                <c:pt idx="302">
                  <c:v>38.454004571193906</c:v>
                </c:pt>
                <c:pt idx="303">
                  <c:v>38.688054492099276</c:v>
                </c:pt>
                <c:pt idx="304">
                  <c:v>38.92198458409176</c:v>
                </c:pt>
                <c:pt idx="305">
                  <c:v>39.155788512468355</c:v>
                </c:pt>
                <c:pt idx="306">
                  <c:v>39.389460009380386</c:v>
                </c:pt>
                <c:pt idx="307">
                  <c:v>39.622992873598776</c:v>
                </c:pt>
                <c:pt idx="308">
                  <c:v>39.856380970273584</c:v>
                </c:pt>
                <c:pt idx="309">
                  <c:v>40.089618230687471</c:v>
                </c:pt>
                <c:pt idx="310">
                  <c:v>40.322698652003133</c:v>
                </c:pt>
                <c:pt idx="311">
                  <c:v>40.555616297005301</c:v>
                </c:pt>
                <c:pt idx="312">
                  <c:v>40.788365293837266</c:v>
                </c:pt>
                <c:pt idx="313">
                  <c:v>41.02093983573198</c:v>
                </c:pt>
                <c:pt idx="314">
                  <c:v>41.253334180738051</c:v>
                </c:pt>
                <c:pt idx="315">
                  <c:v>41.48554265144098</c:v>
                </c:pt>
                <c:pt idx="316">
                  <c:v>41.717559634679326</c:v>
                </c:pt>
                <c:pt idx="317">
                  <c:v>41.949379581256366</c:v>
                </c:pt>
                <c:pt idx="318">
                  <c:v>42.180997005647328</c:v>
                </c:pt>
                <c:pt idx="319">
                  <c:v>42.412406485702128</c:v>
                </c:pt>
                <c:pt idx="320">
                  <c:v>42.643602662344172</c:v>
                </c:pt>
                <c:pt idx="321">
                  <c:v>42.874580239264986</c:v>
                </c:pt>
                <c:pt idx="322">
                  <c:v>43.105333982614866</c:v>
                </c:pt>
                <c:pt idx="323">
                  <c:v>43.335858720690041</c:v>
                </c:pt>
                <c:pt idx="324">
                  <c:v>43.566149343616146</c:v>
                </c:pt>
                <c:pt idx="325">
                  <c:v>43.796200803028078</c:v>
                </c:pt>
                <c:pt idx="326">
                  <c:v>44.026008111746819</c:v>
                </c:pt>
                <c:pt idx="327">
                  <c:v>44.255566343452799</c:v>
                </c:pt>
                <c:pt idx="328">
                  <c:v>44.484870632356518</c:v>
                </c:pt>
                <c:pt idx="329">
                  <c:v>44.713916172865787</c:v>
                </c:pt>
                <c:pt idx="330">
                  <c:v>44.942698219250765</c:v>
                </c:pt>
                <c:pt idx="331">
                  <c:v>45.171212085305683</c:v>
                </c:pt>
                <c:pt idx="332">
                  <c:v>45.399453144008582</c:v>
                </c:pt>
                <c:pt idx="333">
                  <c:v>45.627416827178166</c:v>
                </c:pt>
                <c:pt idx="334">
                  <c:v>45.855098625128662</c:v>
                </c:pt>
                <c:pt idx="335">
                  <c:v>46.082494086322257</c:v>
                </c:pt>
                <c:pt idx="336">
                  <c:v>46.309598817019513</c:v>
                </c:pt>
                <c:pt idx="337">
                  <c:v>46.536408480927847</c:v>
                </c:pt>
                <c:pt idx="338">
                  <c:v>46.76291879884802</c:v>
                </c:pt>
                <c:pt idx="339">
                  <c:v>46.989125548318974</c:v>
                </c:pt>
                <c:pt idx="340">
                  <c:v>47.215024563260954</c:v>
                </c:pt>
                <c:pt idx="341">
                  <c:v>47.440611733616912</c:v>
                </c:pt>
                <c:pt idx="342">
                  <c:v>47.665883004992736</c:v>
                </c:pt>
                <c:pt idx="343">
                  <c:v>47.89083437829585</c:v>
                </c:pt>
                <c:pt idx="344">
                  <c:v>48.115461909372534</c:v>
                </c:pt>
                <c:pt idx="345">
                  <c:v>48.339761708644353</c:v>
                </c:pt>
                <c:pt idx="346">
                  <c:v>48.563729940743123</c:v>
                </c:pt>
                <c:pt idx="347">
                  <c:v>48.787362824144964</c:v>
                </c:pt>
                <c:pt idx="348">
                  <c:v>49.010656630803624</c:v>
                </c:pt>
                <c:pt idx="349">
                  <c:v>49.233607685782779</c:v>
                </c:pt>
                <c:pt idx="350">
                  <c:v>49.456212366887492</c:v>
                </c:pt>
                <c:pt idx="351">
                  <c:v>49.678467104295329</c:v>
                </c:pt>
                <c:pt idx="352">
                  <c:v>49.900368380186578</c:v>
                </c:pt>
                <c:pt idx="353">
                  <c:v>50.121912728373914</c:v>
                </c:pt>
                <c:pt idx="354">
                  <c:v>50.343096733932036</c:v>
                </c:pt>
                <c:pt idx="355">
                  <c:v>50.563917032826382</c:v>
                </c:pt>
                <c:pt idx="356">
                  <c:v>50.78437031154197</c:v>
                </c:pt>
                <c:pt idx="357">
                  <c:v>51.004453306711795</c:v>
                </c:pt>
                <c:pt idx="358">
                  <c:v>51.224162804745234</c:v>
                </c:pt>
                <c:pt idx="359">
                  <c:v>51.44349564145606</c:v>
                </c:pt>
                <c:pt idx="360">
                  <c:v>51.662448701690863</c:v>
                </c:pt>
                <c:pt idx="361">
                  <c:v>51.881018918957125</c:v>
                </c:pt>
                <c:pt idx="362">
                  <c:v>52.099203275051636</c:v>
                </c:pt>
                <c:pt idx="363">
                  <c:v>52.316998799688974</c:v>
                </c:pt>
                <c:pt idx="364">
                  <c:v>52.534402570130162</c:v>
                </c:pt>
                <c:pt idx="365">
                  <c:v>52.751411710811766</c:v>
                </c:pt>
                <c:pt idx="366">
                  <c:v>52.968023392975248</c:v>
                </c:pt>
                <c:pt idx="367">
                  <c:v>53.18423483429661</c:v>
                </c:pt>
                <c:pt idx="368">
                  <c:v>53.400043298516628</c:v>
                </c:pt>
                <c:pt idx="369">
                  <c:v>53.615446095071576</c:v>
                </c:pt>
                <c:pt idx="370">
                  <c:v>53.830440578724414</c:v>
                </c:pt>
                <c:pt idx="371">
                  <c:v>54.045024149196699</c:v>
                </c:pt>
                <c:pt idx="372">
                  <c:v>54.259194250800924</c:v>
                </c:pt>
                <c:pt idx="373">
                  <c:v>54.472948372073894</c:v>
                </c:pt>
                <c:pt idx="374">
                  <c:v>54.686284045410559</c:v>
                </c:pt>
                <c:pt idx="375">
                  <c:v>54.899198846698795</c:v>
                </c:pt>
                <c:pt idx="376">
                  <c:v>55.111690394954792</c:v>
                </c:pt>
                <c:pt idx="377">
                  <c:v>55.323756351959759</c:v>
                </c:pt>
                <c:pt idx="378">
                  <c:v>55.535394421896981</c:v>
                </c:pt>
                <c:pt idx="379">
                  <c:v>55.746602350990429</c:v>
                </c:pt>
                <c:pt idx="380">
                  <c:v>55.957377927143689</c:v>
                </c:pt>
                <c:pt idx="381">
                  <c:v>56.167718979580648</c:v>
                </c:pt>
                <c:pt idx="382">
                  <c:v>56.377623378486703</c:v>
                </c:pt>
                <c:pt idx="383">
                  <c:v>56.587089034651235</c:v>
                </c:pt>
                <c:pt idx="384">
                  <c:v>56.796113899111383</c:v>
                </c:pt>
                <c:pt idx="385">
                  <c:v>57.004695962796752</c:v>
                </c:pt>
                <c:pt idx="386">
                  <c:v>57.212833256175564</c:v>
                </c:pt>
                <c:pt idx="387">
                  <c:v>57.420523848901752</c:v>
                </c:pt>
                <c:pt idx="388">
                  <c:v>57.627765849463628</c:v>
                </c:pt>
                <c:pt idx="389">
                  <c:v>57.834557404833625</c:v>
                </c:pt>
                <c:pt idx="390">
                  <c:v>58.040896700119589</c:v>
                </c:pt>
                <c:pt idx="391">
                  <c:v>58.246781958217092</c:v>
                </c:pt>
                <c:pt idx="392">
                  <c:v>58.452211439463497</c:v>
                </c:pt>
                <c:pt idx="393">
                  <c:v>58.657183441293149</c:v>
                </c:pt>
                <c:pt idx="394">
                  <c:v>58.86169629789412</c:v>
                </c:pt>
                <c:pt idx="395">
                  <c:v>59.065748379866555</c:v>
                </c:pt>
                <c:pt idx="396">
                  <c:v>59.269338093882119</c:v>
                </c:pt>
                <c:pt idx="397">
                  <c:v>59.472463882345245</c:v>
                </c:pt>
                <c:pt idx="398">
                  <c:v>59.67512422305596</c:v>
                </c:pt>
                <c:pt idx="399">
                  <c:v>59.877317628873854</c:v>
                </c:pt>
                <c:pt idx="400">
                  <c:v>60.07904264738427</c:v>
                </c:pt>
                <c:pt idx="401">
                  <c:v>60.280297860565319</c:v>
                </c:pt>
                <c:pt idx="402">
                  <c:v>60.481081884457168</c:v>
                </c:pt>
                <c:pt idx="403">
                  <c:v>60.681393368832417</c:v>
                </c:pt>
                <c:pt idx="404">
                  <c:v>60.881230996868645</c:v>
                </c:pt>
                <c:pt idx="405">
                  <c:v>61.080593484822025</c:v>
                </c:pt>
                <c:pt idx="406">
                  <c:v>61.279479581703129</c:v>
                </c:pt>
                <c:pt idx="407">
                  <c:v>61.477888068954108</c:v>
                </c:pt>
                <c:pt idx="408">
                  <c:v>61.675817760127764</c:v>
                </c:pt>
                <c:pt idx="409">
                  <c:v>61.873267500568055</c:v>
                </c:pt>
                <c:pt idx="410">
                  <c:v>62.070236167092702</c:v>
                </c:pt>
                <c:pt idx="411">
                  <c:v>62.266722667677335</c:v>
                </c:pt>
                <c:pt idx="412">
                  <c:v>62.462725941141237</c:v>
                </c:pt>
                <c:pt idx="413">
                  <c:v>62.658244956835262</c:v>
                </c:pt>
                <c:pt idx="414">
                  <c:v>62.853278714331083</c:v>
                </c:pt>
                <c:pt idx="415">
                  <c:v>63.047826243112631</c:v>
                </c:pt>
                <c:pt idx="416">
                  <c:v>63.241886602268991</c:v>
                </c:pt>
                <c:pt idx="417">
                  <c:v>63.435458880189266</c:v>
                </c:pt>
                <c:pt idx="418">
                  <c:v>63.628542194259261</c:v>
                </c:pt>
                <c:pt idx="419">
                  <c:v>63.821135690560006</c:v>
                </c:pt>
                <c:pt idx="420">
                  <c:v>64.013238543567965</c:v>
                </c:pt>
                <c:pt idx="421">
                  <c:v>64.204849955857242</c:v>
                </c:pt>
                <c:pt idx="422">
                  <c:v>64.39596915780362</c:v>
                </c:pt>
                <c:pt idx="423">
                  <c:v>64.586595407290247</c:v>
                </c:pt>
                <c:pt idx="424">
                  <c:v>64.776727989415448</c:v>
                </c:pt>
                <c:pt idx="425">
                  <c:v>64.966366216202275</c:v>
                </c:pt>
                <c:pt idx="426">
                  <c:v>65.155509426309834</c:v>
                </c:pt>
                <c:pt idx="427">
                  <c:v>65.344156984746718</c:v>
                </c:pt>
                <c:pt idx="428">
                  <c:v>65.532308282585973</c:v>
                </c:pt>
                <c:pt idx="429">
                  <c:v>65.719962736682319</c:v>
                </c:pt>
                <c:pt idx="430">
                  <c:v>65.907119789390876</c:v>
                </c:pt>
                <c:pt idx="431">
                  <c:v>66.093778908288201</c:v>
                </c:pt>
                <c:pt idx="432">
                  <c:v>66.279939585894752</c:v>
                </c:pt>
                <c:pt idx="433">
                  <c:v>66.465601339399441</c:v>
                </c:pt>
                <c:pt idx="434">
                  <c:v>66.650763710386386</c:v>
                </c:pt>
                <c:pt idx="435">
                  <c:v>66.835426264562884</c:v>
                </c:pt>
                <c:pt idx="436">
                  <c:v>67.01958859148985</c:v>
                </c:pt>
                <c:pt idx="437">
                  <c:v>67.203250304313968</c:v>
                </c:pt>
                <c:pt idx="438">
                  <c:v>67.38641103950151</c:v>
                </c:pt>
                <c:pt idx="439">
                  <c:v>67.569070456574465</c:v>
                </c:pt>
                <c:pt idx="440">
                  <c:v>67.751228237848153</c:v>
                </c:pt>
                <c:pt idx="441">
                  <c:v>67.932884088171107</c:v>
                </c:pt>
                <c:pt idx="442">
                  <c:v>68.114037734666383</c:v>
                </c:pt>
                <c:pt idx="443">
                  <c:v>68.294688926475317</c:v>
                </c:pt>
                <c:pt idx="444">
                  <c:v>68.474837434502533</c:v>
                </c:pt>
                <c:pt idx="445">
                  <c:v>68.654483051163453</c:v>
                </c:pt>
                <c:pt idx="446">
                  <c:v>68.833625590133309</c:v>
                </c:pt>
                <c:pt idx="447">
                  <c:v>69.012264886098038</c:v>
                </c:pt>
                <c:pt idx="448">
                  <c:v>69.190400794507227</c:v>
                </c:pt>
                <c:pt idx="449">
                  <c:v>69.368033191328891</c:v>
                </c:pt>
                <c:pt idx="450">
                  <c:v>69.545161972805971</c:v>
                </c:pt>
                <c:pt idx="451">
                  <c:v>69.721787055214747</c:v>
                </c:pt>
                <c:pt idx="452">
                  <c:v>69.897908374625388</c:v>
                </c:pt>
                <c:pt idx="453">
                  <c:v>70.073525886663958</c:v>
                </c:pt>
                <c:pt idx="454">
                  <c:v>70.248639566276367</c:v>
                </c:pt>
                <c:pt idx="455">
                  <c:v>70.423249407494595</c:v>
                </c:pt>
                <c:pt idx="456">
                  <c:v>70.597355423204021</c:v>
                </c:pt>
                <c:pt idx="457">
                  <c:v>70.770957644913295</c:v>
                </c:pt>
                <c:pt idx="458">
                  <c:v>70.944056122525581</c:v>
                </c:pt>
                <c:pt idx="459">
                  <c:v>71.116650924111767</c:v>
                </c:pt>
                <c:pt idx="460">
                  <c:v>71.288742135685695</c:v>
                </c:pt>
                <c:pt idx="461">
                  <c:v>71.460329860980877</c:v>
                </c:pt>
                <c:pt idx="462">
                  <c:v>71.631414221229164</c:v>
                </c:pt>
                <c:pt idx="463">
                  <c:v>71.801995354941454</c:v>
                </c:pt>
                <c:pt idx="464">
                  <c:v>71.972073417689685</c:v>
                </c:pt>
                <c:pt idx="465">
                  <c:v>72.141648581891161</c:v>
                </c:pt>
                <c:pt idx="466">
                  <c:v>72.310721036594273</c:v>
                </c:pt>
                <c:pt idx="467">
                  <c:v>72.479290987266268</c:v>
                </c:pt>
                <c:pt idx="468">
                  <c:v>72.64735865558265</c:v>
                </c:pt>
                <c:pt idx="469">
                  <c:v>72.814924279218275</c:v>
                </c:pt>
                <c:pt idx="470">
                  <c:v>72.98198811164049</c:v>
                </c:pt>
                <c:pt idx="471">
                  <c:v>73.148550421903693</c:v>
                </c:pt>
                <c:pt idx="472">
                  <c:v>73.314611494445828</c:v>
                </c:pt>
                <c:pt idx="473">
                  <c:v>73.48017162888668</c:v>
                </c:pt>
                <c:pt idx="474">
                  <c:v>73.645231139827686</c:v>
                </c:pt>
                <c:pt idx="475">
                  <c:v>73.809790356653636</c:v>
                </c:pt>
                <c:pt idx="476">
                  <c:v>73.973849623336093</c:v>
                </c:pt>
                <c:pt idx="477">
                  <c:v>74.137409298238254</c:v>
                </c:pt>
                <c:pt idx="478">
                  <c:v>74.300469753922116</c:v>
                </c:pt>
                <c:pt idx="479">
                  <c:v>74.46303137695665</c:v>
                </c:pt>
              </c:numCache>
            </c:numRef>
          </c:yVal>
          <c:smooth val="0"/>
          <c:extLst>
            <c:ext xmlns:c16="http://schemas.microsoft.com/office/drawing/2014/chart" uri="{C3380CC4-5D6E-409C-BE32-E72D297353CC}">
              <c16:uniqueId val="{00000001-19AE-47C4-B655-56987C594259}"/>
            </c:ext>
          </c:extLst>
        </c:ser>
        <c:dLbls>
          <c:showLegendKey val="0"/>
          <c:showVal val="0"/>
          <c:showCatName val="0"/>
          <c:showSerName val="0"/>
          <c:showPercent val="0"/>
          <c:showBubbleSize val="0"/>
        </c:dLbls>
        <c:axId val="571412608"/>
        <c:axId val="917020512"/>
      </c:scatterChart>
      <c:scatterChart>
        <c:scatterStyle val="lineMarker"/>
        <c:varyColors val="0"/>
        <c:ser>
          <c:idx val="1"/>
          <c:order val="2"/>
          <c:tx>
            <c:strRef>
              <c:f>'Figures B1-B3'!$B$10</c:f>
              <c:strCache>
                <c:ptCount val="1"/>
                <c:pt idx="0">
                  <c:v>index of suppression</c:v>
                </c:pt>
              </c:strCache>
            </c:strRef>
          </c:tx>
          <c:spPr>
            <a:ln w="15875" cap="rnd">
              <a:solidFill>
                <a:srgbClr val="FD8D3C"/>
              </a:solidFill>
              <a:prstDash val="sysDash"/>
              <a:round/>
            </a:ln>
            <a:effectLst/>
          </c:spPr>
          <c:marker>
            <c:symbol val="none"/>
          </c:marker>
          <c:xVal>
            <c:numRef>
              <c:f>'Figures B1-B3'!$GC$7:$RP$7</c:f>
              <c:numCache>
                <c:formatCode>#,##0.00</c:formatCode>
                <c:ptCount val="300"/>
                <c:pt idx="0">
                  <c:v>15.083333333333334</c:v>
                </c:pt>
                <c:pt idx="1">
                  <c:v>15.166666666666666</c:v>
                </c:pt>
                <c:pt idx="2">
                  <c:v>15.25</c:v>
                </c:pt>
                <c:pt idx="3">
                  <c:v>15.333333333333334</c:v>
                </c:pt>
                <c:pt idx="4">
                  <c:v>15.416666666666666</c:v>
                </c:pt>
                <c:pt idx="5">
                  <c:v>15.5</c:v>
                </c:pt>
                <c:pt idx="6">
                  <c:v>15.583333333333334</c:v>
                </c:pt>
                <c:pt idx="7">
                  <c:v>15.666666666666666</c:v>
                </c:pt>
                <c:pt idx="8">
                  <c:v>15.75</c:v>
                </c:pt>
                <c:pt idx="9">
                  <c:v>15.833333333333334</c:v>
                </c:pt>
                <c:pt idx="10">
                  <c:v>15.916666666666666</c:v>
                </c:pt>
                <c:pt idx="11">
                  <c:v>16</c:v>
                </c:pt>
                <c:pt idx="12">
                  <c:v>16.083333333333332</c:v>
                </c:pt>
                <c:pt idx="13">
                  <c:v>16.166666666666668</c:v>
                </c:pt>
                <c:pt idx="14">
                  <c:v>16.25</c:v>
                </c:pt>
                <c:pt idx="15">
                  <c:v>16.333333333333332</c:v>
                </c:pt>
                <c:pt idx="16">
                  <c:v>16.416666666666668</c:v>
                </c:pt>
                <c:pt idx="17">
                  <c:v>16.5</c:v>
                </c:pt>
                <c:pt idx="18">
                  <c:v>16.583333333333332</c:v>
                </c:pt>
                <c:pt idx="19">
                  <c:v>16.666666666666668</c:v>
                </c:pt>
                <c:pt idx="20">
                  <c:v>16.75</c:v>
                </c:pt>
                <c:pt idx="21">
                  <c:v>16.833333333333332</c:v>
                </c:pt>
                <c:pt idx="22">
                  <c:v>16.916666666666668</c:v>
                </c:pt>
                <c:pt idx="23">
                  <c:v>17</c:v>
                </c:pt>
                <c:pt idx="24">
                  <c:v>17.083333333333332</c:v>
                </c:pt>
                <c:pt idx="25">
                  <c:v>17.166666666666668</c:v>
                </c:pt>
                <c:pt idx="26">
                  <c:v>17.25</c:v>
                </c:pt>
                <c:pt idx="27">
                  <c:v>17.333333333333332</c:v>
                </c:pt>
                <c:pt idx="28">
                  <c:v>17.416666666666668</c:v>
                </c:pt>
                <c:pt idx="29">
                  <c:v>17.5</c:v>
                </c:pt>
                <c:pt idx="30">
                  <c:v>17.583333333333332</c:v>
                </c:pt>
                <c:pt idx="31">
                  <c:v>17.666666666666668</c:v>
                </c:pt>
                <c:pt idx="32">
                  <c:v>17.75</c:v>
                </c:pt>
                <c:pt idx="33">
                  <c:v>17.833333333333332</c:v>
                </c:pt>
                <c:pt idx="34">
                  <c:v>17.916666666666668</c:v>
                </c:pt>
                <c:pt idx="35">
                  <c:v>18</c:v>
                </c:pt>
                <c:pt idx="36">
                  <c:v>18.083333333333332</c:v>
                </c:pt>
                <c:pt idx="37">
                  <c:v>18.166666666666668</c:v>
                </c:pt>
                <c:pt idx="38">
                  <c:v>18.25</c:v>
                </c:pt>
                <c:pt idx="39">
                  <c:v>18.333333333333332</c:v>
                </c:pt>
                <c:pt idx="40">
                  <c:v>18.416666666666668</c:v>
                </c:pt>
                <c:pt idx="41">
                  <c:v>18.5</c:v>
                </c:pt>
                <c:pt idx="42">
                  <c:v>18.583333333333332</c:v>
                </c:pt>
                <c:pt idx="43">
                  <c:v>18.666666666666668</c:v>
                </c:pt>
                <c:pt idx="44">
                  <c:v>18.75</c:v>
                </c:pt>
                <c:pt idx="45">
                  <c:v>18.833333333333332</c:v>
                </c:pt>
                <c:pt idx="46">
                  <c:v>18.916666666666668</c:v>
                </c:pt>
                <c:pt idx="47">
                  <c:v>19</c:v>
                </c:pt>
                <c:pt idx="48">
                  <c:v>19.083333333333332</c:v>
                </c:pt>
                <c:pt idx="49">
                  <c:v>19.166666666666668</c:v>
                </c:pt>
                <c:pt idx="50">
                  <c:v>19.25</c:v>
                </c:pt>
                <c:pt idx="51">
                  <c:v>19.333333333333332</c:v>
                </c:pt>
                <c:pt idx="52">
                  <c:v>19.416666666666668</c:v>
                </c:pt>
                <c:pt idx="53">
                  <c:v>19.5</c:v>
                </c:pt>
                <c:pt idx="54">
                  <c:v>19.583333333333332</c:v>
                </c:pt>
                <c:pt idx="55">
                  <c:v>19.666666666666668</c:v>
                </c:pt>
                <c:pt idx="56">
                  <c:v>19.75</c:v>
                </c:pt>
                <c:pt idx="57">
                  <c:v>19.833333333333332</c:v>
                </c:pt>
                <c:pt idx="58">
                  <c:v>19.916666666666668</c:v>
                </c:pt>
                <c:pt idx="59">
                  <c:v>20</c:v>
                </c:pt>
                <c:pt idx="60">
                  <c:v>20.083333333333332</c:v>
                </c:pt>
                <c:pt idx="61">
                  <c:v>20.166666666666668</c:v>
                </c:pt>
                <c:pt idx="62">
                  <c:v>20.25</c:v>
                </c:pt>
                <c:pt idx="63">
                  <c:v>20.333333333333332</c:v>
                </c:pt>
                <c:pt idx="64">
                  <c:v>20.416666666666668</c:v>
                </c:pt>
                <c:pt idx="65">
                  <c:v>20.5</c:v>
                </c:pt>
                <c:pt idx="66">
                  <c:v>20.583333333333332</c:v>
                </c:pt>
                <c:pt idx="67">
                  <c:v>20.666666666666668</c:v>
                </c:pt>
                <c:pt idx="68">
                  <c:v>20.75</c:v>
                </c:pt>
                <c:pt idx="69">
                  <c:v>20.833333333333332</c:v>
                </c:pt>
                <c:pt idx="70">
                  <c:v>20.916666666666668</c:v>
                </c:pt>
                <c:pt idx="71">
                  <c:v>21</c:v>
                </c:pt>
                <c:pt idx="72">
                  <c:v>21.083333333333332</c:v>
                </c:pt>
                <c:pt idx="73">
                  <c:v>21.166666666666668</c:v>
                </c:pt>
                <c:pt idx="74">
                  <c:v>21.25</c:v>
                </c:pt>
                <c:pt idx="75">
                  <c:v>21.333333333333332</c:v>
                </c:pt>
                <c:pt idx="76">
                  <c:v>21.416666666666668</c:v>
                </c:pt>
                <c:pt idx="77">
                  <c:v>21.5</c:v>
                </c:pt>
                <c:pt idx="78">
                  <c:v>21.583333333333332</c:v>
                </c:pt>
                <c:pt idx="79">
                  <c:v>21.666666666666668</c:v>
                </c:pt>
                <c:pt idx="80">
                  <c:v>21.75</c:v>
                </c:pt>
                <c:pt idx="81">
                  <c:v>21.833333333333332</c:v>
                </c:pt>
                <c:pt idx="82">
                  <c:v>21.916666666666668</c:v>
                </c:pt>
                <c:pt idx="83">
                  <c:v>22</c:v>
                </c:pt>
                <c:pt idx="84">
                  <c:v>22.083333333333332</c:v>
                </c:pt>
                <c:pt idx="85">
                  <c:v>22.166666666666668</c:v>
                </c:pt>
                <c:pt idx="86">
                  <c:v>22.25</c:v>
                </c:pt>
                <c:pt idx="87">
                  <c:v>22.333333333333332</c:v>
                </c:pt>
                <c:pt idx="88">
                  <c:v>22.416666666666668</c:v>
                </c:pt>
                <c:pt idx="89">
                  <c:v>22.5</c:v>
                </c:pt>
                <c:pt idx="90">
                  <c:v>22.583333333333332</c:v>
                </c:pt>
                <c:pt idx="91">
                  <c:v>22.666666666666668</c:v>
                </c:pt>
                <c:pt idx="92">
                  <c:v>22.75</c:v>
                </c:pt>
                <c:pt idx="93">
                  <c:v>22.833333333333332</c:v>
                </c:pt>
                <c:pt idx="94">
                  <c:v>22.916666666666668</c:v>
                </c:pt>
                <c:pt idx="95">
                  <c:v>23</c:v>
                </c:pt>
                <c:pt idx="96">
                  <c:v>23.083333333333332</c:v>
                </c:pt>
                <c:pt idx="97">
                  <c:v>23.166666666666668</c:v>
                </c:pt>
                <c:pt idx="98">
                  <c:v>23.25</c:v>
                </c:pt>
                <c:pt idx="99">
                  <c:v>23.333333333333332</c:v>
                </c:pt>
                <c:pt idx="100">
                  <c:v>23.416666666666668</c:v>
                </c:pt>
                <c:pt idx="101">
                  <c:v>23.5</c:v>
                </c:pt>
                <c:pt idx="102">
                  <c:v>23.583333333333332</c:v>
                </c:pt>
                <c:pt idx="103">
                  <c:v>23.666666666666668</c:v>
                </c:pt>
                <c:pt idx="104">
                  <c:v>23.75</c:v>
                </c:pt>
                <c:pt idx="105">
                  <c:v>23.833333333333332</c:v>
                </c:pt>
                <c:pt idx="106">
                  <c:v>23.916666666666668</c:v>
                </c:pt>
                <c:pt idx="107">
                  <c:v>24</c:v>
                </c:pt>
                <c:pt idx="108">
                  <c:v>24.083333333333332</c:v>
                </c:pt>
                <c:pt idx="109">
                  <c:v>24.166666666666668</c:v>
                </c:pt>
                <c:pt idx="110">
                  <c:v>24.25</c:v>
                </c:pt>
                <c:pt idx="111">
                  <c:v>24.333333333333332</c:v>
                </c:pt>
                <c:pt idx="112">
                  <c:v>24.416666666666668</c:v>
                </c:pt>
                <c:pt idx="113">
                  <c:v>24.5</c:v>
                </c:pt>
                <c:pt idx="114">
                  <c:v>24.583333333333332</c:v>
                </c:pt>
                <c:pt idx="115">
                  <c:v>24.666666666666668</c:v>
                </c:pt>
                <c:pt idx="116">
                  <c:v>24.75</c:v>
                </c:pt>
                <c:pt idx="117">
                  <c:v>24.833333333333332</c:v>
                </c:pt>
                <c:pt idx="118">
                  <c:v>24.916666666666668</c:v>
                </c:pt>
                <c:pt idx="119">
                  <c:v>25</c:v>
                </c:pt>
                <c:pt idx="120">
                  <c:v>25.083333333333332</c:v>
                </c:pt>
                <c:pt idx="121">
                  <c:v>25.166666666666668</c:v>
                </c:pt>
                <c:pt idx="122">
                  <c:v>25.25</c:v>
                </c:pt>
                <c:pt idx="123">
                  <c:v>25.333333333333332</c:v>
                </c:pt>
                <c:pt idx="124">
                  <c:v>25.416666666666668</c:v>
                </c:pt>
                <c:pt idx="125">
                  <c:v>25.5</c:v>
                </c:pt>
                <c:pt idx="126">
                  <c:v>25.583333333333332</c:v>
                </c:pt>
                <c:pt idx="127">
                  <c:v>25.666666666666668</c:v>
                </c:pt>
                <c:pt idx="128">
                  <c:v>25.75</c:v>
                </c:pt>
                <c:pt idx="129">
                  <c:v>25.833333333333332</c:v>
                </c:pt>
                <c:pt idx="130">
                  <c:v>25.916666666666668</c:v>
                </c:pt>
                <c:pt idx="131">
                  <c:v>26</c:v>
                </c:pt>
                <c:pt idx="132">
                  <c:v>26.083333333333332</c:v>
                </c:pt>
                <c:pt idx="133">
                  <c:v>26.166666666666668</c:v>
                </c:pt>
                <c:pt idx="134">
                  <c:v>26.25</c:v>
                </c:pt>
                <c:pt idx="135">
                  <c:v>26.333333333333332</c:v>
                </c:pt>
                <c:pt idx="136">
                  <c:v>26.416666666666668</c:v>
                </c:pt>
                <c:pt idx="137">
                  <c:v>26.5</c:v>
                </c:pt>
                <c:pt idx="138">
                  <c:v>26.583333333333332</c:v>
                </c:pt>
                <c:pt idx="139">
                  <c:v>26.666666666666668</c:v>
                </c:pt>
                <c:pt idx="140">
                  <c:v>26.75</c:v>
                </c:pt>
                <c:pt idx="141">
                  <c:v>26.833333333333332</c:v>
                </c:pt>
                <c:pt idx="142">
                  <c:v>26.916666666666668</c:v>
                </c:pt>
                <c:pt idx="143">
                  <c:v>27</c:v>
                </c:pt>
                <c:pt idx="144">
                  <c:v>27.083333333333332</c:v>
                </c:pt>
                <c:pt idx="145">
                  <c:v>27.166666666666668</c:v>
                </c:pt>
                <c:pt idx="146">
                  <c:v>27.25</c:v>
                </c:pt>
                <c:pt idx="147">
                  <c:v>27.333333333333332</c:v>
                </c:pt>
                <c:pt idx="148">
                  <c:v>27.416666666666668</c:v>
                </c:pt>
                <c:pt idx="149">
                  <c:v>27.5</c:v>
                </c:pt>
                <c:pt idx="150">
                  <c:v>27.583333333333332</c:v>
                </c:pt>
                <c:pt idx="151">
                  <c:v>27.666666666666668</c:v>
                </c:pt>
                <c:pt idx="152">
                  <c:v>27.75</c:v>
                </c:pt>
                <c:pt idx="153">
                  <c:v>27.833333333333332</c:v>
                </c:pt>
                <c:pt idx="154">
                  <c:v>27.916666666666668</c:v>
                </c:pt>
                <c:pt idx="155">
                  <c:v>28</c:v>
                </c:pt>
                <c:pt idx="156">
                  <c:v>28.083333333333332</c:v>
                </c:pt>
                <c:pt idx="157">
                  <c:v>28.166666666666668</c:v>
                </c:pt>
                <c:pt idx="158">
                  <c:v>28.25</c:v>
                </c:pt>
                <c:pt idx="159">
                  <c:v>28.333333333333332</c:v>
                </c:pt>
                <c:pt idx="160">
                  <c:v>28.416666666666668</c:v>
                </c:pt>
                <c:pt idx="161">
                  <c:v>28.5</c:v>
                </c:pt>
                <c:pt idx="162">
                  <c:v>28.583333333333332</c:v>
                </c:pt>
                <c:pt idx="163">
                  <c:v>28.666666666666668</c:v>
                </c:pt>
                <c:pt idx="164">
                  <c:v>28.75</c:v>
                </c:pt>
                <c:pt idx="165">
                  <c:v>28.833333333333332</c:v>
                </c:pt>
                <c:pt idx="166">
                  <c:v>28.916666666666668</c:v>
                </c:pt>
                <c:pt idx="167">
                  <c:v>29</c:v>
                </c:pt>
                <c:pt idx="168">
                  <c:v>29.083333333333332</c:v>
                </c:pt>
                <c:pt idx="169">
                  <c:v>29.166666666666668</c:v>
                </c:pt>
                <c:pt idx="170">
                  <c:v>29.25</c:v>
                </c:pt>
                <c:pt idx="171">
                  <c:v>29.333333333333332</c:v>
                </c:pt>
                <c:pt idx="172">
                  <c:v>29.416666666666668</c:v>
                </c:pt>
                <c:pt idx="173">
                  <c:v>29.5</c:v>
                </c:pt>
                <c:pt idx="174">
                  <c:v>29.583333333333332</c:v>
                </c:pt>
                <c:pt idx="175">
                  <c:v>29.666666666666668</c:v>
                </c:pt>
                <c:pt idx="176">
                  <c:v>29.75</c:v>
                </c:pt>
                <c:pt idx="177">
                  <c:v>29.833333333333332</c:v>
                </c:pt>
                <c:pt idx="178">
                  <c:v>29.916666666666668</c:v>
                </c:pt>
                <c:pt idx="179">
                  <c:v>30</c:v>
                </c:pt>
                <c:pt idx="180">
                  <c:v>30.083333333333332</c:v>
                </c:pt>
                <c:pt idx="181">
                  <c:v>30.166666666666668</c:v>
                </c:pt>
                <c:pt idx="182">
                  <c:v>30.25</c:v>
                </c:pt>
                <c:pt idx="183">
                  <c:v>30.333333333333332</c:v>
                </c:pt>
                <c:pt idx="184">
                  <c:v>30.416666666666668</c:v>
                </c:pt>
                <c:pt idx="185">
                  <c:v>30.5</c:v>
                </c:pt>
                <c:pt idx="186">
                  <c:v>30.583333333333332</c:v>
                </c:pt>
                <c:pt idx="187">
                  <c:v>30.666666666666668</c:v>
                </c:pt>
                <c:pt idx="188">
                  <c:v>30.75</c:v>
                </c:pt>
                <c:pt idx="189">
                  <c:v>30.833333333333332</c:v>
                </c:pt>
                <c:pt idx="190">
                  <c:v>30.916666666666668</c:v>
                </c:pt>
                <c:pt idx="191">
                  <c:v>31</c:v>
                </c:pt>
                <c:pt idx="192">
                  <c:v>31.083333333333332</c:v>
                </c:pt>
                <c:pt idx="193">
                  <c:v>31.166666666666668</c:v>
                </c:pt>
                <c:pt idx="194">
                  <c:v>31.25</c:v>
                </c:pt>
                <c:pt idx="195">
                  <c:v>31.333333333333332</c:v>
                </c:pt>
                <c:pt idx="196">
                  <c:v>31.416666666666668</c:v>
                </c:pt>
                <c:pt idx="197">
                  <c:v>31.5</c:v>
                </c:pt>
                <c:pt idx="198">
                  <c:v>31.583333333333332</c:v>
                </c:pt>
                <c:pt idx="199">
                  <c:v>31.666666666666668</c:v>
                </c:pt>
                <c:pt idx="200">
                  <c:v>31.75</c:v>
                </c:pt>
                <c:pt idx="201">
                  <c:v>31.833333333333332</c:v>
                </c:pt>
                <c:pt idx="202">
                  <c:v>31.916666666666668</c:v>
                </c:pt>
                <c:pt idx="203">
                  <c:v>32</c:v>
                </c:pt>
                <c:pt idx="204">
                  <c:v>32.083333333333336</c:v>
                </c:pt>
                <c:pt idx="205">
                  <c:v>32.166666666666664</c:v>
                </c:pt>
                <c:pt idx="206">
                  <c:v>32.25</c:v>
                </c:pt>
                <c:pt idx="207">
                  <c:v>32.333333333333336</c:v>
                </c:pt>
                <c:pt idx="208">
                  <c:v>32.416666666666664</c:v>
                </c:pt>
                <c:pt idx="209">
                  <c:v>32.5</c:v>
                </c:pt>
                <c:pt idx="210">
                  <c:v>32.583333333333336</c:v>
                </c:pt>
                <c:pt idx="211">
                  <c:v>32.666666666666664</c:v>
                </c:pt>
                <c:pt idx="212">
                  <c:v>32.75</c:v>
                </c:pt>
                <c:pt idx="213">
                  <c:v>32.833333333333336</c:v>
                </c:pt>
                <c:pt idx="214">
                  <c:v>32.916666666666664</c:v>
                </c:pt>
                <c:pt idx="215">
                  <c:v>33</c:v>
                </c:pt>
                <c:pt idx="216">
                  <c:v>33.083333333333336</c:v>
                </c:pt>
                <c:pt idx="217">
                  <c:v>33.166666666666664</c:v>
                </c:pt>
                <c:pt idx="218">
                  <c:v>33.25</c:v>
                </c:pt>
                <c:pt idx="219">
                  <c:v>33.333333333333336</c:v>
                </c:pt>
                <c:pt idx="220">
                  <c:v>33.416666666666664</c:v>
                </c:pt>
                <c:pt idx="221">
                  <c:v>33.5</c:v>
                </c:pt>
                <c:pt idx="222">
                  <c:v>33.583333333333336</c:v>
                </c:pt>
                <c:pt idx="223">
                  <c:v>33.666666666666664</c:v>
                </c:pt>
                <c:pt idx="224">
                  <c:v>33.75</c:v>
                </c:pt>
                <c:pt idx="225">
                  <c:v>33.833333333333336</c:v>
                </c:pt>
                <c:pt idx="226">
                  <c:v>33.916666666666664</c:v>
                </c:pt>
                <c:pt idx="227">
                  <c:v>34</c:v>
                </c:pt>
                <c:pt idx="228">
                  <c:v>34.083333333333336</c:v>
                </c:pt>
                <c:pt idx="229">
                  <c:v>34.166666666666664</c:v>
                </c:pt>
                <c:pt idx="230">
                  <c:v>34.25</c:v>
                </c:pt>
                <c:pt idx="231">
                  <c:v>34.333333333333336</c:v>
                </c:pt>
                <c:pt idx="232">
                  <c:v>34.416666666666664</c:v>
                </c:pt>
                <c:pt idx="233">
                  <c:v>34.5</c:v>
                </c:pt>
                <c:pt idx="234">
                  <c:v>34.583333333333336</c:v>
                </c:pt>
                <c:pt idx="235">
                  <c:v>34.666666666666664</c:v>
                </c:pt>
                <c:pt idx="236">
                  <c:v>34.75</c:v>
                </c:pt>
                <c:pt idx="237">
                  <c:v>34.833333333333336</c:v>
                </c:pt>
                <c:pt idx="238">
                  <c:v>34.916666666666664</c:v>
                </c:pt>
                <c:pt idx="239">
                  <c:v>35</c:v>
                </c:pt>
                <c:pt idx="240">
                  <c:v>35.083333333333336</c:v>
                </c:pt>
                <c:pt idx="241">
                  <c:v>35.166666666666664</c:v>
                </c:pt>
                <c:pt idx="242">
                  <c:v>35.25</c:v>
                </c:pt>
                <c:pt idx="243">
                  <c:v>35.333333333333336</c:v>
                </c:pt>
                <c:pt idx="244">
                  <c:v>35.416666666666664</c:v>
                </c:pt>
                <c:pt idx="245">
                  <c:v>35.5</c:v>
                </c:pt>
                <c:pt idx="246">
                  <c:v>35.583333333333336</c:v>
                </c:pt>
                <c:pt idx="247">
                  <c:v>35.666666666666664</c:v>
                </c:pt>
                <c:pt idx="248">
                  <c:v>35.75</c:v>
                </c:pt>
                <c:pt idx="249">
                  <c:v>35.833333333333336</c:v>
                </c:pt>
                <c:pt idx="250">
                  <c:v>35.916666666666664</c:v>
                </c:pt>
                <c:pt idx="251">
                  <c:v>36</c:v>
                </c:pt>
                <c:pt idx="252">
                  <c:v>36.083333333333336</c:v>
                </c:pt>
                <c:pt idx="253">
                  <c:v>36.166666666666664</c:v>
                </c:pt>
                <c:pt idx="254">
                  <c:v>36.25</c:v>
                </c:pt>
                <c:pt idx="255">
                  <c:v>36.333333333333336</c:v>
                </c:pt>
                <c:pt idx="256">
                  <c:v>36.416666666666664</c:v>
                </c:pt>
                <c:pt idx="257">
                  <c:v>36.5</c:v>
                </c:pt>
                <c:pt idx="258">
                  <c:v>36.583333333333336</c:v>
                </c:pt>
                <c:pt idx="259">
                  <c:v>36.666666666666664</c:v>
                </c:pt>
                <c:pt idx="260">
                  <c:v>36.75</c:v>
                </c:pt>
                <c:pt idx="261">
                  <c:v>36.833333333333336</c:v>
                </c:pt>
                <c:pt idx="262">
                  <c:v>36.916666666666664</c:v>
                </c:pt>
                <c:pt idx="263">
                  <c:v>37</c:v>
                </c:pt>
                <c:pt idx="264">
                  <c:v>37.083333333333336</c:v>
                </c:pt>
                <c:pt idx="265">
                  <c:v>37.166666666666664</c:v>
                </c:pt>
                <c:pt idx="266">
                  <c:v>37.25</c:v>
                </c:pt>
                <c:pt idx="267">
                  <c:v>37.333333333333336</c:v>
                </c:pt>
                <c:pt idx="268">
                  <c:v>37.416666666666664</c:v>
                </c:pt>
                <c:pt idx="269">
                  <c:v>37.5</c:v>
                </c:pt>
                <c:pt idx="270">
                  <c:v>37.583333333333336</c:v>
                </c:pt>
                <c:pt idx="271">
                  <c:v>37.666666666666664</c:v>
                </c:pt>
                <c:pt idx="272">
                  <c:v>37.75</c:v>
                </c:pt>
                <c:pt idx="273">
                  <c:v>37.833333333333336</c:v>
                </c:pt>
                <c:pt idx="274">
                  <c:v>37.916666666666664</c:v>
                </c:pt>
                <c:pt idx="275">
                  <c:v>38</c:v>
                </c:pt>
                <c:pt idx="276">
                  <c:v>38.083333333333336</c:v>
                </c:pt>
                <c:pt idx="277">
                  <c:v>38.166666666666664</c:v>
                </c:pt>
                <c:pt idx="278">
                  <c:v>38.25</c:v>
                </c:pt>
                <c:pt idx="279">
                  <c:v>38.333333333333336</c:v>
                </c:pt>
                <c:pt idx="280">
                  <c:v>38.416666666666664</c:v>
                </c:pt>
                <c:pt idx="281">
                  <c:v>38.5</c:v>
                </c:pt>
                <c:pt idx="282">
                  <c:v>38.583333333333336</c:v>
                </c:pt>
                <c:pt idx="283">
                  <c:v>38.666666666666664</c:v>
                </c:pt>
                <c:pt idx="284">
                  <c:v>38.75</c:v>
                </c:pt>
                <c:pt idx="285">
                  <c:v>38.833333333333336</c:v>
                </c:pt>
                <c:pt idx="286">
                  <c:v>38.916666666666664</c:v>
                </c:pt>
                <c:pt idx="287">
                  <c:v>39</c:v>
                </c:pt>
                <c:pt idx="288">
                  <c:v>39.083333333333336</c:v>
                </c:pt>
                <c:pt idx="289">
                  <c:v>39.166666666666664</c:v>
                </c:pt>
                <c:pt idx="290">
                  <c:v>39.25</c:v>
                </c:pt>
                <c:pt idx="291">
                  <c:v>39.333333333333336</c:v>
                </c:pt>
                <c:pt idx="292">
                  <c:v>39.416666666666664</c:v>
                </c:pt>
                <c:pt idx="293">
                  <c:v>39.5</c:v>
                </c:pt>
                <c:pt idx="294">
                  <c:v>39.583333333333336</c:v>
                </c:pt>
                <c:pt idx="295">
                  <c:v>39.666666666666664</c:v>
                </c:pt>
                <c:pt idx="296">
                  <c:v>39.75</c:v>
                </c:pt>
                <c:pt idx="297">
                  <c:v>39.833333333333336</c:v>
                </c:pt>
                <c:pt idx="298">
                  <c:v>39.916666666666664</c:v>
                </c:pt>
                <c:pt idx="299">
                  <c:v>40</c:v>
                </c:pt>
              </c:numCache>
            </c:numRef>
          </c:xVal>
          <c:yVal>
            <c:numRef>
              <c:f>'Figures B1-B3'!$GC$10:$RP$10</c:f>
              <c:numCache>
                <c:formatCode>#,##0.00</c:formatCode>
                <c:ptCount val="300"/>
                <c:pt idx="0">
                  <c:v>0.34094640252590885</c:v>
                </c:pt>
                <c:pt idx="1">
                  <c:v>0.33803246942376741</c:v>
                </c:pt>
                <c:pt idx="2">
                  <c:v>0.33514344054721928</c:v>
                </c:pt>
                <c:pt idx="3">
                  <c:v>0.33227910304976782</c:v>
                </c:pt>
                <c:pt idx="4">
                  <c:v>0.32943924590403068</c:v>
                </c:pt>
                <c:pt idx="5">
                  <c:v>0.32662365988619219</c:v>
                </c:pt>
                <c:pt idx="6">
                  <c:v>0.32383213756058948</c:v>
                </c:pt>
                <c:pt idx="7">
                  <c:v>0.32106447326442988</c:v>
                </c:pt>
                <c:pt idx="8">
                  <c:v>0.31832046309263828</c:v>
                </c:pt>
                <c:pt idx="9">
                  <c:v>0.31559990488283535</c:v>
                </c:pt>
                <c:pt idx="10">
                  <c:v>0.31290259820044292</c:v>
                </c:pt>
                <c:pt idx="11">
                  <c:v>0.31022834432391738</c:v>
                </c:pt>
                <c:pt idx="12">
                  <c:v>0.30757694623010906</c:v>
                </c:pt>
                <c:pt idx="13">
                  <c:v>0.30494820857974647</c:v>
                </c:pt>
                <c:pt idx="14">
                  <c:v>0.30234193770304546</c:v>
                </c:pt>
                <c:pt idx="15">
                  <c:v>0.29975794158544006</c:v>
                </c:pt>
                <c:pt idx="16">
                  <c:v>0.29719602985343618</c:v>
                </c:pt>
                <c:pt idx="17">
                  <c:v>0.29465601376058675</c:v>
                </c:pt>
                <c:pt idx="18">
                  <c:v>0.29213770617358475</c:v>
                </c:pt>
                <c:pt idx="19">
                  <c:v>0.28964092155847732</c:v>
                </c:pt>
                <c:pt idx="20">
                  <c:v>0.28716547596699654</c:v>
                </c:pt>
                <c:pt idx="21">
                  <c:v>0.28471118702300674</c:v>
                </c:pt>
                <c:pt idx="22">
                  <c:v>0.28227787390906856</c:v>
                </c:pt>
                <c:pt idx="23">
                  <c:v>0.27986535735311735</c:v>
                </c:pt>
                <c:pt idx="24">
                  <c:v>0.27747345961525538</c:v>
                </c:pt>
                <c:pt idx="25">
                  <c:v>0.27510200447465694</c:v>
                </c:pt>
                <c:pt idx="26">
                  <c:v>0.27275081721658562</c:v>
                </c:pt>
                <c:pt idx="27">
                  <c:v>0.27041972461952224</c:v>
                </c:pt>
                <c:pt idx="28">
                  <c:v>0.26810855494240282</c:v>
                </c:pt>
                <c:pt idx="29">
                  <c:v>0.26581713791196615</c:v>
                </c:pt>
                <c:pt idx="30">
                  <c:v>0.26354530471020859</c:v>
                </c:pt>
                <c:pt idx="31">
                  <c:v>0.2612928879619465</c:v>
                </c:pt>
                <c:pt idx="32">
                  <c:v>0.25905972172248576</c:v>
                </c:pt>
                <c:pt idx="33">
                  <c:v>0.25684564146539507</c:v>
                </c:pt>
                <c:pt idx="34">
                  <c:v>0.2546504840703851</c:v>
                </c:pt>
                <c:pt idx="35">
                  <c:v>0.25247408781129083</c:v>
                </c:pt>
                <c:pt idx="36">
                  <c:v>0.25031629234415614</c:v>
                </c:pt>
                <c:pt idx="37">
                  <c:v>0.24817693869542085</c:v>
                </c:pt>
                <c:pt idx="38">
                  <c:v>0.24605586925020867</c:v>
                </c:pt>
                <c:pt idx="39">
                  <c:v>0.2439529277407147</c:v>
                </c:pt>
                <c:pt idx="40">
                  <c:v>0.24186795923469273</c:v>
                </c:pt>
                <c:pt idx="41">
                  <c:v>0.23980081012404092</c:v>
                </c:pt>
                <c:pt idx="42">
                  <c:v>0.23775132811348448</c:v>
                </c:pt>
                <c:pt idx="43">
                  <c:v>0.23571936220935577</c:v>
                </c:pt>
                <c:pt idx="44">
                  <c:v>0.23370476270846996</c:v>
                </c:pt>
                <c:pt idx="45">
                  <c:v>0.23170738118709555</c:v>
                </c:pt>
                <c:pt idx="46">
                  <c:v>0.22972707049001964</c:v>
                </c:pt>
                <c:pt idx="47">
                  <c:v>0.22776368471970646</c:v>
                </c:pt>
                <c:pt idx="48">
                  <c:v>0.22581707922554811</c:v>
                </c:pt>
                <c:pt idx="49">
                  <c:v>0.22388711059320787</c:v>
                </c:pt>
                <c:pt idx="50">
                  <c:v>0.22197363663405448</c:v>
                </c:pt>
                <c:pt idx="51">
                  <c:v>0.22007651637468606</c:v>
                </c:pt>
                <c:pt idx="52">
                  <c:v>0.21819561004654417</c:v>
                </c:pt>
                <c:pt idx="53">
                  <c:v>0.21633077907561682</c:v>
                </c:pt>
                <c:pt idx="54">
                  <c:v>0.21448188607222876</c:v>
                </c:pt>
                <c:pt idx="55">
                  <c:v>0.21264879482091947</c:v>
                </c:pt>
                <c:pt idx="56">
                  <c:v>0.21083137027040796</c:v>
                </c:pt>
                <c:pt idx="57">
                  <c:v>0.20902947852364259</c:v>
                </c:pt>
                <c:pt idx="58">
                  <c:v>0.2072429868279364</c:v>
                </c:pt>
                <c:pt idx="59">
                  <c:v>0.20547176356518707</c:v>
                </c:pt>
                <c:pt idx="60">
                  <c:v>0.20371567824217954</c:v>
                </c:pt>
                <c:pt idx="61">
                  <c:v>0.20197460148097215</c:v>
                </c:pt>
                <c:pt idx="62">
                  <c:v>0.20024840500936547</c:v>
                </c:pt>
                <c:pt idx="63">
                  <c:v>0.19853696165145091</c:v>
                </c:pt>
                <c:pt idx="64">
                  <c:v>0.19684014531824207</c:v>
                </c:pt>
                <c:pt idx="65">
                  <c:v>0.19515783099838477</c:v>
                </c:pt>
                <c:pt idx="66">
                  <c:v>0.19348989474894718</c:v>
                </c:pt>
                <c:pt idx="67">
                  <c:v>0.19183621368628803</c:v>
                </c:pt>
                <c:pt idx="68">
                  <c:v>0.19019666597700413</c:v>
                </c:pt>
                <c:pt idx="69">
                  <c:v>0.18857113082895333</c:v>
                </c:pt>
                <c:pt idx="70">
                  <c:v>0.18695948848235608</c:v>
                </c:pt>
                <c:pt idx="71">
                  <c:v>0.18536162020097194</c:v>
                </c:pt>
                <c:pt idx="72">
                  <c:v>0.18377740826335184</c:v>
                </c:pt>
                <c:pt idx="73">
                  <c:v>0.18220673595416484</c:v>
                </c:pt>
                <c:pt idx="74">
                  <c:v>0.18064948755559979</c:v>
                </c:pt>
                <c:pt idx="75">
                  <c:v>0.17910554833883935</c:v>
                </c:pt>
                <c:pt idx="76">
                  <c:v>0.17757480455560762</c:v>
                </c:pt>
                <c:pt idx="77">
                  <c:v>0.17605714342979012</c:v>
                </c:pt>
                <c:pt idx="78">
                  <c:v>0.17455245314912488</c:v>
                </c:pt>
                <c:pt idx="79">
                  <c:v>0.17306062285696452</c:v>
                </c:pt>
                <c:pt idx="80">
                  <c:v>0.17158154264410963</c:v>
                </c:pt>
                <c:pt idx="81">
                  <c:v>0.17011510354071077</c:v>
                </c:pt>
                <c:pt idx="82">
                  <c:v>0.16866119750824032</c:v>
                </c:pt>
                <c:pt idx="83">
                  <c:v>0.16721971743153316</c:v>
                </c:pt>
                <c:pt idx="84">
                  <c:v>0.16579055711089463</c:v>
                </c:pt>
                <c:pt idx="85">
                  <c:v>0.16437361125427652</c:v>
                </c:pt>
                <c:pt idx="86">
                  <c:v>0.16296877546952013</c:v>
                </c:pt>
                <c:pt idx="87">
                  <c:v>0.16157594625666458</c:v>
                </c:pt>
                <c:pt idx="88">
                  <c:v>0.16019502100032207</c:v>
                </c:pt>
                <c:pt idx="89">
                  <c:v>0.15882589796211782</c:v>
                </c:pt>
                <c:pt idx="90">
                  <c:v>0.15746847627319421</c:v>
                </c:pt>
                <c:pt idx="91">
                  <c:v>0.15612265592677954</c:v>
                </c:pt>
                <c:pt idx="92">
                  <c:v>0.15478833777082038</c:v>
                </c:pt>
                <c:pt idx="93">
                  <c:v>0.15346542350067618</c:v>
                </c:pt>
                <c:pt idx="94">
                  <c:v>0.15215381565187711</c:v>
                </c:pt>
                <c:pt idx="95">
                  <c:v>0.15085341759294338</c:v>
                </c:pt>
                <c:pt idx="96">
                  <c:v>0.14956413351826589</c:v>
                </c:pt>
                <c:pt idx="97">
                  <c:v>0.14828586844104785</c:v>
                </c:pt>
                <c:pt idx="98">
                  <c:v>0.14701852818630698</c:v>
                </c:pt>
                <c:pt idx="99">
                  <c:v>0.14576201938393696</c:v>
                </c:pt>
                <c:pt idx="100">
                  <c:v>0.14451624946182853</c:v>
                </c:pt>
                <c:pt idx="101">
                  <c:v>0.14328112663904952</c:v>
                </c:pt>
                <c:pt idx="102">
                  <c:v>0.14205655991908267</c:v>
                </c:pt>
                <c:pt idx="103">
                  <c:v>0.14084245908312176</c:v>
                </c:pt>
                <c:pt idx="104">
                  <c:v>0.13963873468342489</c:v>
                </c:pt>
                <c:pt idx="105">
                  <c:v>0.13844529803672423</c:v>
                </c:pt>
                <c:pt idx="106">
                  <c:v>0.13726206121769249</c:v>
                </c:pt>
                <c:pt idx="107">
                  <c:v>0.13608893705246536</c:v>
                </c:pt>
                <c:pt idx="108">
                  <c:v>0.13492583911221862</c:v>
                </c:pt>
                <c:pt idx="109">
                  <c:v>0.13377268170680079</c:v>
                </c:pt>
                <c:pt idx="110">
                  <c:v>0.13262937987842013</c:v>
                </c:pt>
                <c:pt idx="111">
                  <c:v>0.13149584939538519</c:v>
                </c:pt>
                <c:pt idx="112">
                  <c:v>0.13037200674589922</c:v>
                </c:pt>
                <c:pt idx="113">
                  <c:v>0.12925776913190762</c:v>
                </c:pt>
                <c:pt idx="114">
                  <c:v>0.12815305446299774</c:v>
                </c:pt>
                <c:pt idx="115">
                  <c:v>0.12705778135035095</c:v>
                </c:pt>
                <c:pt idx="116">
                  <c:v>0.12597186910074656</c:v>
                </c:pt>
                <c:pt idx="117">
                  <c:v>0.12489523771061654</c:v>
                </c:pt>
                <c:pt idx="118">
                  <c:v>0.12382780786015159</c:v>
                </c:pt>
                <c:pt idx="119">
                  <c:v>0.12276950090745718</c:v>
                </c:pt>
                <c:pt idx="120">
                  <c:v>0.12172023888275982</c:v>
                </c:pt>
                <c:pt idx="121">
                  <c:v>0.12067994448266242</c:v>
                </c:pt>
                <c:pt idx="122">
                  <c:v>0.1196485410644495</c:v>
                </c:pt>
                <c:pt idx="123">
                  <c:v>0.11862595264044015</c:v>
                </c:pt>
                <c:pt idx="124">
                  <c:v>0.11761210387238991</c:v>
                </c:pt>
                <c:pt idx="125">
                  <c:v>0.11660692006594041</c:v>
                </c:pt>
                <c:pt idx="126">
                  <c:v>0.11561032716511611</c:v>
                </c:pt>
                <c:pt idx="127">
                  <c:v>0.11462225174686838</c:v>
                </c:pt>
                <c:pt idx="128">
                  <c:v>0.11364262101566626</c:v>
                </c:pt>
                <c:pt idx="129">
                  <c:v>0.11267136279813307</c:v>
                </c:pt>
                <c:pt idx="130">
                  <c:v>0.11170840553772929</c:v>
                </c:pt>
                <c:pt idx="131">
                  <c:v>0.11075367828948064</c:v>
                </c:pt>
                <c:pt idx="132">
                  <c:v>0.1098071107147513</c:v>
                </c:pt>
                <c:pt idx="133">
                  <c:v>0.10886863307606169</c:v>
                </c:pt>
                <c:pt idx="134">
                  <c:v>0.10793817623195077</c:v>
                </c:pt>
                <c:pt idx="135">
                  <c:v>0.10701567163188198</c:v>
                </c:pt>
                <c:pt idx="136">
                  <c:v>0.10610105131119285</c:v>
                </c:pt>
                <c:pt idx="137">
                  <c:v>0.10519424788608794</c:v>
                </c:pt>
                <c:pt idx="138">
                  <c:v>0.10429519454867414</c:v>
                </c:pt>
                <c:pt idx="139">
                  <c:v>0.10340382506203884</c:v>
                </c:pt>
                <c:pt idx="140">
                  <c:v>0.10252007375536999</c:v>
                </c:pt>
                <c:pt idx="141">
                  <c:v>0.10164387551911772</c:v>
                </c:pt>
                <c:pt idx="142">
                  <c:v>0.10077516580019756</c:v>
                </c:pt>
                <c:pt idx="143">
                  <c:v>9.9913880597234717E-2</c:v>
                </c:pt>
                <c:pt idx="144">
                  <c:v>9.9059956455848391E-2</c:v>
                </c:pt>
                <c:pt idx="145">
                  <c:v>9.8213330463977247E-2</c:v>
                </c:pt>
                <c:pt idx="146">
                  <c:v>9.7373940247244314E-2</c:v>
                </c:pt>
                <c:pt idx="147">
                  <c:v>9.6541723964361462E-2</c:v>
                </c:pt>
                <c:pt idx="148">
                  <c:v>9.5716620302573482E-2</c:v>
                </c:pt>
                <c:pt idx="149">
                  <c:v>9.4898568473140918E-2</c:v>
                </c:pt>
                <c:pt idx="150">
                  <c:v>9.4087508206861376E-2</c:v>
                </c:pt>
                <c:pt idx="151">
                  <c:v>9.3283379749629289E-2</c:v>
                </c:pt>
                <c:pt idx="152">
                  <c:v>9.2486123858033759E-2</c:v>
                </c:pt>
                <c:pt idx="153">
                  <c:v>9.1695681794993669E-2</c:v>
                </c:pt>
                <c:pt idx="154">
                  <c:v>9.0911995325430262E-2</c:v>
                </c:pt>
                <c:pt idx="155">
                  <c:v>9.0135006711976967E-2</c:v>
                </c:pt>
                <c:pt idx="156">
                  <c:v>8.9364658710725339E-2</c:v>
                </c:pt>
                <c:pt idx="157">
                  <c:v>8.8600894567007815E-2</c:v>
                </c:pt>
                <c:pt idx="158">
                  <c:v>8.7843658011216533E-2</c:v>
                </c:pt>
                <c:pt idx="159">
                  <c:v>8.7092893254657397E-2</c:v>
                </c:pt>
                <c:pt idx="160">
                  <c:v>8.6348544985440104E-2</c:v>
                </c:pt>
                <c:pt idx="161">
                  <c:v>8.561055836440308E-2</c:v>
                </c:pt>
                <c:pt idx="162">
                  <c:v>8.4878879021073175E-2</c:v>
                </c:pt>
                <c:pt idx="163">
                  <c:v>8.4153453049660057E-2</c:v>
                </c:pt>
                <c:pt idx="164">
                  <c:v>8.3434227005084668E-2</c:v>
                </c:pt>
                <c:pt idx="165">
                  <c:v>8.2721147899041836E-2</c:v>
                </c:pt>
                <c:pt idx="166">
                  <c:v>8.2014163196096182E-2</c:v>
                </c:pt>
                <c:pt idx="167">
                  <c:v>8.1313220809811945E-2</c:v>
                </c:pt>
                <c:pt idx="168">
                  <c:v>8.0618269098915285E-2</c:v>
                </c:pt>
                <c:pt idx="169">
                  <c:v>7.99292568634897E-2</c:v>
                </c:pt>
                <c:pt idx="170">
                  <c:v>7.9246133341204145E-2</c:v>
                </c:pt>
                <c:pt idx="171">
                  <c:v>7.8568848203572864E-2</c:v>
                </c:pt>
                <c:pt idx="172">
                  <c:v>7.7897351552247654E-2</c:v>
                </c:pt>
                <c:pt idx="173">
                  <c:v>7.7231593915341679E-2</c:v>
                </c:pt>
                <c:pt idx="174">
                  <c:v>7.6571526243784521E-2</c:v>
                </c:pt>
                <c:pt idx="175">
                  <c:v>7.5917099907708716E-2</c:v>
                </c:pt>
                <c:pt idx="176">
                  <c:v>7.5268266692866848E-2</c:v>
                </c:pt>
                <c:pt idx="177">
                  <c:v>7.4624978797079508E-2</c:v>
                </c:pt>
                <c:pt idx="178">
                  <c:v>7.3987188826713415E-2</c:v>
                </c:pt>
                <c:pt idx="179">
                  <c:v>7.3354849793189916E-2</c:v>
                </c:pt>
                <c:pt idx="180">
                  <c:v>7.2727915109522895E-2</c:v>
                </c:pt>
                <c:pt idx="181">
                  <c:v>7.2106338586886698E-2</c:v>
                </c:pt>
                <c:pt idx="182">
                  <c:v>7.1490074431213191E-2</c:v>
                </c:pt>
                <c:pt idx="183">
                  <c:v>7.0879077239817886E-2</c:v>
                </c:pt>
                <c:pt idx="184">
                  <c:v>7.0273301998054885E-2</c:v>
                </c:pt>
                <c:pt idx="185">
                  <c:v>6.9672704076000694E-2</c:v>
                </c:pt>
                <c:pt idx="186">
                  <c:v>6.9077239225165843E-2</c:v>
                </c:pt>
                <c:pt idx="187">
                  <c:v>6.848686357523516E-2</c:v>
                </c:pt>
                <c:pt idx="188">
                  <c:v>6.7901533630835592E-2</c:v>
                </c:pt>
                <c:pt idx="189">
                  <c:v>6.7321206268331671E-2</c:v>
                </c:pt>
                <c:pt idx="190">
                  <c:v>6.6745838732648444E-2</c:v>
                </c:pt>
                <c:pt idx="191">
                  <c:v>6.6175388634121673E-2</c:v>
                </c:pt>
                <c:pt idx="192">
                  <c:v>6.5609813945374545E-2</c:v>
                </c:pt>
                <c:pt idx="193">
                  <c:v>6.5049072998221574E-2</c:v>
                </c:pt>
                <c:pt idx="194">
                  <c:v>6.4493124480598699E-2</c:v>
                </c:pt>
                <c:pt idx="195">
                  <c:v>6.3941927433519535E-2</c:v>
                </c:pt>
                <c:pt idx="196">
                  <c:v>6.3395441248057863E-2</c:v>
                </c:pt>
                <c:pt idx="197">
                  <c:v>6.2853625662355805E-2</c:v>
                </c:pt>
                <c:pt idx="198">
                  <c:v>6.2316440758657554E-2</c:v>
                </c:pt>
                <c:pt idx="199">
                  <c:v>6.1783846960368406E-2</c:v>
                </c:pt>
                <c:pt idx="200">
                  <c:v>6.1255805029139118E-2</c:v>
                </c:pt>
                <c:pt idx="201">
                  <c:v>6.0732276061974955E-2</c:v>
                </c:pt>
                <c:pt idx="202">
                  <c:v>6.021322148836953E-2</c:v>
                </c:pt>
                <c:pt idx="203">
                  <c:v>5.9698603067463323E-2</c:v>
                </c:pt>
                <c:pt idx="204">
                  <c:v>5.9188382885226119E-2</c:v>
                </c:pt>
                <c:pt idx="205">
                  <c:v>5.8682523351663893E-2</c:v>
                </c:pt>
                <c:pt idx="206">
                  <c:v>5.8180987198049205E-2</c:v>
                </c:pt>
                <c:pt idx="207">
                  <c:v>5.7683737474175711E-2</c:v>
                </c:pt>
                <c:pt idx="208">
                  <c:v>5.7190737545635736E-2</c:v>
                </c:pt>
                <c:pt idx="209">
                  <c:v>5.6701951091121222E-2</c:v>
                </c:pt>
                <c:pt idx="210">
                  <c:v>5.6217342099747956E-2</c:v>
                </c:pt>
                <c:pt idx="211">
                  <c:v>5.5736874868402363E-2</c:v>
                </c:pt>
                <c:pt idx="212">
                  <c:v>5.5260513999111131E-2</c:v>
                </c:pt>
                <c:pt idx="213">
                  <c:v>5.4788224396433396E-2</c:v>
                </c:pt>
                <c:pt idx="214">
                  <c:v>5.431997126487504E-2</c:v>
                </c:pt>
                <c:pt idx="215">
                  <c:v>5.385572010632507E-2</c:v>
                </c:pt>
                <c:pt idx="216">
                  <c:v>5.3395436717514219E-2</c:v>
                </c:pt>
                <c:pt idx="217">
                  <c:v>5.2939087187494953E-2</c:v>
                </c:pt>
                <c:pt idx="218">
                  <c:v>5.248663789514299E-2</c:v>
                </c:pt>
                <c:pt idx="219">
                  <c:v>5.2038055506680468E-2</c:v>
                </c:pt>
                <c:pt idx="220">
                  <c:v>5.1593306973220107E-2</c:v>
                </c:pt>
                <c:pt idx="221">
                  <c:v>5.1152359528330166E-2</c:v>
                </c:pt>
                <c:pt idx="222">
                  <c:v>5.0715180685620649E-2</c:v>
                </c:pt>
                <c:pt idx="223">
                  <c:v>5.0281738236349821E-2</c:v>
                </c:pt>
                <c:pt idx="224">
                  <c:v>4.9852000247051109E-2</c:v>
                </c:pt>
                <c:pt idx="225">
                  <c:v>4.9425935057180639E-2</c:v>
                </c:pt>
                <c:pt idx="226">
                  <c:v>4.9003511276784657E-2</c:v>
                </c:pt>
                <c:pt idx="227">
                  <c:v>4.8584697784186691E-2</c:v>
                </c:pt>
                <c:pt idx="228">
                  <c:v>4.8169463723694947E-2</c:v>
                </c:pt>
                <c:pt idx="229">
                  <c:v>4.7757778503328956E-2</c:v>
                </c:pt>
                <c:pt idx="230">
                  <c:v>4.7349611792565617E-2</c:v>
                </c:pt>
                <c:pt idx="231">
                  <c:v>4.6944933520104822E-2</c:v>
                </c:pt>
                <c:pt idx="232">
                  <c:v>4.6543713871653875E-2</c:v>
                </c:pt>
                <c:pt idx="233">
                  <c:v>4.6145923287730914E-2</c:v>
                </c:pt>
                <c:pt idx="234">
                  <c:v>4.5751532461487228E-2</c:v>
                </c:pt>
                <c:pt idx="235">
                  <c:v>4.5360512336548101E-2</c:v>
                </c:pt>
                <c:pt idx="236">
                  <c:v>4.4972834104872031E-2</c:v>
                </c:pt>
                <c:pt idx="237">
                  <c:v>4.4588469204628368E-2</c:v>
                </c:pt>
                <c:pt idx="238">
                  <c:v>4.42073893180931E-2</c:v>
                </c:pt>
                <c:pt idx="239">
                  <c:v>4.3829566369562471E-2</c:v>
                </c:pt>
                <c:pt idx="240">
                  <c:v>4.3454972523284605E-2</c:v>
                </c:pt>
                <c:pt idx="241">
                  <c:v>4.3083580181408773E-2</c:v>
                </c:pt>
                <c:pt idx="242">
                  <c:v>4.271536198195193E-2</c:v>
                </c:pt>
                <c:pt idx="243">
                  <c:v>4.2350290796783145E-2</c:v>
                </c:pt>
                <c:pt idx="244">
                  <c:v>4.1988339729624784E-2</c:v>
                </c:pt>
                <c:pt idx="245">
                  <c:v>4.1629482114070908E-2</c:v>
                </c:pt>
                <c:pt idx="246">
                  <c:v>4.1273691511622822E-2</c:v>
                </c:pt>
                <c:pt idx="247">
                  <c:v>4.0920941709741143E-2</c:v>
                </c:pt>
                <c:pt idx="248">
                  <c:v>4.0571206719914522E-2</c:v>
                </c:pt>
                <c:pt idx="249">
                  <c:v>4.022446077574518E-2</c:v>
                </c:pt>
                <c:pt idx="250">
                  <c:v>3.9880678331050454E-2</c:v>
                </c:pt>
                <c:pt idx="251">
                  <c:v>3.9539834057980651E-2</c:v>
                </c:pt>
                <c:pt idx="252">
                  <c:v>3.9201902845153208E-2</c:v>
                </c:pt>
                <c:pt idx="253">
                  <c:v>3.8866859795802546E-2</c:v>
                </c:pt>
                <c:pt idx="254">
                  <c:v>3.8534680225945736E-2</c:v>
                </c:pt>
                <c:pt idx="255">
                  <c:v>3.8205339662564106E-2</c:v>
                </c:pt>
                <c:pt idx="256">
                  <c:v>3.7878813841800134E-2</c:v>
                </c:pt>
                <c:pt idx="257">
                  <c:v>3.7555078707169717E-2</c:v>
                </c:pt>
                <c:pt idx="258">
                  <c:v>3.7234110407790059E-2</c:v>
                </c:pt>
                <c:pt idx="259">
                  <c:v>3.6915885296622319E-2</c:v>
                </c:pt>
                <c:pt idx="260">
                  <c:v>3.6600379928729443E-2</c:v>
                </c:pt>
                <c:pt idx="261">
                  <c:v>3.6287571059548981E-2</c:v>
                </c:pt>
                <c:pt idx="262">
                  <c:v>3.5977435643180435E-2</c:v>
                </c:pt>
                <c:pt idx="263">
                  <c:v>3.5669950830687469E-2</c:v>
                </c:pt>
                <c:pt idx="264">
                  <c:v>3.5365093968414509E-2</c:v>
                </c:pt>
                <c:pt idx="265">
                  <c:v>3.5062842596317777E-2</c:v>
                </c:pt>
                <c:pt idx="266">
                  <c:v>3.4763174446310462E-2</c:v>
                </c:pt>
                <c:pt idx="267">
                  <c:v>3.4466067440622292E-2</c:v>
                </c:pt>
                <c:pt idx="268">
                  <c:v>3.417149969017292E-2</c:v>
                </c:pt>
                <c:pt idx="269">
                  <c:v>3.3879449492959152E-2</c:v>
                </c:pt>
                <c:pt idx="270">
                  <c:v>3.3589895332456272E-2</c:v>
                </c:pt>
                <c:pt idx="271">
                  <c:v>3.3302815876032718E-2</c:v>
                </c:pt>
                <c:pt idx="272">
                  <c:v>3.301818997337834E-2</c:v>
                </c:pt>
                <c:pt idx="273">
                  <c:v>3.2735996654946378E-2</c:v>
                </c:pt>
                <c:pt idx="274">
                  <c:v>3.2456215130408417E-2</c:v>
                </c:pt>
                <c:pt idx="275">
                  <c:v>3.2178824787122598E-2</c:v>
                </c:pt>
                <c:pt idx="276">
                  <c:v>3.1903805188615221E-2</c:v>
                </c:pt>
                <c:pt idx="277">
                  <c:v>3.163113607307496E-2</c:v>
                </c:pt>
                <c:pt idx="278">
                  <c:v>3.1360797351860058E-2</c:v>
                </c:pt>
                <c:pt idx="279">
                  <c:v>3.109276910801843E-2</c:v>
                </c:pt>
                <c:pt idx="280">
                  <c:v>3.0827031594820264E-2</c:v>
                </c:pt>
                <c:pt idx="281">
                  <c:v>3.0563565234303144E-2</c:v>
                </c:pt>
                <c:pt idx="282">
                  <c:v>3.0302350615829702E-2</c:v>
                </c:pt>
                <c:pt idx="283">
                  <c:v>3.0043368494657587E-2</c:v>
                </c:pt>
                <c:pt idx="284">
                  <c:v>2.9786599790521551E-2</c:v>
                </c:pt>
                <c:pt idx="285">
                  <c:v>2.9532025586227816E-2</c:v>
                </c:pt>
                <c:pt idx="286">
                  <c:v>2.9279627126260338E-2</c:v>
                </c:pt>
                <c:pt idx="287">
                  <c:v>2.9029385815398906E-2</c:v>
                </c:pt>
                <c:pt idx="288">
                  <c:v>2.8781283217349341E-2</c:v>
                </c:pt>
                <c:pt idx="289">
                  <c:v>2.8535301053385132E-2</c:v>
                </c:pt>
                <c:pt idx="290">
                  <c:v>2.8291421201000665E-2</c:v>
                </c:pt>
                <c:pt idx="291">
                  <c:v>2.8049625692576251E-2</c:v>
                </c:pt>
                <c:pt idx="292">
                  <c:v>2.7809896714054299E-2</c:v>
                </c:pt>
                <c:pt idx="293">
                  <c:v>2.7572216603626788E-2</c:v>
                </c:pt>
                <c:pt idx="294">
                  <c:v>2.7336567850434208E-2</c:v>
                </c:pt>
                <c:pt idx="295">
                  <c:v>2.7102933093275394E-2</c:v>
                </c:pt>
                <c:pt idx="296">
                  <c:v>2.6871295119328387E-2</c:v>
                </c:pt>
                <c:pt idx="297">
                  <c:v>2.6641636862882415E-2</c:v>
                </c:pt>
                <c:pt idx="298">
                  <c:v>2.6413941404080557E-2</c:v>
                </c:pt>
                <c:pt idx="299">
                  <c:v>2.6188191967673087E-2</c:v>
                </c:pt>
              </c:numCache>
            </c:numRef>
          </c:yVal>
          <c:smooth val="0"/>
          <c:extLst>
            <c:ext xmlns:c16="http://schemas.microsoft.com/office/drawing/2014/chart" uri="{C3380CC4-5D6E-409C-BE32-E72D297353CC}">
              <c16:uniqueId val="{00000002-19AE-47C4-B655-56987C594259}"/>
            </c:ext>
          </c:extLst>
        </c:ser>
        <c:dLbls>
          <c:showLegendKey val="0"/>
          <c:showVal val="0"/>
          <c:showCatName val="0"/>
          <c:showSerName val="0"/>
          <c:showPercent val="0"/>
          <c:showBubbleSize val="0"/>
        </c:dLbls>
        <c:axId val="585166080"/>
        <c:axId val="585164416"/>
      </c:scatterChart>
      <c:valAx>
        <c:axId val="571412608"/>
        <c:scaling>
          <c:orientation val="minMax"/>
          <c:max val="4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chemeClr val="tx1"/>
                    </a:solidFill>
                  </a:rPr>
                  <a:t>model year</a:t>
                </a:r>
              </a:p>
            </c:rich>
          </c:tx>
          <c:layout>
            <c:manualLayout>
              <c:xMode val="edge"/>
              <c:yMode val="edge"/>
              <c:x val="0.36284436087280125"/>
              <c:y val="0.920100181139329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cross"/>
        <c:minorTickMark val="cross"/>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917020512"/>
        <c:crosses val="autoZero"/>
        <c:crossBetween val="midCat"/>
        <c:majorUnit val="10"/>
        <c:minorUnit val="5"/>
      </c:valAx>
      <c:valAx>
        <c:axId val="917020512"/>
        <c:scaling>
          <c:orientation val="minMax"/>
          <c:max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chemeClr val="tx1"/>
                    </a:solidFill>
                  </a:rPr>
                  <a:t>Tract 16 stock,</a:t>
                </a:r>
                <a:r>
                  <a:rPr lang="en-US" sz="900" b="1" baseline="0">
                    <a:solidFill>
                      <a:schemeClr val="tx1"/>
                    </a:solidFill>
                  </a:rPr>
                  <a:t> MgC/ha</a:t>
                </a:r>
                <a:endParaRPr lang="en-US" sz="900" b="1">
                  <a:solidFill>
                    <a:schemeClr val="tx1"/>
                  </a:solidFill>
                </a:endParaRPr>
              </a:p>
            </c:rich>
          </c:tx>
          <c:layout>
            <c:manualLayout>
              <c:xMode val="edge"/>
              <c:yMode val="edge"/>
              <c:x val="1.6188904222023789E-2"/>
              <c:y val="0.2252164430150456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571412608"/>
        <c:crosses val="autoZero"/>
        <c:crossBetween val="midCat"/>
      </c:valAx>
      <c:valAx>
        <c:axId val="585164416"/>
        <c:scaling>
          <c:orientation val="minMax"/>
        </c:scaling>
        <c:delete val="0"/>
        <c:axPos val="r"/>
        <c:title>
          <c:tx>
            <c:rich>
              <a:bodyPr rot="5400000" spcFirstLastPara="1" vertOverflow="ellipsis" wrap="square" anchor="ctr" anchorCtr="1"/>
              <a:lstStyle/>
              <a:p>
                <a:pPr>
                  <a:defRPr sz="1000" b="1" i="0" u="none" strike="noStrike" kern="1200" baseline="0">
                    <a:solidFill>
                      <a:srgbClr val="FD8D3C"/>
                    </a:solidFill>
                    <a:latin typeface="+mn-lt"/>
                    <a:ea typeface="+mn-ea"/>
                    <a:cs typeface="+mn-cs"/>
                  </a:defRPr>
                </a:pPr>
                <a:r>
                  <a:rPr lang="en-US" b="1">
                    <a:solidFill>
                      <a:srgbClr val="FD8D3C"/>
                    </a:solidFill>
                  </a:rPr>
                  <a:t>Pienaar index of suppression</a:t>
                </a:r>
              </a:p>
            </c:rich>
          </c:tx>
          <c:overlay val="0"/>
          <c:spPr>
            <a:noFill/>
            <a:ln>
              <a:noFill/>
            </a:ln>
            <a:effectLst/>
          </c:spPr>
          <c:txPr>
            <a:bodyPr rot="5400000" spcFirstLastPara="1" vertOverflow="ellipsis" wrap="square" anchor="ctr" anchorCtr="1"/>
            <a:lstStyle/>
            <a:p>
              <a:pPr>
                <a:defRPr sz="1000" b="1" i="0" u="none" strike="noStrike" kern="1200" baseline="0">
                  <a:solidFill>
                    <a:srgbClr val="FD8D3C"/>
                  </a:solidFill>
                  <a:latin typeface="+mn-lt"/>
                  <a:ea typeface="+mn-ea"/>
                  <a:cs typeface="+mn-cs"/>
                </a:defRPr>
              </a:pPr>
              <a:endParaRPr lang="en-US"/>
            </a:p>
          </c:txPr>
        </c:title>
        <c:numFmt formatCode="#,##0.00" sourceLinked="0"/>
        <c:majorTickMark val="out"/>
        <c:minorTickMark val="out"/>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rgbClr val="FD8D3C"/>
                </a:solidFill>
                <a:latin typeface="+mn-lt"/>
                <a:ea typeface="+mn-ea"/>
                <a:cs typeface="+mn-cs"/>
              </a:defRPr>
            </a:pPr>
            <a:endParaRPr lang="en-US"/>
          </a:p>
        </c:txPr>
        <c:crossAx val="585166080"/>
        <c:crosses val="max"/>
        <c:crossBetween val="midCat"/>
      </c:valAx>
      <c:valAx>
        <c:axId val="585166080"/>
        <c:scaling>
          <c:orientation val="minMax"/>
        </c:scaling>
        <c:delete val="1"/>
        <c:axPos val="b"/>
        <c:numFmt formatCode="#,##0.00" sourceLinked="1"/>
        <c:majorTickMark val="out"/>
        <c:minorTickMark val="none"/>
        <c:tickLblPos val="nextTo"/>
        <c:crossAx val="585164416"/>
        <c:crosses val="autoZero"/>
        <c:crossBetween val="midCat"/>
      </c:valAx>
      <c:spPr>
        <a:noFill/>
        <a:ln>
          <a:solidFill>
            <a:schemeClr val="tx1"/>
          </a:solidFill>
        </a:ln>
        <a:effectLst/>
      </c:spPr>
    </c:plotArea>
    <c:legend>
      <c:legendPos val="r"/>
      <c:layout>
        <c:manualLayout>
          <c:xMode val="edge"/>
          <c:yMode val="edge"/>
          <c:x val="0.812067222940416"/>
          <c:y val="0.17891205500720861"/>
          <c:w val="0.18002898891369917"/>
          <c:h val="0.466332852759602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89050808947395E-2"/>
          <c:y val="7.8387859968208198E-2"/>
          <c:w val="0.63043397187291883"/>
          <c:h val="0.76536985693689696"/>
        </c:manualLayout>
      </c:layout>
      <c:scatterChart>
        <c:scatterStyle val="lineMarker"/>
        <c:varyColors val="0"/>
        <c:ser>
          <c:idx val="5"/>
          <c:order val="0"/>
          <c:tx>
            <c:strRef>
              <c:f>'Figures B1-B3'!$C$14</c:f>
              <c:strCache>
                <c:ptCount val="1"/>
                <c:pt idx="0">
                  <c:v>baseline sequestration</c:v>
                </c:pt>
              </c:strCache>
            </c:strRef>
          </c:tx>
          <c:spPr>
            <a:ln w="38100" cap="rnd">
              <a:solidFill>
                <a:srgbClr val="A1D99B"/>
              </a:solidFill>
              <a:round/>
            </a:ln>
            <a:effectLst/>
          </c:spPr>
          <c:marker>
            <c:symbol val="none"/>
          </c:marker>
          <c:xVal>
            <c:numRef>
              <c:f>'Figures B1-B3'!$E$7:$RP$7</c:f>
              <c:numCache>
                <c:formatCode>#,##0.00</c:formatCode>
                <c:ptCount val="480"/>
                <c:pt idx="0">
                  <c:v>8.3333333333333329E-2</c:v>
                </c:pt>
                <c:pt idx="1">
                  <c:v>0.16666666666666666</c:v>
                </c:pt>
                <c:pt idx="2">
                  <c:v>0.25</c:v>
                </c:pt>
                <c:pt idx="3">
                  <c:v>0.33333333333333331</c:v>
                </c:pt>
                <c:pt idx="4">
                  <c:v>0.41666666666666669</c:v>
                </c:pt>
                <c:pt idx="5">
                  <c:v>0.5</c:v>
                </c:pt>
                <c:pt idx="6">
                  <c:v>0.58333333333333337</c:v>
                </c:pt>
                <c:pt idx="7">
                  <c:v>0.66666666666666663</c:v>
                </c:pt>
                <c:pt idx="8">
                  <c:v>0.75</c:v>
                </c:pt>
                <c:pt idx="9">
                  <c:v>0.83333333333333337</c:v>
                </c:pt>
                <c:pt idx="10">
                  <c:v>0.91666666666666663</c:v>
                </c:pt>
                <c:pt idx="11">
                  <c:v>1</c:v>
                </c:pt>
                <c:pt idx="12">
                  <c:v>1.0833333333333333</c:v>
                </c:pt>
                <c:pt idx="13">
                  <c:v>1.1666666666666667</c:v>
                </c:pt>
                <c:pt idx="14">
                  <c:v>1.25</c:v>
                </c:pt>
                <c:pt idx="15">
                  <c:v>1.3333333333333333</c:v>
                </c:pt>
                <c:pt idx="16">
                  <c:v>1.4166666666666667</c:v>
                </c:pt>
                <c:pt idx="17">
                  <c:v>1.5</c:v>
                </c:pt>
                <c:pt idx="18">
                  <c:v>1.5833333333333333</c:v>
                </c:pt>
                <c:pt idx="19">
                  <c:v>1.6666666666666667</c:v>
                </c:pt>
                <c:pt idx="20">
                  <c:v>1.75</c:v>
                </c:pt>
                <c:pt idx="21">
                  <c:v>1.8333333333333333</c:v>
                </c:pt>
                <c:pt idx="22">
                  <c:v>1.9166666666666667</c:v>
                </c:pt>
                <c:pt idx="23">
                  <c:v>2</c:v>
                </c:pt>
                <c:pt idx="24">
                  <c:v>2.0833333333333335</c:v>
                </c:pt>
                <c:pt idx="25">
                  <c:v>2.1666666666666665</c:v>
                </c:pt>
                <c:pt idx="26">
                  <c:v>2.25</c:v>
                </c:pt>
                <c:pt idx="27">
                  <c:v>2.3333333333333335</c:v>
                </c:pt>
                <c:pt idx="28">
                  <c:v>2.4166666666666665</c:v>
                </c:pt>
                <c:pt idx="29">
                  <c:v>2.5</c:v>
                </c:pt>
                <c:pt idx="30">
                  <c:v>2.5833333333333335</c:v>
                </c:pt>
                <c:pt idx="31">
                  <c:v>2.6666666666666665</c:v>
                </c:pt>
                <c:pt idx="32">
                  <c:v>2.75</c:v>
                </c:pt>
                <c:pt idx="33">
                  <c:v>2.8333333333333335</c:v>
                </c:pt>
                <c:pt idx="34">
                  <c:v>2.9166666666666665</c:v>
                </c:pt>
                <c:pt idx="35">
                  <c:v>3</c:v>
                </c:pt>
                <c:pt idx="36">
                  <c:v>3.0833333333333335</c:v>
                </c:pt>
                <c:pt idx="37">
                  <c:v>3.1666666666666665</c:v>
                </c:pt>
                <c:pt idx="38">
                  <c:v>3.25</c:v>
                </c:pt>
                <c:pt idx="39">
                  <c:v>3.3333333333333335</c:v>
                </c:pt>
                <c:pt idx="40">
                  <c:v>3.4166666666666665</c:v>
                </c:pt>
                <c:pt idx="41">
                  <c:v>3.5</c:v>
                </c:pt>
                <c:pt idx="42">
                  <c:v>3.5833333333333335</c:v>
                </c:pt>
                <c:pt idx="43">
                  <c:v>3.6666666666666665</c:v>
                </c:pt>
                <c:pt idx="44">
                  <c:v>3.75</c:v>
                </c:pt>
                <c:pt idx="45">
                  <c:v>3.8333333333333335</c:v>
                </c:pt>
                <c:pt idx="46">
                  <c:v>3.9166666666666665</c:v>
                </c:pt>
                <c:pt idx="47">
                  <c:v>4</c:v>
                </c:pt>
                <c:pt idx="48">
                  <c:v>4.083333333333333</c:v>
                </c:pt>
                <c:pt idx="49">
                  <c:v>4.166666666666667</c:v>
                </c:pt>
                <c:pt idx="50">
                  <c:v>4.25</c:v>
                </c:pt>
                <c:pt idx="51">
                  <c:v>4.333333333333333</c:v>
                </c:pt>
                <c:pt idx="52">
                  <c:v>4.416666666666667</c:v>
                </c:pt>
                <c:pt idx="53">
                  <c:v>4.5</c:v>
                </c:pt>
                <c:pt idx="54">
                  <c:v>4.583333333333333</c:v>
                </c:pt>
                <c:pt idx="55">
                  <c:v>4.666666666666667</c:v>
                </c:pt>
                <c:pt idx="56">
                  <c:v>4.75</c:v>
                </c:pt>
                <c:pt idx="57">
                  <c:v>4.833333333333333</c:v>
                </c:pt>
                <c:pt idx="58">
                  <c:v>4.916666666666667</c:v>
                </c:pt>
                <c:pt idx="59">
                  <c:v>5</c:v>
                </c:pt>
                <c:pt idx="60">
                  <c:v>5.083333333333333</c:v>
                </c:pt>
                <c:pt idx="61">
                  <c:v>5.166666666666667</c:v>
                </c:pt>
                <c:pt idx="62">
                  <c:v>5.25</c:v>
                </c:pt>
                <c:pt idx="63">
                  <c:v>5.333333333333333</c:v>
                </c:pt>
                <c:pt idx="64">
                  <c:v>5.416666666666667</c:v>
                </c:pt>
                <c:pt idx="65">
                  <c:v>5.5</c:v>
                </c:pt>
                <c:pt idx="66">
                  <c:v>5.583333333333333</c:v>
                </c:pt>
                <c:pt idx="67">
                  <c:v>5.666666666666667</c:v>
                </c:pt>
                <c:pt idx="68">
                  <c:v>5.75</c:v>
                </c:pt>
                <c:pt idx="69">
                  <c:v>5.833333333333333</c:v>
                </c:pt>
                <c:pt idx="70">
                  <c:v>5.916666666666667</c:v>
                </c:pt>
                <c:pt idx="71">
                  <c:v>6</c:v>
                </c:pt>
                <c:pt idx="72">
                  <c:v>6.083333333333333</c:v>
                </c:pt>
                <c:pt idx="73">
                  <c:v>6.166666666666667</c:v>
                </c:pt>
                <c:pt idx="74">
                  <c:v>6.25</c:v>
                </c:pt>
                <c:pt idx="75">
                  <c:v>6.333333333333333</c:v>
                </c:pt>
                <c:pt idx="76">
                  <c:v>6.416666666666667</c:v>
                </c:pt>
                <c:pt idx="77">
                  <c:v>6.5</c:v>
                </c:pt>
                <c:pt idx="78">
                  <c:v>6.583333333333333</c:v>
                </c:pt>
                <c:pt idx="79">
                  <c:v>6.666666666666667</c:v>
                </c:pt>
                <c:pt idx="80">
                  <c:v>6.75</c:v>
                </c:pt>
                <c:pt idx="81">
                  <c:v>6.833333333333333</c:v>
                </c:pt>
                <c:pt idx="82">
                  <c:v>6.916666666666667</c:v>
                </c:pt>
                <c:pt idx="83">
                  <c:v>7</c:v>
                </c:pt>
                <c:pt idx="84">
                  <c:v>7.083333333333333</c:v>
                </c:pt>
                <c:pt idx="85">
                  <c:v>7.166666666666667</c:v>
                </c:pt>
                <c:pt idx="86">
                  <c:v>7.25</c:v>
                </c:pt>
                <c:pt idx="87">
                  <c:v>7.333333333333333</c:v>
                </c:pt>
                <c:pt idx="88">
                  <c:v>7.416666666666667</c:v>
                </c:pt>
                <c:pt idx="89">
                  <c:v>7.5</c:v>
                </c:pt>
                <c:pt idx="90">
                  <c:v>7.583333333333333</c:v>
                </c:pt>
                <c:pt idx="91">
                  <c:v>7.666666666666667</c:v>
                </c:pt>
                <c:pt idx="92">
                  <c:v>7.75</c:v>
                </c:pt>
                <c:pt idx="93">
                  <c:v>7.833333333333333</c:v>
                </c:pt>
                <c:pt idx="94">
                  <c:v>7.916666666666667</c:v>
                </c:pt>
                <c:pt idx="95">
                  <c:v>8</c:v>
                </c:pt>
                <c:pt idx="96">
                  <c:v>8.0833333333333339</c:v>
                </c:pt>
                <c:pt idx="97">
                  <c:v>8.1666666666666661</c:v>
                </c:pt>
                <c:pt idx="98">
                  <c:v>8.25</c:v>
                </c:pt>
                <c:pt idx="99">
                  <c:v>8.3333333333333339</c:v>
                </c:pt>
                <c:pt idx="100">
                  <c:v>8.4166666666666661</c:v>
                </c:pt>
                <c:pt idx="101">
                  <c:v>8.5</c:v>
                </c:pt>
                <c:pt idx="102">
                  <c:v>8.5833333333333339</c:v>
                </c:pt>
                <c:pt idx="103">
                  <c:v>8.6666666666666661</c:v>
                </c:pt>
                <c:pt idx="104">
                  <c:v>8.75</c:v>
                </c:pt>
                <c:pt idx="105">
                  <c:v>8.8333333333333339</c:v>
                </c:pt>
                <c:pt idx="106">
                  <c:v>8.9166666666666661</c:v>
                </c:pt>
                <c:pt idx="107">
                  <c:v>9</c:v>
                </c:pt>
                <c:pt idx="108">
                  <c:v>9.0833333333333339</c:v>
                </c:pt>
                <c:pt idx="109">
                  <c:v>9.1666666666666661</c:v>
                </c:pt>
                <c:pt idx="110">
                  <c:v>9.25</c:v>
                </c:pt>
                <c:pt idx="111">
                  <c:v>9.3333333333333339</c:v>
                </c:pt>
                <c:pt idx="112">
                  <c:v>9.4166666666666661</c:v>
                </c:pt>
                <c:pt idx="113">
                  <c:v>9.5</c:v>
                </c:pt>
                <c:pt idx="114">
                  <c:v>9.5833333333333339</c:v>
                </c:pt>
                <c:pt idx="115">
                  <c:v>9.6666666666666661</c:v>
                </c:pt>
                <c:pt idx="116">
                  <c:v>9.75</c:v>
                </c:pt>
                <c:pt idx="117">
                  <c:v>9.8333333333333339</c:v>
                </c:pt>
                <c:pt idx="118">
                  <c:v>9.9166666666666661</c:v>
                </c:pt>
                <c:pt idx="119">
                  <c:v>10</c:v>
                </c:pt>
                <c:pt idx="120">
                  <c:v>10.083333333333334</c:v>
                </c:pt>
                <c:pt idx="121">
                  <c:v>10.166666666666666</c:v>
                </c:pt>
                <c:pt idx="122">
                  <c:v>10.25</c:v>
                </c:pt>
                <c:pt idx="123">
                  <c:v>10.333333333333334</c:v>
                </c:pt>
                <c:pt idx="124">
                  <c:v>10.416666666666666</c:v>
                </c:pt>
                <c:pt idx="125">
                  <c:v>10.5</c:v>
                </c:pt>
                <c:pt idx="126">
                  <c:v>10.583333333333334</c:v>
                </c:pt>
                <c:pt idx="127">
                  <c:v>10.666666666666666</c:v>
                </c:pt>
                <c:pt idx="128">
                  <c:v>10.75</c:v>
                </c:pt>
                <c:pt idx="129">
                  <c:v>10.833333333333334</c:v>
                </c:pt>
                <c:pt idx="130">
                  <c:v>10.916666666666666</c:v>
                </c:pt>
                <c:pt idx="131">
                  <c:v>11</c:v>
                </c:pt>
                <c:pt idx="132">
                  <c:v>11.083333333333334</c:v>
                </c:pt>
                <c:pt idx="133">
                  <c:v>11.166666666666666</c:v>
                </c:pt>
                <c:pt idx="134">
                  <c:v>11.25</c:v>
                </c:pt>
                <c:pt idx="135">
                  <c:v>11.333333333333334</c:v>
                </c:pt>
                <c:pt idx="136">
                  <c:v>11.416666666666666</c:v>
                </c:pt>
                <c:pt idx="137">
                  <c:v>11.5</c:v>
                </c:pt>
                <c:pt idx="138">
                  <c:v>11.583333333333334</c:v>
                </c:pt>
                <c:pt idx="139">
                  <c:v>11.666666666666666</c:v>
                </c:pt>
                <c:pt idx="140">
                  <c:v>11.75</c:v>
                </c:pt>
                <c:pt idx="141">
                  <c:v>11.833333333333334</c:v>
                </c:pt>
                <c:pt idx="142">
                  <c:v>11.916666666666666</c:v>
                </c:pt>
                <c:pt idx="143">
                  <c:v>12</c:v>
                </c:pt>
                <c:pt idx="144">
                  <c:v>12.083333333333334</c:v>
                </c:pt>
                <c:pt idx="145">
                  <c:v>12.166666666666666</c:v>
                </c:pt>
                <c:pt idx="146">
                  <c:v>12.25</c:v>
                </c:pt>
                <c:pt idx="147">
                  <c:v>12.333333333333334</c:v>
                </c:pt>
                <c:pt idx="148">
                  <c:v>12.416666666666666</c:v>
                </c:pt>
                <c:pt idx="149">
                  <c:v>12.5</c:v>
                </c:pt>
                <c:pt idx="150">
                  <c:v>12.583333333333334</c:v>
                </c:pt>
                <c:pt idx="151">
                  <c:v>12.666666666666666</c:v>
                </c:pt>
                <c:pt idx="152">
                  <c:v>12.75</c:v>
                </c:pt>
                <c:pt idx="153">
                  <c:v>12.833333333333334</c:v>
                </c:pt>
                <c:pt idx="154">
                  <c:v>12.916666666666666</c:v>
                </c:pt>
                <c:pt idx="155">
                  <c:v>13</c:v>
                </c:pt>
                <c:pt idx="156">
                  <c:v>13.083333333333334</c:v>
                </c:pt>
                <c:pt idx="157">
                  <c:v>13.166666666666666</c:v>
                </c:pt>
                <c:pt idx="158">
                  <c:v>13.25</c:v>
                </c:pt>
                <c:pt idx="159">
                  <c:v>13.333333333333334</c:v>
                </c:pt>
                <c:pt idx="160">
                  <c:v>13.416666666666666</c:v>
                </c:pt>
                <c:pt idx="161">
                  <c:v>13.5</c:v>
                </c:pt>
                <c:pt idx="162">
                  <c:v>13.583333333333334</c:v>
                </c:pt>
                <c:pt idx="163">
                  <c:v>13.666666666666666</c:v>
                </c:pt>
                <c:pt idx="164">
                  <c:v>13.75</c:v>
                </c:pt>
                <c:pt idx="165">
                  <c:v>13.833333333333334</c:v>
                </c:pt>
                <c:pt idx="166">
                  <c:v>13.916666666666666</c:v>
                </c:pt>
                <c:pt idx="167">
                  <c:v>14</c:v>
                </c:pt>
                <c:pt idx="168">
                  <c:v>14.083333333333334</c:v>
                </c:pt>
                <c:pt idx="169">
                  <c:v>14.166666666666666</c:v>
                </c:pt>
                <c:pt idx="170">
                  <c:v>14.25</c:v>
                </c:pt>
                <c:pt idx="171">
                  <c:v>14.333333333333334</c:v>
                </c:pt>
                <c:pt idx="172">
                  <c:v>14.416666666666666</c:v>
                </c:pt>
                <c:pt idx="173">
                  <c:v>14.5</c:v>
                </c:pt>
                <c:pt idx="174">
                  <c:v>14.583333333333334</c:v>
                </c:pt>
                <c:pt idx="175">
                  <c:v>14.666666666666666</c:v>
                </c:pt>
                <c:pt idx="176">
                  <c:v>14.75</c:v>
                </c:pt>
                <c:pt idx="177">
                  <c:v>14.833333333333334</c:v>
                </c:pt>
                <c:pt idx="178">
                  <c:v>14.916666666666666</c:v>
                </c:pt>
                <c:pt idx="179">
                  <c:v>15</c:v>
                </c:pt>
                <c:pt idx="180">
                  <c:v>15.083333333333334</c:v>
                </c:pt>
                <c:pt idx="181">
                  <c:v>15.166666666666666</c:v>
                </c:pt>
                <c:pt idx="182">
                  <c:v>15.25</c:v>
                </c:pt>
                <c:pt idx="183">
                  <c:v>15.333333333333334</c:v>
                </c:pt>
                <c:pt idx="184">
                  <c:v>15.416666666666666</c:v>
                </c:pt>
                <c:pt idx="185">
                  <c:v>15.5</c:v>
                </c:pt>
                <c:pt idx="186">
                  <c:v>15.583333333333334</c:v>
                </c:pt>
                <c:pt idx="187">
                  <c:v>15.666666666666666</c:v>
                </c:pt>
                <c:pt idx="188">
                  <c:v>15.75</c:v>
                </c:pt>
                <c:pt idx="189">
                  <c:v>15.833333333333334</c:v>
                </c:pt>
                <c:pt idx="190">
                  <c:v>15.916666666666666</c:v>
                </c:pt>
                <c:pt idx="191">
                  <c:v>16</c:v>
                </c:pt>
                <c:pt idx="192">
                  <c:v>16.083333333333332</c:v>
                </c:pt>
                <c:pt idx="193">
                  <c:v>16.166666666666668</c:v>
                </c:pt>
                <c:pt idx="194">
                  <c:v>16.25</c:v>
                </c:pt>
                <c:pt idx="195">
                  <c:v>16.333333333333332</c:v>
                </c:pt>
                <c:pt idx="196">
                  <c:v>16.416666666666668</c:v>
                </c:pt>
                <c:pt idx="197">
                  <c:v>16.5</c:v>
                </c:pt>
                <c:pt idx="198">
                  <c:v>16.583333333333332</c:v>
                </c:pt>
                <c:pt idx="199">
                  <c:v>16.666666666666668</c:v>
                </c:pt>
                <c:pt idx="200">
                  <c:v>16.75</c:v>
                </c:pt>
                <c:pt idx="201">
                  <c:v>16.833333333333332</c:v>
                </c:pt>
                <c:pt idx="202">
                  <c:v>16.916666666666668</c:v>
                </c:pt>
                <c:pt idx="203">
                  <c:v>17</c:v>
                </c:pt>
                <c:pt idx="204">
                  <c:v>17.083333333333332</c:v>
                </c:pt>
                <c:pt idx="205">
                  <c:v>17.166666666666668</c:v>
                </c:pt>
                <c:pt idx="206">
                  <c:v>17.25</c:v>
                </c:pt>
                <c:pt idx="207">
                  <c:v>17.333333333333332</c:v>
                </c:pt>
                <c:pt idx="208">
                  <c:v>17.416666666666668</c:v>
                </c:pt>
                <c:pt idx="209">
                  <c:v>17.5</c:v>
                </c:pt>
                <c:pt idx="210">
                  <c:v>17.583333333333332</c:v>
                </c:pt>
                <c:pt idx="211">
                  <c:v>17.666666666666668</c:v>
                </c:pt>
                <c:pt idx="212">
                  <c:v>17.75</c:v>
                </c:pt>
                <c:pt idx="213">
                  <c:v>17.833333333333332</c:v>
                </c:pt>
                <c:pt idx="214">
                  <c:v>17.916666666666668</c:v>
                </c:pt>
                <c:pt idx="215">
                  <c:v>18</c:v>
                </c:pt>
                <c:pt idx="216">
                  <c:v>18.083333333333332</c:v>
                </c:pt>
                <c:pt idx="217">
                  <c:v>18.166666666666668</c:v>
                </c:pt>
                <c:pt idx="218">
                  <c:v>18.25</c:v>
                </c:pt>
                <c:pt idx="219">
                  <c:v>18.333333333333332</c:v>
                </c:pt>
                <c:pt idx="220">
                  <c:v>18.416666666666668</c:v>
                </c:pt>
                <c:pt idx="221">
                  <c:v>18.5</c:v>
                </c:pt>
                <c:pt idx="222">
                  <c:v>18.583333333333332</c:v>
                </c:pt>
                <c:pt idx="223">
                  <c:v>18.666666666666668</c:v>
                </c:pt>
                <c:pt idx="224">
                  <c:v>18.75</c:v>
                </c:pt>
                <c:pt idx="225">
                  <c:v>18.833333333333332</c:v>
                </c:pt>
                <c:pt idx="226">
                  <c:v>18.916666666666668</c:v>
                </c:pt>
                <c:pt idx="227">
                  <c:v>19</c:v>
                </c:pt>
                <c:pt idx="228">
                  <c:v>19.083333333333332</c:v>
                </c:pt>
                <c:pt idx="229">
                  <c:v>19.166666666666668</c:v>
                </c:pt>
                <c:pt idx="230">
                  <c:v>19.25</c:v>
                </c:pt>
                <c:pt idx="231">
                  <c:v>19.333333333333332</c:v>
                </c:pt>
                <c:pt idx="232">
                  <c:v>19.416666666666668</c:v>
                </c:pt>
                <c:pt idx="233">
                  <c:v>19.5</c:v>
                </c:pt>
                <c:pt idx="234">
                  <c:v>19.583333333333332</c:v>
                </c:pt>
                <c:pt idx="235">
                  <c:v>19.666666666666668</c:v>
                </c:pt>
                <c:pt idx="236">
                  <c:v>19.75</c:v>
                </c:pt>
                <c:pt idx="237">
                  <c:v>19.833333333333332</c:v>
                </c:pt>
                <c:pt idx="238">
                  <c:v>19.916666666666668</c:v>
                </c:pt>
                <c:pt idx="239">
                  <c:v>20</c:v>
                </c:pt>
                <c:pt idx="240">
                  <c:v>20.083333333333332</c:v>
                </c:pt>
                <c:pt idx="241">
                  <c:v>20.166666666666668</c:v>
                </c:pt>
                <c:pt idx="242">
                  <c:v>20.25</c:v>
                </c:pt>
                <c:pt idx="243">
                  <c:v>20.333333333333332</c:v>
                </c:pt>
                <c:pt idx="244">
                  <c:v>20.416666666666668</c:v>
                </c:pt>
                <c:pt idx="245">
                  <c:v>20.5</c:v>
                </c:pt>
                <c:pt idx="246">
                  <c:v>20.583333333333332</c:v>
                </c:pt>
                <c:pt idx="247">
                  <c:v>20.666666666666668</c:v>
                </c:pt>
                <c:pt idx="248">
                  <c:v>20.75</c:v>
                </c:pt>
                <c:pt idx="249">
                  <c:v>20.833333333333332</c:v>
                </c:pt>
                <c:pt idx="250">
                  <c:v>20.916666666666668</c:v>
                </c:pt>
                <c:pt idx="251">
                  <c:v>21</c:v>
                </c:pt>
                <c:pt idx="252">
                  <c:v>21.083333333333332</c:v>
                </c:pt>
                <c:pt idx="253">
                  <c:v>21.166666666666668</c:v>
                </c:pt>
                <c:pt idx="254">
                  <c:v>21.25</c:v>
                </c:pt>
                <c:pt idx="255">
                  <c:v>21.333333333333332</c:v>
                </c:pt>
                <c:pt idx="256">
                  <c:v>21.416666666666668</c:v>
                </c:pt>
                <c:pt idx="257">
                  <c:v>21.5</c:v>
                </c:pt>
                <c:pt idx="258">
                  <c:v>21.583333333333332</c:v>
                </c:pt>
                <c:pt idx="259">
                  <c:v>21.666666666666668</c:v>
                </c:pt>
                <c:pt idx="260">
                  <c:v>21.75</c:v>
                </c:pt>
                <c:pt idx="261">
                  <c:v>21.833333333333332</c:v>
                </c:pt>
                <c:pt idx="262">
                  <c:v>21.916666666666668</c:v>
                </c:pt>
                <c:pt idx="263">
                  <c:v>22</c:v>
                </c:pt>
                <c:pt idx="264">
                  <c:v>22.083333333333332</c:v>
                </c:pt>
                <c:pt idx="265">
                  <c:v>22.166666666666668</c:v>
                </c:pt>
                <c:pt idx="266">
                  <c:v>22.25</c:v>
                </c:pt>
                <c:pt idx="267">
                  <c:v>22.333333333333332</c:v>
                </c:pt>
                <c:pt idx="268">
                  <c:v>22.416666666666668</c:v>
                </c:pt>
                <c:pt idx="269">
                  <c:v>22.5</c:v>
                </c:pt>
                <c:pt idx="270">
                  <c:v>22.583333333333332</c:v>
                </c:pt>
                <c:pt idx="271">
                  <c:v>22.666666666666668</c:v>
                </c:pt>
                <c:pt idx="272">
                  <c:v>22.75</c:v>
                </c:pt>
                <c:pt idx="273">
                  <c:v>22.833333333333332</c:v>
                </c:pt>
                <c:pt idx="274">
                  <c:v>22.916666666666668</c:v>
                </c:pt>
                <c:pt idx="275">
                  <c:v>23</c:v>
                </c:pt>
                <c:pt idx="276">
                  <c:v>23.083333333333332</c:v>
                </c:pt>
                <c:pt idx="277">
                  <c:v>23.166666666666668</c:v>
                </c:pt>
                <c:pt idx="278">
                  <c:v>23.25</c:v>
                </c:pt>
                <c:pt idx="279">
                  <c:v>23.333333333333332</c:v>
                </c:pt>
                <c:pt idx="280">
                  <c:v>23.416666666666668</c:v>
                </c:pt>
                <c:pt idx="281">
                  <c:v>23.5</c:v>
                </c:pt>
                <c:pt idx="282">
                  <c:v>23.583333333333332</c:v>
                </c:pt>
                <c:pt idx="283">
                  <c:v>23.666666666666668</c:v>
                </c:pt>
                <c:pt idx="284">
                  <c:v>23.75</c:v>
                </c:pt>
                <c:pt idx="285">
                  <c:v>23.833333333333332</c:v>
                </c:pt>
                <c:pt idx="286">
                  <c:v>23.916666666666668</c:v>
                </c:pt>
                <c:pt idx="287">
                  <c:v>24</c:v>
                </c:pt>
                <c:pt idx="288">
                  <c:v>24.083333333333332</c:v>
                </c:pt>
                <c:pt idx="289">
                  <c:v>24.166666666666668</c:v>
                </c:pt>
                <c:pt idx="290">
                  <c:v>24.25</c:v>
                </c:pt>
                <c:pt idx="291">
                  <c:v>24.333333333333332</c:v>
                </c:pt>
                <c:pt idx="292">
                  <c:v>24.416666666666668</c:v>
                </c:pt>
                <c:pt idx="293">
                  <c:v>24.5</c:v>
                </c:pt>
                <c:pt idx="294">
                  <c:v>24.583333333333332</c:v>
                </c:pt>
                <c:pt idx="295">
                  <c:v>24.666666666666668</c:v>
                </c:pt>
                <c:pt idx="296">
                  <c:v>24.75</c:v>
                </c:pt>
                <c:pt idx="297">
                  <c:v>24.833333333333332</c:v>
                </c:pt>
                <c:pt idx="298">
                  <c:v>24.916666666666668</c:v>
                </c:pt>
                <c:pt idx="299">
                  <c:v>25</c:v>
                </c:pt>
                <c:pt idx="300">
                  <c:v>25.083333333333332</c:v>
                </c:pt>
                <c:pt idx="301">
                  <c:v>25.166666666666668</c:v>
                </c:pt>
                <c:pt idx="302">
                  <c:v>25.25</c:v>
                </c:pt>
                <c:pt idx="303">
                  <c:v>25.333333333333332</c:v>
                </c:pt>
                <c:pt idx="304">
                  <c:v>25.416666666666668</c:v>
                </c:pt>
                <c:pt idx="305">
                  <c:v>25.5</c:v>
                </c:pt>
                <c:pt idx="306">
                  <c:v>25.583333333333332</c:v>
                </c:pt>
                <c:pt idx="307">
                  <c:v>25.666666666666668</c:v>
                </c:pt>
                <c:pt idx="308">
                  <c:v>25.75</c:v>
                </c:pt>
                <c:pt idx="309">
                  <c:v>25.833333333333332</c:v>
                </c:pt>
                <c:pt idx="310">
                  <c:v>25.916666666666668</c:v>
                </c:pt>
                <c:pt idx="311">
                  <c:v>26</c:v>
                </c:pt>
                <c:pt idx="312">
                  <c:v>26.083333333333332</c:v>
                </c:pt>
                <c:pt idx="313">
                  <c:v>26.166666666666668</c:v>
                </c:pt>
                <c:pt idx="314">
                  <c:v>26.25</c:v>
                </c:pt>
                <c:pt idx="315">
                  <c:v>26.333333333333332</c:v>
                </c:pt>
                <c:pt idx="316">
                  <c:v>26.416666666666668</c:v>
                </c:pt>
                <c:pt idx="317">
                  <c:v>26.5</c:v>
                </c:pt>
                <c:pt idx="318">
                  <c:v>26.583333333333332</c:v>
                </c:pt>
                <c:pt idx="319">
                  <c:v>26.666666666666668</c:v>
                </c:pt>
                <c:pt idx="320">
                  <c:v>26.75</c:v>
                </c:pt>
                <c:pt idx="321">
                  <c:v>26.833333333333332</c:v>
                </c:pt>
                <c:pt idx="322">
                  <c:v>26.916666666666668</c:v>
                </c:pt>
                <c:pt idx="323">
                  <c:v>27</c:v>
                </c:pt>
                <c:pt idx="324">
                  <c:v>27.083333333333332</c:v>
                </c:pt>
                <c:pt idx="325">
                  <c:v>27.166666666666668</c:v>
                </c:pt>
                <c:pt idx="326">
                  <c:v>27.25</c:v>
                </c:pt>
                <c:pt idx="327">
                  <c:v>27.333333333333332</c:v>
                </c:pt>
                <c:pt idx="328">
                  <c:v>27.416666666666668</c:v>
                </c:pt>
                <c:pt idx="329">
                  <c:v>27.5</c:v>
                </c:pt>
                <c:pt idx="330">
                  <c:v>27.583333333333332</c:v>
                </c:pt>
                <c:pt idx="331">
                  <c:v>27.666666666666668</c:v>
                </c:pt>
                <c:pt idx="332">
                  <c:v>27.75</c:v>
                </c:pt>
                <c:pt idx="333">
                  <c:v>27.833333333333332</c:v>
                </c:pt>
                <c:pt idx="334">
                  <c:v>27.916666666666668</c:v>
                </c:pt>
                <c:pt idx="335">
                  <c:v>28</c:v>
                </c:pt>
                <c:pt idx="336">
                  <c:v>28.083333333333332</c:v>
                </c:pt>
                <c:pt idx="337">
                  <c:v>28.166666666666668</c:v>
                </c:pt>
                <c:pt idx="338">
                  <c:v>28.25</c:v>
                </c:pt>
                <c:pt idx="339">
                  <c:v>28.333333333333332</c:v>
                </c:pt>
                <c:pt idx="340">
                  <c:v>28.416666666666668</c:v>
                </c:pt>
                <c:pt idx="341">
                  <c:v>28.5</c:v>
                </c:pt>
                <c:pt idx="342">
                  <c:v>28.583333333333332</c:v>
                </c:pt>
                <c:pt idx="343">
                  <c:v>28.666666666666668</c:v>
                </c:pt>
                <c:pt idx="344">
                  <c:v>28.75</c:v>
                </c:pt>
                <c:pt idx="345">
                  <c:v>28.833333333333332</c:v>
                </c:pt>
                <c:pt idx="346">
                  <c:v>28.916666666666668</c:v>
                </c:pt>
                <c:pt idx="347">
                  <c:v>29</c:v>
                </c:pt>
                <c:pt idx="348">
                  <c:v>29.083333333333332</c:v>
                </c:pt>
                <c:pt idx="349">
                  <c:v>29.166666666666668</c:v>
                </c:pt>
                <c:pt idx="350">
                  <c:v>29.25</c:v>
                </c:pt>
                <c:pt idx="351">
                  <c:v>29.333333333333332</c:v>
                </c:pt>
                <c:pt idx="352">
                  <c:v>29.416666666666668</c:v>
                </c:pt>
                <c:pt idx="353">
                  <c:v>29.5</c:v>
                </c:pt>
                <c:pt idx="354">
                  <c:v>29.583333333333332</c:v>
                </c:pt>
                <c:pt idx="355">
                  <c:v>29.666666666666668</c:v>
                </c:pt>
                <c:pt idx="356">
                  <c:v>29.75</c:v>
                </c:pt>
                <c:pt idx="357">
                  <c:v>29.833333333333332</c:v>
                </c:pt>
                <c:pt idx="358">
                  <c:v>29.916666666666668</c:v>
                </c:pt>
                <c:pt idx="359">
                  <c:v>30</c:v>
                </c:pt>
                <c:pt idx="360">
                  <c:v>30.083333333333332</c:v>
                </c:pt>
                <c:pt idx="361">
                  <c:v>30.166666666666668</c:v>
                </c:pt>
                <c:pt idx="362">
                  <c:v>30.25</c:v>
                </c:pt>
                <c:pt idx="363">
                  <c:v>30.333333333333332</c:v>
                </c:pt>
                <c:pt idx="364">
                  <c:v>30.416666666666668</c:v>
                </c:pt>
                <c:pt idx="365">
                  <c:v>30.5</c:v>
                </c:pt>
                <c:pt idx="366">
                  <c:v>30.583333333333332</c:v>
                </c:pt>
                <c:pt idx="367">
                  <c:v>30.666666666666668</c:v>
                </c:pt>
                <c:pt idx="368">
                  <c:v>30.75</c:v>
                </c:pt>
                <c:pt idx="369">
                  <c:v>30.833333333333332</c:v>
                </c:pt>
                <c:pt idx="370">
                  <c:v>30.916666666666668</c:v>
                </c:pt>
                <c:pt idx="371">
                  <c:v>31</c:v>
                </c:pt>
                <c:pt idx="372">
                  <c:v>31.083333333333332</c:v>
                </c:pt>
                <c:pt idx="373">
                  <c:v>31.166666666666668</c:v>
                </c:pt>
                <c:pt idx="374">
                  <c:v>31.25</c:v>
                </c:pt>
                <c:pt idx="375">
                  <c:v>31.333333333333332</c:v>
                </c:pt>
                <c:pt idx="376">
                  <c:v>31.416666666666668</c:v>
                </c:pt>
                <c:pt idx="377">
                  <c:v>31.5</c:v>
                </c:pt>
                <c:pt idx="378">
                  <c:v>31.583333333333332</c:v>
                </c:pt>
                <c:pt idx="379">
                  <c:v>31.666666666666668</c:v>
                </c:pt>
                <c:pt idx="380">
                  <c:v>31.75</c:v>
                </c:pt>
                <c:pt idx="381">
                  <c:v>31.833333333333332</c:v>
                </c:pt>
                <c:pt idx="382">
                  <c:v>31.916666666666668</c:v>
                </c:pt>
                <c:pt idx="383">
                  <c:v>32</c:v>
                </c:pt>
                <c:pt idx="384">
                  <c:v>32.083333333333336</c:v>
                </c:pt>
                <c:pt idx="385">
                  <c:v>32.166666666666664</c:v>
                </c:pt>
                <c:pt idx="386">
                  <c:v>32.25</c:v>
                </c:pt>
                <c:pt idx="387">
                  <c:v>32.333333333333336</c:v>
                </c:pt>
                <c:pt idx="388">
                  <c:v>32.416666666666664</c:v>
                </c:pt>
                <c:pt idx="389">
                  <c:v>32.5</c:v>
                </c:pt>
                <c:pt idx="390">
                  <c:v>32.583333333333336</c:v>
                </c:pt>
                <c:pt idx="391">
                  <c:v>32.666666666666664</c:v>
                </c:pt>
                <c:pt idx="392">
                  <c:v>32.75</c:v>
                </c:pt>
                <c:pt idx="393">
                  <c:v>32.833333333333336</c:v>
                </c:pt>
                <c:pt idx="394">
                  <c:v>32.916666666666664</c:v>
                </c:pt>
                <c:pt idx="395">
                  <c:v>33</c:v>
                </c:pt>
                <c:pt idx="396">
                  <c:v>33.083333333333336</c:v>
                </c:pt>
                <c:pt idx="397">
                  <c:v>33.166666666666664</c:v>
                </c:pt>
                <c:pt idx="398">
                  <c:v>33.25</c:v>
                </c:pt>
                <c:pt idx="399">
                  <c:v>33.333333333333336</c:v>
                </c:pt>
                <c:pt idx="400">
                  <c:v>33.416666666666664</c:v>
                </c:pt>
                <c:pt idx="401">
                  <c:v>33.5</c:v>
                </c:pt>
                <c:pt idx="402">
                  <c:v>33.583333333333336</c:v>
                </c:pt>
                <c:pt idx="403">
                  <c:v>33.666666666666664</c:v>
                </c:pt>
                <c:pt idx="404">
                  <c:v>33.75</c:v>
                </c:pt>
                <c:pt idx="405">
                  <c:v>33.833333333333336</c:v>
                </c:pt>
                <c:pt idx="406">
                  <c:v>33.916666666666664</c:v>
                </c:pt>
                <c:pt idx="407">
                  <c:v>34</c:v>
                </c:pt>
                <c:pt idx="408">
                  <c:v>34.083333333333336</c:v>
                </c:pt>
                <c:pt idx="409">
                  <c:v>34.166666666666664</c:v>
                </c:pt>
                <c:pt idx="410">
                  <c:v>34.25</c:v>
                </c:pt>
                <c:pt idx="411">
                  <c:v>34.333333333333336</c:v>
                </c:pt>
                <c:pt idx="412">
                  <c:v>34.416666666666664</c:v>
                </c:pt>
                <c:pt idx="413">
                  <c:v>34.5</c:v>
                </c:pt>
                <c:pt idx="414">
                  <c:v>34.583333333333336</c:v>
                </c:pt>
                <c:pt idx="415">
                  <c:v>34.666666666666664</c:v>
                </c:pt>
                <c:pt idx="416">
                  <c:v>34.75</c:v>
                </c:pt>
                <c:pt idx="417">
                  <c:v>34.833333333333336</c:v>
                </c:pt>
                <c:pt idx="418">
                  <c:v>34.916666666666664</c:v>
                </c:pt>
                <c:pt idx="419">
                  <c:v>35</c:v>
                </c:pt>
                <c:pt idx="420">
                  <c:v>35.083333333333336</c:v>
                </c:pt>
                <c:pt idx="421">
                  <c:v>35.166666666666664</c:v>
                </c:pt>
                <c:pt idx="422">
                  <c:v>35.25</c:v>
                </c:pt>
                <c:pt idx="423">
                  <c:v>35.333333333333336</c:v>
                </c:pt>
                <c:pt idx="424">
                  <c:v>35.416666666666664</c:v>
                </c:pt>
                <c:pt idx="425">
                  <c:v>35.5</c:v>
                </c:pt>
                <c:pt idx="426">
                  <c:v>35.583333333333336</c:v>
                </c:pt>
                <c:pt idx="427">
                  <c:v>35.666666666666664</c:v>
                </c:pt>
                <c:pt idx="428">
                  <c:v>35.75</c:v>
                </c:pt>
                <c:pt idx="429">
                  <c:v>35.833333333333336</c:v>
                </c:pt>
                <c:pt idx="430">
                  <c:v>35.916666666666664</c:v>
                </c:pt>
                <c:pt idx="431">
                  <c:v>36</c:v>
                </c:pt>
                <c:pt idx="432">
                  <c:v>36.083333333333336</c:v>
                </c:pt>
                <c:pt idx="433">
                  <c:v>36.166666666666664</c:v>
                </c:pt>
                <c:pt idx="434">
                  <c:v>36.25</c:v>
                </c:pt>
                <c:pt idx="435">
                  <c:v>36.333333333333336</c:v>
                </c:pt>
                <c:pt idx="436">
                  <c:v>36.416666666666664</c:v>
                </c:pt>
                <c:pt idx="437">
                  <c:v>36.5</c:v>
                </c:pt>
                <c:pt idx="438">
                  <c:v>36.583333333333336</c:v>
                </c:pt>
                <c:pt idx="439">
                  <c:v>36.666666666666664</c:v>
                </c:pt>
                <c:pt idx="440">
                  <c:v>36.75</c:v>
                </c:pt>
                <c:pt idx="441">
                  <c:v>36.833333333333336</c:v>
                </c:pt>
                <c:pt idx="442">
                  <c:v>36.916666666666664</c:v>
                </c:pt>
                <c:pt idx="443">
                  <c:v>37</c:v>
                </c:pt>
                <c:pt idx="444">
                  <c:v>37.083333333333336</c:v>
                </c:pt>
                <c:pt idx="445">
                  <c:v>37.166666666666664</c:v>
                </c:pt>
                <c:pt idx="446">
                  <c:v>37.25</c:v>
                </c:pt>
                <c:pt idx="447">
                  <c:v>37.333333333333336</c:v>
                </c:pt>
                <c:pt idx="448">
                  <c:v>37.416666666666664</c:v>
                </c:pt>
                <c:pt idx="449">
                  <c:v>37.5</c:v>
                </c:pt>
                <c:pt idx="450">
                  <c:v>37.583333333333336</c:v>
                </c:pt>
                <c:pt idx="451">
                  <c:v>37.666666666666664</c:v>
                </c:pt>
                <c:pt idx="452">
                  <c:v>37.75</c:v>
                </c:pt>
                <c:pt idx="453">
                  <c:v>37.833333333333336</c:v>
                </c:pt>
                <c:pt idx="454">
                  <c:v>37.916666666666664</c:v>
                </c:pt>
                <c:pt idx="455">
                  <c:v>38</c:v>
                </c:pt>
                <c:pt idx="456">
                  <c:v>38.083333333333336</c:v>
                </c:pt>
                <c:pt idx="457">
                  <c:v>38.166666666666664</c:v>
                </c:pt>
                <c:pt idx="458">
                  <c:v>38.25</c:v>
                </c:pt>
                <c:pt idx="459">
                  <c:v>38.333333333333336</c:v>
                </c:pt>
                <c:pt idx="460">
                  <c:v>38.416666666666664</c:v>
                </c:pt>
                <c:pt idx="461">
                  <c:v>38.5</c:v>
                </c:pt>
                <c:pt idx="462">
                  <c:v>38.583333333333336</c:v>
                </c:pt>
                <c:pt idx="463">
                  <c:v>38.666666666666664</c:v>
                </c:pt>
                <c:pt idx="464">
                  <c:v>38.75</c:v>
                </c:pt>
                <c:pt idx="465">
                  <c:v>38.833333333333336</c:v>
                </c:pt>
                <c:pt idx="466">
                  <c:v>38.916666666666664</c:v>
                </c:pt>
                <c:pt idx="467">
                  <c:v>39</c:v>
                </c:pt>
                <c:pt idx="468">
                  <c:v>39.083333333333336</c:v>
                </c:pt>
                <c:pt idx="469">
                  <c:v>39.166666666666664</c:v>
                </c:pt>
                <c:pt idx="470">
                  <c:v>39.25</c:v>
                </c:pt>
                <c:pt idx="471">
                  <c:v>39.333333333333336</c:v>
                </c:pt>
                <c:pt idx="472">
                  <c:v>39.416666666666664</c:v>
                </c:pt>
                <c:pt idx="473">
                  <c:v>39.5</c:v>
                </c:pt>
                <c:pt idx="474">
                  <c:v>39.583333333333336</c:v>
                </c:pt>
                <c:pt idx="475">
                  <c:v>39.666666666666664</c:v>
                </c:pt>
                <c:pt idx="476">
                  <c:v>39.75</c:v>
                </c:pt>
                <c:pt idx="477">
                  <c:v>39.833333333333336</c:v>
                </c:pt>
                <c:pt idx="478">
                  <c:v>39.916666666666664</c:v>
                </c:pt>
                <c:pt idx="479">
                  <c:v>40</c:v>
                </c:pt>
              </c:numCache>
            </c:numRef>
          </c:xVal>
          <c:yVal>
            <c:numRef>
              <c:f>'Figures B1-B3'!$E$14:$RP$14</c:f>
              <c:numCache>
                <c:formatCode>#,##0.00</c:formatCode>
                <c:ptCount val="480"/>
                <c:pt idx="1">
                  <c:v>7.1344810150982126E-4</c:v>
                </c:pt>
                <c:pt idx="2">
                  <c:v>1.9210599792084484E-3</c:v>
                </c:pt>
                <c:pt idx="3">
                  <c:v>3.710481284722322E-3</c:v>
                </c:pt>
                <c:pt idx="4">
                  <c:v>6.0669647836495387E-3</c:v>
                </c:pt>
                <c:pt idx="5">
                  <c:v>8.9760199367558934E-3</c:v>
                </c:pt>
                <c:pt idx="6">
                  <c:v>1.2423409050629839E-2</c:v>
                </c:pt>
                <c:pt idx="7">
                  <c:v>1.639514348189999E-2</c:v>
                </c:pt>
                <c:pt idx="8">
                  <c:v>2.0877479894295104E-2</c:v>
                </c:pt>
                <c:pt idx="9">
                  <c:v>2.5856916567854146E-2</c:v>
                </c:pt>
                <c:pt idx="10">
                  <c:v>3.1320189759568032E-2</c:v>
                </c:pt>
                <c:pt idx="11">
                  <c:v>3.7254270114793694E-2</c:v>
                </c:pt>
                <c:pt idx="12">
                  <c:v>4.3646359128736795E-2</c:v>
                </c:pt>
                <c:pt idx="13">
                  <c:v>5.0483885657353303E-2</c:v>
                </c:pt>
                <c:pt idx="14">
                  <c:v>5.7754502476984215E-2</c:v>
                </c:pt>
                <c:pt idx="15">
                  <c:v>6.5446082892118812E-2</c:v>
                </c:pt>
                <c:pt idx="16">
                  <c:v>7.3546717390575778E-2</c:v>
                </c:pt>
                <c:pt idx="17">
                  <c:v>8.2044710345532762E-2</c:v>
                </c:pt>
                <c:pt idx="18">
                  <c:v>9.0928576763724012E-2</c:v>
                </c:pt>
                <c:pt idx="19">
                  <c:v>0.10018703907923224</c:v>
                </c:pt>
                <c:pt idx="20">
                  <c:v>0.10980902399222769</c:v>
                </c:pt>
                <c:pt idx="21">
                  <c:v>0.11978365935208451</c:v>
                </c:pt>
                <c:pt idx="22">
                  <c:v>0.13010027108424005</c:v>
                </c:pt>
                <c:pt idx="23">
                  <c:v>0.14074838016022767</c:v>
                </c:pt>
                <c:pt idx="24">
                  <c:v>0.15171769961038062</c:v>
                </c:pt>
                <c:pt idx="25">
                  <c:v>0.16299813157843607</c:v>
                </c:pt>
                <c:pt idx="26">
                  <c:v>0.17457976441771961</c:v>
                </c:pt>
                <c:pt idx="27">
                  <c:v>0.18645286982818121</c:v>
                </c:pt>
                <c:pt idx="28">
                  <c:v>0.19860790003377726</c:v>
                </c:pt>
                <c:pt idx="29">
                  <c:v>0.21103548499968905</c:v>
                </c:pt>
                <c:pt idx="30">
                  <c:v>0.22372642968884782</c:v>
                </c:pt>
                <c:pt idx="31">
                  <c:v>0.23667171135710141</c:v>
                </c:pt>
                <c:pt idx="32">
                  <c:v>0.24986247688678054</c:v>
                </c:pt>
                <c:pt idx="33">
                  <c:v>0.26329004015779467</c:v>
                </c:pt>
                <c:pt idx="34">
                  <c:v>0.27694587945605642</c:v>
                </c:pt>
                <c:pt idx="35">
                  <c:v>0.29082163491860125</c:v>
                </c:pt>
                <c:pt idx="36">
                  <c:v>0.3049091060148339</c:v>
                </c:pt>
                <c:pt idx="37">
                  <c:v>0.3192002490635979</c:v>
                </c:pt>
                <c:pt idx="38">
                  <c:v>0.33368717478542353</c:v>
                </c:pt>
                <c:pt idx="39">
                  <c:v>0.34836214588955405</c:v>
                </c:pt>
                <c:pt idx="40">
                  <c:v>0.3632175746952464</c:v>
                </c:pt>
                <c:pt idx="41">
                  <c:v>0.37824602078700154</c:v>
                </c:pt>
                <c:pt idx="42">
                  <c:v>0.39344018870299546</c:v>
                </c:pt>
                <c:pt idx="43">
                  <c:v>0.40879292565655989</c:v>
                </c:pt>
                <c:pt idx="44">
                  <c:v>0.42429721929023012</c:v>
                </c:pt>
                <c:pt idx="45">
                  <c:v>0.43994619546147229</c:v>
                </c:pt>
                <c:pt idx="46">
                  <c:v>0.45573311606049494</c:v>
                </c:pt>
                <c:pt idx="47">
                  <c:v>0.47165137685889524</c:v>
                </c:pt>
                <c:pt idx="48">
                  <c:v>0.48769450538915127</c:v>
                </c:pt>
                <c:pt idx="49">
                  <c:v>0.50385615885448187</c:v>
                </c:pt>
                <c:pt idx="50">
                  <c:v>0.52013012206869336</c:v>
                </c:pt>
                <c:pt idx="51">
                  <c:v>0.53651030542531863</c:v>
                </c:pt>
                <c:pt idx="52">
                  <c:v>0.55299074289624617</c:v>
                </c:pt>
                <c:pt idx="53">
                  <c:v>0.56956559005861962</c:v>
                </c:pt>
                <c:pt idx="54">
                  <c:v>0.58622912215049583</c:v>
                </c:pt>
                <c:pt idx="55">
                  <c:v>0.60297573215423661</c:v>
                </c:pt>
                <c:pt idx="56">
                  <c:v>0.61979992890742786</c:v>
                </c:pt>
                <c:pt idx="57">
                  <c:v>0.63669633524113944</c:v>
                </c:pt>
                <c:pt idx="58">
                  <c:v>0.65365968614502901</c:v>
                </c:pt>
                <c:pt idx="59">
                  <c:v>0.6706848269585155</c:v>
                </c:pt>
                <c:pt idx="60">
                  <c:v>0.6877667115888153</c:v>
                </c:pt>
                <c:pt idx="61">
                  <c:v>0.70490040075392635</c:v>
                </c:pt>
                <c:pt idx="62">
                  <c:v>0.72208106025137564</c:v>
                </c:pt>
                <c:pt idx="63">
                  <c:v>0.73930395925219994</c:v>
                </c:pt>
                <c:pt idx="64">
                  <c:v>0.75656446861922966</c:v>
                </c:pt>
                <c:pt idx="65">
                  <c:v>0.77385805924998241</c:v>
                </c:pt>
                <c:pt idx="66">
                  <c:v>0.79118030044360665</c:v>
                </c:pt>
                <c:pt idx="67">
                  <c:v>0.80852685829139848</c:v>
                </c:pt>
                <c:pt idx="68">
                  <c:v>0.82589349409075297</c:v>
                </c:pt>
                <c:pt idx="69">
                  <c:v>0.843276062782361</c:v>
                </c:pt>
                <c:pt idx="70">
                  <c:v>0.86067051140990536</c:v>
                </c:pt>
                <c:pt idx="71">
                  <c:v>0.87807287760212027</c:v>
                </c:pt>
                <c:pt idx="72">
                  <c:v>0.8954792880774729</c:v>
                </c:pt>
                <c:pt idx="73">
                  <c:v>0.91288595717022503</c:v>
                </c:pt>
                <c:pt idx="74">
                  <c:v>0.93028918537791228</c:v>
                </c:pt>
                <c:pt idx="75">
                  <c:v>0.94768535793073916</c:v>
                </c:pt>
                <c:pt idx="76">
                  <c:v>0.96507094338107002</c:v>
                </c:pt>
                <c:pt idx="77">
                  <c:v>0.98244249221424695</c:v>
                </c:pt>
                <c:pt idx="78">
                  <c:v>0.99979663547923714</c:v>
                </c:pt>
                <c:pt idx="79">
                  <c:v>1.0171300834401489</c:v>
                </c:pt>
                <c:pt idx="80">
                  <c:v>1.0344396242462768</c:v>
                </c:pt>
                <c:pt idx="81">
                  <c:v>1.051722122623266</c:v>
                </c:pt>
                <c:pt idx="82">
                  <c:v>1.0689745185822463</c:v>
                </c:pt>
                <c:pt idx="83">
                  <c:v>1.0861938261487261</c:v>
                </c:pt>
                <c:pt idx="84">
                  <c:v>1.103377132109701</c:v>
                </c:pt>
                <c:pt idx="85">
                  <c:v>1.1205215947801399</c:v>
                </c:pt>
                <c:pt idx="86">
                  <c:v>1.1376244427862403</c:v>
                </c:pt>
                <c:pt idx="87">
                  <c:v>1.1546829738684128</c:v>
                </c:pt>
                <c:pt idx="88">
                  <c:v>1.1716945537005028</c:v>
                </c:pt>
                <c:pt idx="89">
                  <c:v>1.1886566147273339</c:v>
                </c:pt>
                <c:pt idx="90">
                  <c:v>1.2055666550192932</c:v>
                </c:pt>
                <c:pt idx="91">
                  <c:v>1.222422237144098</c:v>
                </c:pt>
                <c:pt idx="92">
                  <c:v>1.239220987054571</c:v>
                </c:pt>
                <c:pt idx="93">
                  <c:v>1.2559605929941924</c:v>
                </c:pt>
                <c:pt idx="94">
                  <c:v>1.2726388044181718</c:v>
                </c:pt>
                <c:pt idx="95">
                  <c:v>1.2892534309301489</c:v>
                </c:pt>
                <c:pt idx="96">
                  <c:v>1.3058023412363262</c:v>
                </c:pt>
                <c:pt idx="97">
                  <c:v>1.3222834621134147</c:v>
                </c:pt>
                <c:pt idx="98">
                  <c:v>1.3386947773936058</c:v>
                </c:pt>
                <c:pt idx="99">
                  <c:v>1.3550343269632279</c:v>
                </c:pt>
                <c:pt idx="100">
                  <c:v>1.3713002057779029</c:v>
                </c:pt>
                <c:pt idx="101">
                  <c:v>1.3874905628913652</c:v>
                </c:pt>
                <c:pt idx="102">
                  <c:v>1.4036036004994585</c:v>
                </c:pt>
                <c:pt idx="103">
                  <c:v>1.4196375729983508</c:v>
                </c:pt>
                <c:pt idx="104">
                  <c:v>1.43559078605686</c:v>
                </c:pt>
                <c:pt idx="105">
                  <c:v>1.4514615957027317</c:v>
                </c:pt>
                <c:pt idx="106">
                  <c:v>1.4672484074230603</c:v>
                </c:pt>
                <c:pt idx="107">
                  <c:v>1.4829496752780749</c:v>
                </c:pt>
                <c:pt idx="108">
                  <c:v>1.4985639010279499</c:v>
                </c:pt>
                <c:pt idx="109">
                  <c:v>1.5140896332734926</c:v>
                </c:pt>
                <c:pt idx="110">
                  <c:v>1.5295254666096412</c:v>
                </c:pt>
                <c:pt idx="111">
                  <c:v>1.5448700407915936</c:v>
                </c:pt>
                <c:pt idx="112">
                  <c:v>1.5601220399137254</c:v>
                </c:pt>
                <c:pt idx="113">
                  <c:v>1.5752801916014576</c:v>
                </c:pt>
                <c:pt idx="114">
                  <c:v>1.590343266214294</c:v>
                </c:pt>
                <c:pt idx="115">
                  <c:v>1.605310076062576</c:v>
                </c:pt>
                <c:pt idx="116">
                  <c:v>1.6201794746350977</c:v>
                </c:pt>
                <c:pt idx="117">
                  <c:v>1.6349503558382956</c:v>
                </c:pt>
                <c:pt idx="118">
                  <c:v>1.6496216532485484</c:v>
                </c:pt>
                <c:pt idx="119">
                  <c:v>1.66419233937442</c:v>
                </c:pt>
                <c:pt idx="120">
                  <c:v>1.6786614249311178</c:v>
                </c:pt>
                <c:pt idx="121">
                  <c:v>1.6930279581253096</c:v>
                </c:pt>
                <c:pt idx="122">
                  <c:v>1.70729102395239</c:v>
                </c:pt>
                <c:pt idx="123">
                  <c:v>1.7214497435027525</c:v>
                </c:pt>
                <c:pt idx="124">
                  <c:v>1.7355032732801909</c:v>
                </c:pt>
                <c:pt idx="125">
                  <c:v>1.7494508045302659</c:v>
                </c:pt>
                <c:pt idx="126">
                  <c:v>1.7632915625787646</c:v>
                </c:pt>
                <c:pt idx="127">
                  <c:v>1.7770248061812879</c:v>
                </c:pt>
                <c:pt idx="128">
                  <c:v>1.7906498268823654</c:v>
                </c:pt>
                <c:pt idx="129">
                  <c:v>1.804165948383897</c:v>
                </c:pt>
                <c:pt idx="130">
                  <c:v>1.8175725259252857</c:v>
                </c:pt>
                <c:pt idx="131">
                  <c:v>1.8308689456707228</c:v>
                </c:pt>
                <c:pt idx="132">
                  <c:v>1.8440546241087077</c:v>
                </c:pt>
                <c:pt idx="133">
                  <c:v>1.8571290074586244</c:v>
                </c:pt>
                <c:pt idx="134">
                  <c:v>1.8700915710883379</c:v>
                </c:pt>
                <c:pt idx="135">
                  <c:v>1.8829418189390594</c:v>
                </c:pt>
                <c:pt idx="136">
                  <c:v>1.8956792829622771</c:v>
                </c:pt>
                <c:pt idx="137">
                  <c:v>1.9083035225617166</c:v>
                </c:pt>
                <c:pt idx="138">
                  <c:v>1.9208141240470056</c:v>
                </c:pt>
                <c:pt idx="139">
                  <c:v>1.9332107000950955</c:v>
                </c:pt>
                <c:pt idx="140">
                  <c:v>1.9454928892194872</c:v>
                </c:pt>
                <c:pt idx="141">
                  <c:v>1.9576603552487057</c:v>
                </c:pt>
                <c:pt idx="142">
                  <c:v>1.9697127868128987</c:v>
                </c:pt>
                <c:pt idx="143">
                  <c:v>1.9816498968382987</c:v>
                </c:pt>
                <c:pt idx="144">
                  <c:v>1.9934714220497654</c:v>
                </c:pt>
                <c:pt idx="145">
                  <c:v>2.0051771224818324</c:v>
                </c:pt>
                <c:pt idx="146">
                  <c:v>2.0167667809964271</c:v>
                </c:pt>
                <c:pt idx="147">
                  <c:v>2.0282402028093074</c:v>
                </c:pt>
                <c:pt idx="148">
                  <c:v>2.0395972150235977</c:v>
                </c:pt>
                <c:pt idx="149">
                  <c:v>2.0508376661715957</c:v>
                </c:pt>
                <c:pt idx="150">
                  <c:v>2.0619614257616519</c:v>
                </c:pt>
                <c:pt idx="151">
                  <c:v>2.0729683838357502</c:v>
                </c:pt>
                <c:pt idx="152">
                  <c:v>2.0838584505313733</c:v>
                </c:pt>
                <c:pt idx="153">
                  <c:v>2.0946315556515742</c:v>
                </c:pt>
                <c:pt idx="154">
                  <c:v>2.1052876482421681</c:v>
                </c:pt>
                <c:pt idx="155">
                  <c:v>2.1158266961755317</c:v>
                </c:pt>
                <c:pt idx="156">
                  <c:v>2.1262486857403928</c:v>
                </c:pt>
                <c:pt idx="157">
                  <c:v>2.1365536212403811</c:v>
                </c:pt>
                <c:pt idx="158">
                  <c:v>2.1467415245963934</c:v>
                </c:pt>
                <c:pt idx="159">
                  <c:v>2.1568124349577431</c:v>
                </c:pt>
                <c:pt idx="160">
                  <c:v>2.1667664083179545</c:v>
                </c:pt>
                <c:pt idx="161">
                  <c:v>2.1766035171386804</c:v>
                </c:pt>
                <c:pt idx="162">
                  <c:v>2.186323849977434</c:v>
                </c:pt>
                <c:pt idx="163">
                  <c:v>2.1959275111236565</c:v>
                </c:pt>
                <c:pt idx="164">
                  <c:v>2.2054146202397078</c:v>
                </c:pt>
                <c:pt idx="165">
                  <c:v>2.2147853120080399</c:v>
                </c:pt>
                <c:pt idx="166">
                  <c:v>2.2240397357833146</c:v>
                </c:pt>
                <c:pt idx="167">
                  <c:v>2.233178055251706</c:v>
                </c:pt>
                <c:pt idx="168">
                  <c:v>2.2422004480957654</c:v>
                </c:pt>
                <c:pt idx="169">
                  <c:v>2.2511071056630172</c:v>
                </c:pt>
                <c:pt idx="170">
                  <c:v>2.2598982326426125</c:v>
                </c:pt>
                <c:pt idx="171">
                  <c:v>2.2685740467450088</c:v>
                </c:pt>
                <c:pt idx="172">
                  <c:v>2.2771347783889198</c:v>
                </c:pt>
                <c:pt idx="173">
                  <c:v>2.2855806703929744</c:v>
                </c:pt>
                <c:pt idx="174">
                  <c:v>2.2939119776711721</c:v>
                </c:pt>
                <c:pt idx="175">
                  <c:v>2.3021289669356264</c:v>
                </c:pt>
                <c:pt idx="176">
                  <c:v>2.3102319164034242</c:v>
                </c:pt>
                <c:pt idx="177">
                  <c:v>2.3182211155076828</c:v>
                </c:pt>
                <c:pt idx="178">
                  <c:v>2.3260968646134472</c:v>
                </c:pt>
                <c:pt idx="179">
                  <c:v>2.3338594747421126</c:v>
                </c:pt>
                <c:pt idx="180">
                  <c:v>2.341509267293759</c:v>
                </c:pt>
                <c:pt idx="181">
                  <c:v>2.3490465737809103</c:v>
                </c:pt>
                <c:pt idx="182">
                  <c:v>2.356471735562252</c:v>
                </c:pt>
                <c:pt idx="183">
                  <c:v>2.3637851035833819</c:v>
                </c:pt>
                <c:pt idx="184">
                  <c:v>2.3709870381211005</c:v>
                </c:pt>
                <c:pt idx="185">
                  <c:v>2.3780779085332</c:v>
                </c:pt>
                <c:pt idx="186">
                  <c:v>2.385058093009107</c:v>
                </c:pt>
                <c:pt idx="187">
                  <c:v>2.3919279783302869</c:v>
                </c:pt>
                <c:pt idx="188">
                  <c:v>2.398687959630351</c:v>
                </c:pt>
                <c:pt idx="189">
                  <c:v>2.4053384401610884</c:v>
                </c:pt>
                <c:pt idx="190">
                  <c:v>2.4118798310619098</c:v>
                </c:pt>
                <c:pt idx="191">
                  <c:v>2.4183125511359407</c:v>
                </c:pt>
                <c:pt idx="192">
                  <c:v>2.424637026624282</c:v>
                </c:pt>
                <c:pt idx="193">
                  <c:v>2.4308536909921656</c:v>
                </c:pt>
                <c:pt idx="194">
                  <c:v>2.4369629847096945</c:v>
                </c:pt>
                <c:pt idx="195">
                  <c:v>2.4429653550468657</c:v>
                </c:pt>
                <c:pt idx="196">
                  <c:v>2.4488612558608764</c:v>
                </c:pt>
                <c:pt idx="197">
                  <c:v>2.4546511473984367</c:v>
                </c:pt>
                <c:pt idx="198">
                  <c:v>2.4603354960920711</c:v>
                </c:pt>
                <c:pt idx="199">
                  <c:v>2.4659147743661407</c:v>
                </c:pt>
                <c:pt idx="200">
                  <c:v>2.4713894604449962</c:v>
                </c:pt>
                <c:pt idx="201">
                  <c:v>2.4767600381617711</c:v>
                </c:pt>
                <c:pt idx="202">
                  <c:v>2.4820269967748061</c:v>
                </c:pt>
                <c:pt idx="203">
                  <c:v>2.4871908307847548</c:v>
                </c:pt>
                <c:pt idx="204">
                  <c:v>2.4922520397549306</c:v>
                </c:pt>
                <c:pt idx="205">
                  <c:v>2.4972111281378773</c:v>
                </c:pt>
                <c:pt idx="206">
                  <c:v>2.502068605099339</c:v>
                </c:pt>
                <c:pt idx="207">
                  <c:v>2.5068249843525052</c:v>
                </c:pt>
                <c:pt idx="208">
                  <c:v>2.5114807839901658</c:v>
                </c:pt>
                <c:pt idx="209">
                  <c:v>2.5160365263204056</c:v>
                </c:pt>
                <c:pt idx="210">
                  <c:v>2.5204927377098016</c:v>
                </c:pt>
                <c:pt idx="211">
                  <c:v>2.524849948423082</c:v>
                </c:pt>
                <c:pt idx="212">
                  <c:v>2.5291086924699044</c:v>
                </c:pt>
                <c:pt idx="213">
                  <c:v>2.5332695074544063</c:v>
                </c:pt>
                <c:pt idx="214">
                  <c:v>2.5373329344255637</c:v>
                </c:pt>
                <c:pt idx="215">
                  <c:v>2.5412995177324973</c:v>
                </c:pt>
                <c:pt idx="216">
                  <c:v>2.5451698048796914</c:v>
                </c:pt>
                <c:pt idx="217">
                  <c:v>2.5489443463893338</c:v>
                </c:pt>
                <c:pt idx="218">
                  <c:v>2.5526236956611399</c:v>
                </c:pt>
                <c:pt idx="219">
                  <c:v>2.556208408839808</c:v>
                </c:pt>
                <c:pt idx="220">
                  <c:v>2.5596990446800447</c:v>
                </c:pt>
                <c:pt idx="221">
                  <c:v>2.5630961644182406</c:v>
                </c:pt>
                <c:pt idx="222">
                  <c:v>2.5664003316464488</c:v>
                </c:pt>
                <c:pt idx="223">
                  <c:v>2.5696121121838047</c:v>
                </c:pt>
                <c:pt idx="224">
                  <c:v>2.5727320739571979</c:v>
                </c:pt>
                <c:pt idx="225">
                  <c:v>2.5757607868804939</c:v>
                </c:pt>
                <c:pt idx="226">
                  <c:v>2.578698822735717</c:v>
                </c:pt>
                <c:pt idx="227">
                  <c:v>2.5815467550591791</c:v>
                </c:pt>
                <c:pt idx="228">
                  <c:v>2.5843051590267549</c:v>
                </c:pt>
                <c:pt idx="229">
                  <c:v>2.5869746113451697</c:v>
                </c:pt>
                <c:pt idx="230">
                  <c:v>2.5895556901399601</c:v>
                </c:pt>
                <c:pt idx="231">
                  <c:v>2.592048974852645</c:v>
                </c:pt>
                <c:pt idx="232">
                  <c:v>2.594455046134442</c:v>
                </c:pt>
                <c:pt idx="233">
                  <c:v>2.5967744857429267</c:v>
                </c:pt>
                <c:pt idx="234">
                  <c:v>2.5990078764447873</c:v>
                </c:pt>
                <c:pt idx="235">
                  <c:v>2.6011558019146577</c:v>
                </c:pt>
                <c:pt idx="236">
                  <c:v>2.6032188466414539</c:v>
                </c:pt>
                <c:pt idx="237">
                  <c:v>2.6051975958315552</c:v>
                </c:pt>
                <c:pt idx="238">
                  <c:v>2.6070926353204271</c:v>
                </c:pt>
                <c:pt idx="239">
                  <c:v>2.6089045514761438</c:v>
                </c:pt>
                <c:pt idx="240">
                  <c:v>2.6106339311187696</c:v>
                </c:pt>
                <c:pt idx="241">
                  <c:v>2.6122813614270797</c:v>
                </c:pt>
                <c:pt idx="242">
                  <c:v>2.61384742985679</c:v>
                </c:pt>
                <c:pt idx="243">
                  <c:v>2.6153327240580211</c:v>
                </c:pt>
                <c:pt idx="244">
                  <c:v>2.6167378317926335</c:v>
                </c:pt>
                <c:pt idx="245">
                  <c:v>2.6180633408553149</c:v>
                </c:pt>
                <c:pt idx="246">
                  <c:v>2.6193098389953917</c:v>
                </c:pt>
                <c:pt idx="247">
                  <c:v>2.620477913842862</c:v>
                </c:pt>
                <c:pt idx="248">
                  <c:v>2.621568152830335</c:v>
                </c:pt>
                <c:pt idx="249">
                  <c:v>2.6225811431227726</c:v>
                </c:pt>
                <c:pt idx="250">
                  <c:v>2.6235174715465064</c:v>
                </c:pt>
                <c:pt idx="251">
                  <c:v>2.6243777245176148</c:v>
                </c:pt>
                <c:pt idx="252">
                  <c:v>2.6251624879755013</c:v>
                </c:pt>
                <c:pt idx="253">
                  <c:v>2.6258723473157488</c:v>
                </c:pt>
                <c:pt idx="254">
                  <c:v>2.6265078873247205</c:v>
                </c:pt>
                <c:pt idx="255">
                  <c:v>2.62706969211672</c:v>
                </c:pt>
                <c:pt idx="256">
                  <c:v>2.6275583450720887</c:v>
                </c:pt>
                <c:pt idx="257">
                  <c:v>2.6279744287738538</c:v>
                </c:pt>
                <c:pt idx="258">
                  <c:v>2.6283185249521352</c:v>
                </c:pt>
                <c:pt idx="259">
                  <c:v>2.6285912144247163</c:v>
                </c:pt>
                <c:pt idx="260">
                  <c:v>2.6287930770381251</c:v>
                </c:pt>
                <c:pt idx="261">
                  <c:v>2.6289246916175841</c:v>
                </c:pt>
                <c:pt idx="262">
                  <c:v>2.6289866359058749</c:v>
                </c:pt>
                <c:pt idx="263">
                  <c:v>2.6289794865190004</c:v>
                </c:pt>
                <c:pt idx="264">
                  <c:v>2.6289038188879488</c:v>
                </c:pt>
                <c:pt idx="265">
                  <c:v>2.6287602072120535</c:v>
                </c:pt>
                <c:pt idx="266">
                  <c:v>2.6285492244086015</c:v>
                </c:pt>
                <c:pt idx="267">
                  <c:v>2.6282714420668754</c:v>
                </c:pt>
                <c:pt idx="268">
                  <c:v>2.6279274304000637</c:v>
                </c:pt>
                <c:pt idx="269">
                  <c:v>2.6275177581988771</c:v>
                </c:pt>
                <c:pt idx="270">
                  <c:v>2.6270429927915586</c:v>
                </c:pt>
                <c:pt idx="271">
                  <c:v>2.6265036999963058</c:v>
                </c:pt>
                <c:pt idx="272">
                  <c:v>2.6259004440809406</c:v>
                </c:pt>
                <c:pt idx="273">
                  <c:v>2.6252337877236869</c:v>
                </c:pt>
                <c:pt idx="274">
                  <c:v>2.6245042919700268</c:v>
                </c:pt>
                <c:pt idx="275">
                  <c:v>2.6237125161966333</c:v>
                </c:pt>
                <c:pt idx="276">
                  <c:v>2.622859018073683</c:v>
                </c:pt>
                <c:pt idx="277">
                  <c:v>2.6219443535260609</c:v>
                </c:pt>
                <c:pt idx="278">
                  <c:v>2.6209690766986569</c:v>
                </c:pt>
                <c:pt idx="279">
                  <c:v>2.61993373992226</c:v>
                </c:pt>
                <c:pt idx="280">
                  <c:v>2.6188388936808167</c:v>
                </c:pt>
                <c:pt idx="281">
                  <c:v>2.6176850865741699</c:v>
                </c:pt>
                <c:pt idx="282">
                  <c:v>2.6164728652919678</c:v>
                </c:pt>
                <c:pt idx="283">
                  <c:v>2.6152027745788757</c:v>
                </c:pt>
                <c:pt idx="284">
                  <c:v>2.6138753572046483</c:v>
                </c:pt>
                <c:pt idx="285">
                  <c:v>2.6124911539376967</c:v>
                </c:pt>
                <c:pt idx="286">
                  <c:v>2.611050703513115</c:v>
                </c:pt>
                <c:pt idx="287">
                  <c:v>2.6095545426087199</c:v>
                </c:pt>
                <c:pt idx="288">
                  <c:v>2.6080032058151232</c:v>
                </c:pt>
                <c:pt idx="289">
                  <c:v>2.6063972256134775</c:v>
                </c:pt>
                <c:pt idx="290">
                  <c:v>2.6047371323463153</c:v>
                </c:pt>
                <c:pt idx="291">
                  <c:v>2.6030234541971708</c:v>
                </c:pt>
                <c:pt idx="292">
                  <c:v>2.6012567171658532</c:v>
                </c:pt>
                <c:pt idx="293">
                  <c:v>2.5994374450441455</c:v>
                </c:pt>
                <c:pt idx="294">
                  <c:v>2.5975661593962798</c:v>
                </c:pt>
                <c:pt idx="295">
                  <c:v>2.5956433795370231</c:v>
                </c:pt>
                <c:pt idx="296">
                  <c:v>2.5936696225101059</c:v>
                </c:pt>
                <c:pt idx="297">
                  <c:v>2.5916454030700606</c:v>
                </c:pt>
                <c:pt idx="298">
                  <c:v>2.5895712336637189</c:v>
                </c:pt>
                <c:pt idx="299">
                  <c:v>2.5874476244071047</c:v>
                </c:pt>
                <c:pt idx="300">
                  <c:v>2.5852750830757998</c:v>
                </c:pt>
                <c:pt idx="301">
                  <c:v>2.5830541150814099</c:v>
                </c:pt>
                <c:pt idx="302">
                  <c:v>2.5807852234562176</c:v>
                </c:pt>
                <c:pt idx="303">
                  <c:v>2.5784689088413302</c:v>
                </c:pt>
                <c:pt idx="304">
                  <c:v>2.5761056694671538</c:v>
                </c:pt>
                <c:pt idx="305">
                  <c:v>2.5736960011399219</c:v>
                </c:pt>
                <c:pt idx="306">
                  <c:v>2.5712403972315485</c:v>
                </c:pt>
                <c:pt idx="307">
                  <c:v>2.5687393486598467</c:v>
                </c:pt>
                <c:pt idx="308">
                  <c:v>2.5661933438814515</c:v>
                </c:pt>
                <c:pt idx="309">
                  <c:v>2.5636028688777515</c:v>
                </c:pt>
                <c:pt idx="310">
                  <c:v>2.5609684071418428</c:v>
                </c:pt>
                <c:pt idx="311">
                  <c:v>2.5582904396693209</c:v>
                </c:pt>
                <c:pt idx="312">
                  <c:v>2.5555694449486452</c:v>
                </c:pt>
                <c:pt idx="313">
                  <c:v>2.5528058989482645</c:v>
                </c:pt>
                <c:pt idx="314">
                  <c:v>2.550000275108772</c:v>
                </c:pt>
                <c:pt idx="315">
                  <c:v>2.5471530443357437</c:v>
                </c:pt>
                <c:pt idx="316">
                  <c:v>2.5442646749878008</c:v>
                </c:pt>
                <c:pt idx="317">
                  <c:v>2.5413356328710677</c:v>
                </c:pt>
                <c:pt idx="318">
                  <c:v>2.5383663812314978</c:v>
                </c:pt>
                <c:pt idx="319">
                  <c:v>2.5353573807462624</c:v>
                </c:pt>
                <c:pt idx="320">
                  <c:v>2.5323090895200835</c:v>
                </c:pt>
                <c:pt idx="321">
                  <c:v>2.5292219630770489</c:v>
                </c:pt>
                <c:pt idx="322">
                  <c:v>2.5260964543540467</c:v>
                </c:pt>
                <c:pt idx="323">
                  <c:v>2.5229330136986334</c:v>
                </c:pt>
                <c:pt idx="324">
                  <c:v>2.5197320888625541</c:v>
                </c:pt>
                <c:pt idx="325">
                  <c:v>2.5164941249956883</c:v>
                </c:pt>
                <c:pt idx="326">
                  <c:v>2.5132195646461355</c:v>
                </c:pt>
                <c:pt idx="327">
                  <c:v>2.5099088477522002</c:v>
                </c:pt>
                <c:pt idx="328">
                  <c:v>2.5065624116438414</c:v>
                </c:pt>
                <c:pt idx="329">
                  <c:v>2.5031806910340606</c:v>
                </c:pt>
                <c:pt idx="330">
                  <c:v>2.4997641180241033</c:v>
                </c:pt>
                <c:pt idx="331">
                  <c:v>2.4963131220928005</c:v>
                </c:pt>
                <c:pt idx="332">
                  <c:v>2.4928281301031348</c:v>
                </c:pt>
                <c:pt idx="333">
                  <c:v>2.4893095662943949</c:v>
                </c:pt>
                <c:pt idx="334">
                  <c:v>2.4857578522856727</c:v>
                </c:pt>
                <c:pt idx="335">
                  <c:v>2.4821734070724517</c:v>
                </c:pt>
                <c:pt idx="336">
                  <c:v>2.478556647027375</c:v>
                </c:pt>
                <c:pt idx="337">
                  <c:v>2.4749079859009271</c:v>
                </c:pt>
                <c:pt idx="338">
                  <c:v>2.4712278348198993</c:v>
                </c:pt>
                <c:pt idx="339">
                  <c:v>2.4675166022902886</c:v>
                </c:pt>
                <c:pt idx="340">
                  <c:v>2.4637746941971272</c:v>
                </c:pt>
                <c:pt idx="341">
                  <c:v>2.460002513804568</c:v>
                </c:pt>
                <c:pt idx="342">
                  <c:v>2.4562004617598916</c:v>
                </c:pt>
                <c:pt idx="343">
                  <c:v>2.4523689360941887</c:v>
                </c:pt>
                <c:pt idx="344">
                  <c:v>2.4485083322221044</c:v>
                </c:pt>
                <c:pt idx="345">
                  <c:v>2.4446190429500234</c:v>
                </c:pt>
                <c:pt idx="346">
                  <c:v>2.4407014584727449</c:v>
                </c:pt>
                <c:pt idx="347">
                  <c:v>2.436755966378513</c:v>
                </c:pt>
                <c:pt idx="348">
                  <c:v>2.4327829516541328</c:v>
                </c:pt>
                <c:pt idx="349">
                  <c:v>2.4287827966860789</c:v>
                </c:pt>
                <c:pt idx="350">
                  <c:v>2.4247558812633088</c:v>
                </c:pt>
                <c:pt idx="351">
                  <c:v>2.4207025825851929</c:v>
                </c:pt>
                <c:pt idx="352">
                  <c:v>2.4166232752615144</c:v>
                </c:pt>
                <c:pt idx="353">
                  <c:v>2.4125183313175853</c:v>
                </c:pt>
                <c:pt idx="354">
                  <c:v>2.4083881202020905</c:v>
                </c:pt>
                <c:pt idx="355">
                  <c:v>2.4042330087866617</c:v>
                </c:pt>
                <c:pt idx="356">
                  <c:v>2.4000533613751713</c:v>
                </c:pt>
                <c:pt idx="357">
                  <c:v>2.3958495397070578</c:v>
                </c:pt>
                <c:pt idx="358">
                  <c:v>2.3916219029632941</c:v>
                </c:pt>
                <c:pt idx="359">
                  <c:v>2.3873708077702247</c:v>
                </c:pt>
                <c:pt idx="360">
                  <c:v>2.3830966082089446</c:v>
                </c:pt>
                <c:pt idx="361">
                  <c:v>2.3787996558175166</c:v>
                </c:pt>
                <c:pt idx="362">
                  <c:v>2.3744802995998384</c:v>
                </c:pt>
                <c:pt idx="363">
                  <c:v>2.3701388860303325</c:v>
                </c:pt>
                <c:pt idx="364">
                  <c:v>2.3657757590605968</c:v>
                </c:pt>
                <c:pt idx="365">
                  <c:v>2.3613912601272489</c:v>
                </c:pt>
                <c:pt idx="366">
                  <c:v>2.3569857281584916</c:v>
                </c:pt>
                <c:pt idx="367">
                  <c:v>2.3525594995791437</c:v>
                </c:pt>
                <c:pt idx="368">
                  <c:v>2.3481129083201893</c:v>
                </c:pt>
                <c:pt idx="369">
                  <c:v>2.3436462858252582</c:v>
                </c:pt>
                <c:pt idx="370">
                  <c:v>2.3391599610576179</c:v>
                </c:pt>
                <c:pt idx="371">
                  <c:v>2.3346542605087848</c:v>
                </c:pt>
                <c:pt idx="372">
                  <c:v>2.3301295082042373</c:v>
                </c:pt>
                <c:pt idx="373">
                  <c:v>2.3255860257141592</c:v>
                </c:pt>
                <c:pt idx="374">
                  <c:v>2.3210241321592378</c:v>
                </c:pt>
                <c:pt idx="375">
                  <c:v>2.316444144220128</c:v>
                </c:pt>
                <c:pt idx="376">
                  <c:v>2.3118463761429098</c:v>
                </c:pt>
                <c:pt idx="377">
                  <c:v>2.3072311397531564</c:v>
                </c:pt>
                <c:pt idx="378">
                  <c:v>2.3025987444572991</c:v>
                </c:pt>
                <c:pt idx="379">
                  <c:v>2.2979494972582302</c:v>
                </c:pt>
                <c:pt idx="380">
                  <c:v>2.2932837027566677</c:v>
                </c:pt>
                <c:pt idx="381">
                  <c:v>2.2886016631682935</c:v>
                </c:pt>
                <c:pt idx="382">
                  <c:v>2.2839036783250322</c:v>
                </c:pt>
                <c:pt idx="383">
                  <c:v>2.2791900456882672</c:v>
                </c:pt>
                <c:pt idx="384">
                  <c:v>2.2744610603575381</c:v>
                </c:pt>
                <c:pt idx="385">
                  <c:v>2.2697170150786405</c:v>
                </c:pt>
                <c:pt idx="386">
                  <c:v>2.2649582002544548</c:v>
                </c:pt>
                <c:pt idx="387">
                  <c:v>2.2601849039520232</c:v>
                </c:pt>
                <c:pt idx="388">
                  <c:v>2.2553974119147426</c:v>
                </c:pt>
                <c:pt idx="389">
                  <c:v>2.2505960075692713</c:v>
                </c:pt>
                <c:pt idx="390">
                  <c:v>2.245780972038915</c:v>
                </c:pt>
                <c:pt idx="391">
                  <c:v>2.2409525841479763</c:v>
                </c:pt>
                <c:pt idx="392">
                  <c:v>2.236111120436675</c:v>
                </c:pt>
                <c:pt idx="393">
                  <c:v>2.2312568551677998</c:v>
                </c:pt>
                <c:pt idx="394">
                  <c:v>2.226390060337792</c:v>
                </c:pt>
                <c:pt idx="395">
                  <c:v>2.2215110056881713</c:v>
                </c:pt>
                <c:pt idx="396">
                  <c:v>2.2166199587118456</c:v>
                </c:pt>
                <c:pt idx="397">
                  <c:v>2.2117171846661563</c:v>
                </c:pt>
                <c:pt idx="398">
                  <c:v>2.2068029465840482</c:v>
                </c:pt>
                <c:pt idx="399">
                  <c:v>2.2018775052792705</c:v>
                </c:pt>
                <c:pt idx="400">
                  <c:v>2.1969411193642827</c:v>
                </c:pt>
                <c:pt idx="401">
                  <c:v>2.1919940452523861</c:v>
                </c:pt>
                <c:pt idx="402">
                  <c:v>2.1870365371749472</c:v>
                </c:pt>
                <c:pt idx="403">
                  <c:v>2.1820688471866845</c:v>
                </c:pt>
                <c:pt idx="404">
                  <c:v>2.1770912251808454</c:v>
                </c:pt>
                <c:pt idx="405">
                  <c:v>2.1721039188948339</c:v>
                </c:pt>
                <c:pt idx="406">
                  <c:v>2.167107173925217</c:v>
                </c:pt>
                <c:pt idx="407">
                  <c:v>2.1621012337349725</c:v>
                </c:pt>
                <c:pt idx="408">
                  <c:v>2.1570863396672166</c:v>
                </c:pt>
                <c:pt idx="409">
                  <c:v>2.1520627309518545</c:v>
                </c:pt>
                <c:pt idx="410">
                  <c:v>2.1470306447202461</c:v>
                </c:pt>
                <c:pt idx="411">
                  <c:v>2.1419903160150966</c:v>
                </c:pt>
                <c:pt idx="412">
                  <c:v>2.1369419777971075</c:v>
                </c:pt>
                <c:pt idx="413">
                  <c:v>2.1318858609630524</c:v>
                </c:pt>
                <c:pt idx="414">
                  <c:v>2.1268221943496997</c:v>
                </c:pt>
                <c:pt idx="415">
                  <c:v>2.1217512047498417</c:v>
                </c:pt>
                <c:pt idx="416">
                  <c:v>2.1166731169191166</c:v>
                </c:pt>
                <c:pt idx="417">
                  <c:v>2.111588153589139</c:v>
                </c:pt>
                <c:pt idx="418">
                  <c:v>2.1064965354784135</c:v>
                </c:pt>
                <c:pt idx="419">
                  <c:v>2.1013984813027378</c:v>
                </c:pt>
                <c:pt idx="420">
                  <c:v>2.0962942077854336</c:v>
                </c:pt>
                <c:pt idx="421">
                  <c:v>2.0911839296696257</c:v>
                </c:pt>
                <c:pt idx="422">
                  <c:v>2.0860678597289848</c:v>
                </c:pt>
                <c:pt idx="423">
                  <c:v>2.0809462087769361</c:v>
                </c:pt>
                <c:pt idx="424">
                  <c:v>2.0758191856801318</c:v>
                </c:pt>
                <c:pt idx="425">
                  <c:v>2.0706869973681705</c:v>
                </c:pt>
                <c:pt idx="426">
                  <c:v>2.0655498488440003</c:v>
                </c:pt>
                <c:pt idx="427">
                  <c:v>2.0604079431967079</c:v>
                </c:pt>
                <c:pt idx="428">
                  <c:v>2.0552614816102164</c:v>
                </c:pt>
                <c:pt idx="429">
                  <c:v>2.0501106633764152</c:v>
                </c:pt>
                <c:pt idx="430">
                  <c:v>2.0449556859041991</c:v>
                </c:pt>
                <c:pt idx="431">
                  <c:v>2.0397967447329393</c:v>
                </c:pt>
                <c:pt idx="432">
                  <c:v>2.0346340335410105</c:v>
                </c:pt>
                <c:pt idx="433">
                  <c:v>2.0294677441563636</c:v>
                </c:pt>
                <c:pt idx="434">
                  <c:v>2.024298066573067</c:v>
                </c:pt>
                <c:pt idx="435">
                  <c:v>2.0191251889535238</c:v>
                </c:pt>
                <c:pt idx="436">
                  <c:v>2.0139492976465476</c:v>
                </c:pt>
                <c:pt idx="437">
                  <c:v>2.0087705771962305</c:v>
                </c:pt>
                <c:pt idx="438">
                  <c:v>2.0035892103499577</c:v>
                </c:pt>
                <c:pt idx="439">
                  <c:v>1.9984053780746081</c:v>
                </c:pt>
                <c:pt idx="440">
                  <c:v>1.9932192595632046</c:v>
                </c:pt>
                <c:pt idx="441">
                  <c:v>1.988031032248557</c:v>
                </c:pt>
                <c:pt idx="442">
                  <c:v>1.9828408718109358</c:v>
                </c:pt>
                <c:pt idx="443">
                  <c:v>1.9776489521942722</c:v>
                </c:pt>
                <c:pt idx="444">
                  <c:v>1.9724554456099099</c:v>
                </c:pt>
                <c:pt idx="445">
                  <c:v>1.9672605225541702</c:v>
                </c:pt>
                <c:pt idx="446">
                  <c:v>1.962064351816025</c:v>
                </c:pt>
                <c:pt idx="447">
                  <c:v>1.9568671004869884</c:v>
                </c:pt>
                <c:pt idx="448">
                  <c:v>1.9516689339740765</c:v>
                </c:pt>
                <c:pt idx="449">
                  <c:v>1.9464700160100392</c:v>
                </c:pt>
                <c:pt idx="450">
                  <c:v>1.9412705086632513</c:v>
                </c:pt>
                <c:pt idx="451">
                  <c:v>1.9360705723481146</c:v>
                </c:pt>
                <c:pt idx="452">
                  <c:v>1.9308703658392119</c:v>
                </c:pt>
                <c:pt idx="453">
                  <c:v>1.925670046277105</c:v>
                </c:pt>
                <c:pt idx="454">
                  <c:v>1.9204697691812953</c:v>
                </c:pt>
                <c:pt idx="455">
                  <c:v>1.9152696884638658</c:v>
                </c:pt>
                <c:pt idx="456">
                  <c:v>1.9100699564332331</c:v>
                </c:pt>
                <c:pt idx="457">
                  <c:v>1.9048707238118823</c:v>
                </c:pt>
                <c:pt idx="458">
                  <c:v>1.8996721397419947</c:v>
                </c:pt>
                <c:pt idx="459">
                  <c:v>1.8944743517975553</c:v>
                </c:pt>
                <c:pt idx="460">
                  <c:v>1.8892775059973133</c:v>
                </c:pt>
                <c:pt idx="461">
                  <c:v>1.8840817468104092</c:v>
                </c:pt>
                <c:pt idx="462">
                  <c:v>1.8788872171701883</c:v>
                </c:pt>
                <c:pt idx="463">
                  <c:v>1.8736940584859667</c:v>
                </c:pt>
                <c:pt idx="464">
                  <c:v>1.8685024106476362</c:v>
                </c:pt>
                <c:pt idx="465">
                  <c:v>1.8633124120432285</c:v>
                </c:pt>
                <c:pt idx="466">
                  <c:v>1.8581241995636901</c:v>
                </c:pt>
                <c:pt idx="467">
                  <c:v>1.8529379086158428</c:v>
                </c:pt>
                <c:pt idx="468">
                  <c:v>1.8477536731327859</c:v>
                </c:pt>
                <c:pt idx="469">
                  <c:v>1.8425716255824227</c:v>
                </c:pt>
                <c:pt idx="470">
                  <c:v>1.8373918969795682</c:v>
                </c:pt>
                <c:pt idx="471">
                  <c:v>1.8322146168941345</c:v>
                </c:pt>
                <c:pt idx="472">
                  <c:v>1.827039913463409</c:v>
                </c:pt>
                <c:pt idx="473">
                  <c:v>1.8218679134012632</c:v>
                </c:pt>
                <c:pt idx="474">
                  <c:v>1.8166987420075316</c:v>
                </c:pt>
                <c:pt idx="475">
                  <c:v>1.8115325231784141</c:v>
                </c:pt>
                <c:pt idx="476">
                  <c:v>1.8063693794177311</c:v>
                </c:pt>
                <c:pt idx="477">
                  <c:v>1.8012094318434038</c:v>
                </c:pt>
                <c:pt idx="478">
                  <c:v>1.7960528002038245</c:v>
                </c:pt>
                <c:pt idx="479">
                  <c:v>1.7908996028804154</c:v>
                </c:pt>
              </c:numCache>
            </c:numRef>
          </c:yVal>
          <c:smooth val="0"/>
          <c:extLst>
            <c:ext xmlns:c16="http://schemas.microsoft.com/office/drawing/2014/chart" uri="{C3380CC4-5D6E-409C-BE32-E72D297353CC}">
              <c16:uniqueId val="{00000000-BEEC-4F67-AE2A-6D397FC70544}"/>
            </c:ext>
          </c:extLst>
        </c:ser>
        <c:ser>
          <c:idx val="0"/>
          <c:order val="1"/>
          <c:tx>
            <c:strRef>
              <c:f>'Figures B1-B3'!$C$15</c:f>
              <c:strCache>
                <c:ptCount val="1"/>
                <c:pt idx="0">
                  <c:v>modified sequestration</c:v>
                </c:pt>
              </c:strCache>
            </c:strRef>
          </c:tx>
          <c:spPr>
            <a:ln w="19050" cap="rnd">
              <a:solidFill>
                <a:srgbClr val="2171B5"/>
              </a:solidFill>
              <a:prstDash val="solid"/>
              <a:round/>
            </a:ln>
            <a:effectLst/>
          </c:spPr>
          <c:marker>
            <c:symbol val="none"/>
          </c:marker>
          <c:xVal>
            <c:numRef>
              <c:f>'Figures B1-B3'!$E$7:$RP$7</c:f>
              <c:numCache>
                <c:formatCode>#,##0.00</c:formatCode>
                <c:ptCount val="480"/>
                <c:pt idx="0">
                  <c:v>8.3333333333333329E-2</c:v>
                </c:pt>
                <c:pt idx="1">
                  <c:v>0.16666666666666666</c:v>
                </c:pt>
                <c:pt idx="2">
                  <c:v>0.25</c:v>
                </c:pt>
                <c:pt idx="3">
                  <c:v>0.33333333333333331</c:v>
                </c:pt>
                <c:pt idx="4">
                  <c:v>0.41666666666666669</c:v>
                </c:pt>
                <c:pt idx="5">
                  <c:v>0.5</c:v>
                </c:pt>
                <c:pt idx="6">
                  <c:v>0.58333333333333337</c:v>
                </c:pt>
                <c:pt idx="7">
                  <c:v>0.66666666666666663</c:v>
                </c:pt>
                <c:pt idx="8">
                  <c:v>0.75</c:v>
                </c:pt>
                <c:pt idx="9">
                  <c:v>0.83333333333333337</c:v>
                </c:pt>
                <c:pt idx="10">
                  <c:v>0.91666666666666663</c:v>
                </c:pt>
                <c:pt idx="11">
                  <c:v>1</c:v>
                </c:pt>
                <c:pt idx="12">
                  <c:v>1.0833333333333333</c:v>
                </c:pt>
                <c:pt idx="13">
                  <c:v>1.1666666666666667</c:v>
                </c:pt>
                <c:pt idx="14">
                  <c:v>1.25</c:v>
                </c:pt>
                <c:pt idx="15">
                  <c:v>1.3333333333333333</c:v>
                </c:pt>
                <c:pt idx="16">
                  <c:v>1.4166666666666667</c:v>
                </c:pt>
                <c:pt idx="17">
                  <c:v>1.5</c:v>
                </c:pt>
                <c:pt idx="18">
                  <c:v>1.5833333333333333</c:v>
                </c:pt>
                <c:pt idx="19">
                  <c:v>1.6666666666666667</c:v>
                </c:pt>
                <c:pt idx="20">
                  <c:v>1.75</c:v>
                </c:pt>
                <c:pt idx="21">
                  <c:v>1.8333333333333333</c:v>
                </c:pt>
                <c:pt idx="22">
                  <c:v>1.9166666666666667</c:v>
                </c:pt>
                <c:pt idx="23">
                  <c:v>2</c:v>
                </c:pt>
                <c:pt idx="24">
                  <c:v>2.0833333333333335</c:v>
                </c:pt>
                <c:pt idx="25">
                  <c:v>2.1666666666666665</c:v>
                </c:pt>
                <c:pt idx="26">
                  <c:v>2.25</c:v>
                </c:pt>
                <c:pt idx="27">
                  <c:v>2.3333333333333335</c:v>
                </c:pt>
                <c:pt idx="28">
                  <c:v>2.4166666666666665</c:v>
                </c:pt>
                <c:pt idx="29">
                  <c:v>2.5</c:v>
                </c:pt>
                <c:pt idx="30">
                  <c:v>2.5833333333333335</c:v>
                </c:pt>
                <c:pt idx="31">
                  <c:v>2.6666666666666665</c:v>
                </c:pt>
                <c:pt idx="32">
                  <c:v>2.75</c:v>
                </c:pt>
                <c:pt idx="33">
                  <c:v>2.8333333333333335</c:v>
                </c:pt>
                <c:pt idx="34">
                  <c:v>2.9166666666666665</c:v>
                </c:pt>
                <c:pt idx="35">
                  <c:v>3</c:v>
                </c:pt>
                <c:pt idx="36">
                  <c:v>3.0833333333333335</c:v>
                </c:pt>
                <c:pt idx="37">
                  <c:v>3.1666666666666665</c:v>
                </c:pt>
                <c:pt idx="38">
                  <c:v>3.25</c:v>
                </c:pt>
                <c:pt idx="39">
                  <c:v>3.3333333333333335</c:v>
                </c:pt>
                <c:pt idx="40">
                  <c:v>3.4166666666666665</c:v>
                </c:pt>
                <c:pt idx="41">
                  <c:v>3.5</c:v>
                </c:pt>
                <c:pt idx="42">
                  <c:v>3.5833333333333335</c:v>
                </c:pt>
                <c:pt idx="43">
                  <c:v>3.6666666666666665</c:v>
                </c:pt>
                <c:pt idx="44">
                  <c:v>3.75</c:v>
                </c:pt>
                <c:pt idx="45">
                  <c:v>3.8333333333333335</c:v>
                </c:pt>
                <c:pt idx="46">
                  <c:v>3.9166666666666665</c:v>
                </c:pt>
                <c:pt idx="47">
                  <c:v>4</c:v>
                </c:pt>
                <c:pt idx="48">
                  <c:v>4.083333333333333</c:v>
                </c:pt>
                <c:pt idx="49">
                  <c:v>4.166666666666667</c:v>
                </c:pt>
                <c:pt idx="50">
                  <c:v>4.25</c:v>
                </c:pt>
                <c:pt idx="51">
                  <c:v>4.333333333333333</c:v>
                </c:pt>
                <c:pt idx="52">
                  <c:v>4.416666666666667</c:v>
                </c:pt>
                <c:pt idx="53">
                  <c:v>4.5</c:v>
                </c:pt>
                <c:pt idx="54">
                  <c:v>4.583333333333333</c:v>
                </c:pt>
                <c:pt idx="55">
                  <c:v>4.666666666666667</c:v>
                </c:pt>
                <c:pt idx="56">
                  <c:v>4.75</c:v>
                </c:pt>
                <c:pt idx="57">
                  <c:v>4.833333333333333</c:v>
                </c:pt>
                <c:pt idx="58">
                  <c:v>4.916666666666667</c:v>
                </c:pt>
                <c:pt idx="59">
                  <c:v>5</c:v>
                </c:pt>
                <c:pt idx="60">
                  <c:v>5.083333333333333</c:v>
                </c:pt>
                <c:pt idx="61">
                  <c:v>5.166666666666667</c:v>
                </c:pt>
                <c:pt idx="62">
                  <c:v>5.25</c:v>
                </c:pt>
                <c:pt idx="63">
                  <c:v>5.333333333333333</c:v>
                </c:pt>
                <c:pt idx="64">
                  <c:v>5.416666666666667</c:v>
                </c:pt>
                <c:pt idx="65">
                  <c:v>5.5</c:v>
                </c:pt>
                <c:pt idx="66">
                  <c:v>5.583333333333333</c:v>
                </c:pt>
                <c:pt idx="67">
                  <c:v>5.666666666666667</c:v>
                </c:pt>
                <c:pt idx="68">
                  <c:v>5.75</c:v>
                </c:pt>
                <c:pt idx="69">
                  <c:v>5.833333333333333</c:v>
                </c:pt>
                <c:pt idx="70">
                  <c:v>5.916666666666667</c:v>
                </c:pt>
                <c:pt idx="71">
                  <c:v>6</c:v>
                </c:pt>
                <c:pt idx="72">
                  <c:v>6.083333333333333</c:v>
                </c:pt>
                <c:pt idx="73">
                  <c:v>6.166666666666667</c:v>
                </c:pt>
                <c:pt idx="74">
                  <c:v>6.25</c:v>
                </c:pt>
                <c:pt idx="75">
                  <c:v>6.333333333333333</c:v>
                </c:pt>
                <c:pt idx="76">
                  <c:v>6.416666666666667</c:v>
                </c:pt>
                <c:pt idx="77">
                  <c:v>6.5</c:v>
                </c:pt>
                <c:pt idx="78">
                  <c:v>6.583333333333333</c:v>
                </c:pt>
                <c:pt idx="79">
                  <c:v>6.666666666666667</c:v>
                </c:pt>
                <c:pt idx="80">
                  <c:v>6.75</c:v>
                </c:pt>
                <c:pt idx="81">
                  <c:v>6.833333333333333</c:v>
                </c:pt>
                <c:pt idx="82">
                  <c:v>6.916666666666667</c:v>
                </c:pt>
                <c:pt idx="83">
                  <c:v>7</c:v>
                </c:pt>
                <c:pt idx="84">
                  <c:v>7.083333333333333</c:v>
                </c:pt>
                <c:pt idx="85">
                  <c:v>7.166666666666667</c:v>
                </c:pt>
                <c:pt idx="86">
                  <c:v>7.25</c:v>
                </c:pt>
                <c:pt idx="87">
                  <c:v>7.333333333333333</c:v>
                </c:pt>
                <c:pt idx="88">
                  <c:v>7.416666666666667</c:v>
                </c:pt>
                <c:pt idx="89">
                  <c:v>7.5</c:v>
                </c:pt>
                <c:pt idx="90">
                  <c:v>7.583333333333333</c:v>
                </c:pt>
                <c:pt idx="91">
                  <c:v>7.666666666666667</c:v>
                </c:pt>
                <c:pt idx="92">
                  <c:v>7.75</c:v>
                </c:pt>
                <c:pt idx="93">
                  <c:v>7.833333333333333</c:v>
                </c:pt>
                <c:pt idx="94">
                  <c:v>7.916666666666667</c:v>
                </c:pt>
                <c:pt idx="95">
                  <c:v>8</c:v>
                </c:pt>
                <c:pt idx="96">
                  <c:v>8.0833333333333339</c:v>
                </c:pt>
                <c:pt idx="97">
                  <c:v>8.1666666666666661</c:v>
                </c:pt>
                <c:pt idx="98">
                  <c:v>8.25</c:v>
                </c:pt>
                <c:pt idx="99">
                  <c:v>8.3333333333333339</c:v>
                </c:pt>
                <c:pt idx="100">
                  <c:v>8.4166666666666661</c:v>
                </c:pt>
                <c:pt idx="101">
                  <c:v>8.5</c:v>
                </c:pt>
                <c:pt idx="102">
                  <c:v>8.5833333333333339</c:v>
                </c:pt>
                <c:pt idx="103">
                  <c:v>8.6666666666666661</c:v>
                </c:pt>
                <c:pt idx="104">
                  <c:v>8.75</c:v>
                </c:pt>
                <c:pt idx="105">
                  <c:v>8.8333333333333339</c:v>
                </c:pt>
                <c:pt idx="106">
                  <c:v>8.9166666666666661</c:v>
                </c:pt>
                <c:pt idx="107">
                  <c:v>9</c:v>
                </c:pt>
                <c:pt idx="108">
                  <c:v>9.0833333333333339</c:v>
                </c:pt>
                <c:pt idx="109">
                  <c:v>9.1666666666666661</c:v>
                </c:pt>
                <c:pt idx="110">
                  <c:v>9.25</c:v>
                </c:pt>
                <c:pt idx="111">
                  <c:v>9.3333333333333339</c:v>
                </c:pt>
                <c:pt idx="112">
                  <c:v>9.4166666666666661</c:v>
                </c:pt>
                <c:pt idx="113">
                  <c:v>9.5</c:v>
                </c:pt>
                <c:pt idx="114">
                  <c:v>9.5833333333333339</c:v>
                </c:pt>
                <c:pt idx="115">
                  <c:v>9.6666666666666661</c:v>
                </c:pt>
                <c:pt idx="116">
                  <c:v>9.75</c:v>
                </c:pt>
                <c:pt idx="117">
                  <c:v>9.8333333333333339</c:v>
                </c:pt>
                <c:pt idx="118">
                  <c:v>9.9166666666666661</c:v>
                </c:pt>
                <c:pt idx="119">
                  <c:v>10</c:v>
                </c:pt>
                <c:pt idx="120">
                  <c:v>10.083333333333334</c:v>
                </c:pt>
                <c:pt idx="121">
                  <c:v>10.166666666666666</c:v>
                </c:pt>
                <c:pt idx="122">
                  <c:v>10.25</c:v>
                </c:pt>
                <c:pt idx="123">
                  <c:v>10.333333333333334</c:v>
                </c:pt>
                <c:pt idx="124">
                  <c:v>10.416666666666666</c:v>
                </c:pt>
                <c:pt idx="125">
                  <c:v>10.5</c:v>
                </c:pt>
                <c:pt idx="126">
                  <c:v>10.583333333333334</c:v>
                </c:pt>
                <c:pt idx="127">
                  <c:v>10.666666666666666</c:v>
                </c:pt>
                <c:pt idx="128">
                  <c:v>10.75</c:v>
                </c:pt>
                <c:pt idx="129">
                  <c:v>10.833333333333334</c:v>
                </c:pt>
                <c:pt idx="130">
                  <c:v>10.916666666666666</c:v>
                </c:pt>
                <c:pt idx="131">
                  <c:v>11</c:v>
                </c:pt>
                <c:pt idx="132">
                  <c:v>11.083333333333334</c:v>
                </c:pt>
                <c:pt idx="133">
                  <c:v>11.166666666666666</c:v>
                </c:pt>
                <c:pt idx="134">
                  <c:v>11.25</c:v>
                </c:pt>
                <c:pt idx="135">
                  <c:v>11.333333333333334</c:v>
                </c:pt>
                <c:pt idx="136">
                  <c:v>11.416666666666666</c:v>
                </c:pt>
                <c:pt idx="137">
                  <c:v>11.5</c:v>
                </c:pt>
                <c:pt idx="138">
                  <c:v>11.583333333333334</c:v>
                </c:pt>
                <c:pt idx="139">
                  <c:v>11.666666666666666</c:v>
                </c:pt>
                <c:pt idx="140">
                  <c:v>11.75</c:v>
                </c:pt>
                <c:pt idx="141">
                  <c:v>11.833333333333334</c:v>
                </c:pt>
                <c:pt idx="142">
                  <c:v>11.916666666666666</c:v>
                </c:pt>
                <c:pt idx="143">
                  <c:v>12</c:v>
                </c:pt>
                <c:pt idx="144">
                  <c:v>12.083333333333334</c:v>
                </c:pt>
                <c:pt idx="145">
                  <c:v>12.166666666666666</c:v>
                </c:pt>
                <c:pt idx="146">
                  <c:v>12.25</c:v>
                </c:pt>
                <c:pt idx="147">
                  <c:v>12.333333333333334</c:v>
                </c:pt>
                <c:pt idx="148">
                  <c:v>12.416666666666666</c:v>
                </c:pt>
                <c:pt idx="149">
                  <c:v>12.5</c:v>
                </c:pt>
                <c:pt idx="150">
                  <c:v>12.583333333333334</c:v>
                </c:pt>
                <c:pt idx="151">
                  <c:v>12.666666666666666</c:v>
                </c:pt>
                <c:pt idx="152">
                  <c:v>12.75</c:v>
                </c:pt>
                <c:pt idx="153">
                  <c:v>12.833333333333334</c:v>
                </c:pt>
                <c:pt idx="154">
                  <c:v>12.916666666666666</c:v>
                </c:pt>
                <c:pt idx="155">
                  <c:v>13</c:v>
                </c:pt>
                <c:pt idx="156">
                  <c:v>13.083333333333334</c:v>
                </c:pt>
                <c:pt idx="157">
                  <c:v>13.166666666666666</c:v>
                </c:pt>
                <c:pt idx="158">
                  <c:v>13.25</c:v>
                </c:pt>
                <c:pt idx="159">
                  <c:v>13.333333333333334</c:v>
                </c:pt>
                <c:pt idx="160">
                  <c:v>13.416666666666666</c:v>
                </c:pt>
                <c:pt idx="161">
                  <c:v>13.5</c:v>
                </c:pt>
                <c:pt idx="162">
                  <c:v>13.583333333333334</c:v>
                </c:pt>
                <c:pt idx="163">
                  <c:v>13.666666666666666</c:v>
                </c:pt>
                <c:pt idx="164">
                  <c:v>13.75</c:v>
                </c:pt>
                <c:pt idx="165">
                  <c:v>13.833333333333334</c:v>
                </c:pt>
                <c:pt idx="166">
                  <c:v>13.916666666666666</c:v>
                </c:pt>
                <c:pt idx="167">
                  <c:v>14</c:v>
                </c:pt>
                <c:pt idx="168">
                  <c:v>14.083333333333334</c:v>
                </c:pt>
                <c:pt idx="169">
                  <c:v>14.166666666666666</c:v>
                </c:pt>
                <c:pt idx="170">
                  <c:v>14.25</c:v>
                </c:pt>
                <c:pt idx="171">
                  <c:v>14.333333333333334</c:v>
                </c:pt>
                <c:pt idx="172">
                  <c:v>14.416666666666666</c:v>
                </c:pt>
                <c:pt idx="173">
                  <c:v>14.5</c:v>
                </c:pt>
                <c:pt idx="174">
                  <c:v>14.583333333333334</c:v>
                </c:pt>
                <c:pt idx="175">
                  <c:v>14.666666666666666</c:v>
                </c:pt>
                <c:pt idx="176">
                  <c:v>14.75</c:v>
                </c:pt>
                <c:pt idx="177">
                  <c:v>14.833333333333334</c:v>
                </c:pt>
                <c:pt idx="178">
                  <c:v>14.916666666666666</c:v>
                </c:pt>
                <c:pt idx="179">
                  <c:v>15</c:v>
                </c:pt>
                <c:pt idx="180">
                  <c:v>15.083333333333334</c:v>
                </c:pt>
                <c:pt idx="181">
                  <c:v>15.166666666666666</c:v>
                </c:pt>
                <c:pt idx="182">
                  <c:v>15.25</c:v>
                </c:pt>
                <c:pt idx="183">
                  <c:v>15.333333333333334</c:v>
                </c:pt>
                <c:pt idx="184">
                  <c:v>15.416666666666666</c:v>
                </c:pt>
                <c:pt idx="185">
                  <c:v>15.5</c:v>
                </c:pt>
                <c:pt idx="186">
                  <c:v>15.583333333333334</c:v>
                </c:pt>
                <c:pt idx="187">
                  <c:v>15.666666666666666</c:v>
                </c:pt>
                <c:pt idx="188">
                  <c:v>15.75</c:v>
                </c:pt>
                <c:pt idx="189">
                  <c:v>15.833333333333334</c:v>
                </c:pt>
                <c:pt idx="190">
                  <c:v>15.916666666666666</c:v>
                </c:pt>
                <c:pt idx="191">
                  <c:v>16</c:v>
                </c:pt>
                <c:pt idx="192">
                  <c:v>16.083333333333332</c:v>
                </c:pt>
                <c:pt idx="193">
                  <c:v>16.166666666666668</c:v>
                </c:pt>
                <c:pt idx="194">
                  <c:v>16.25</c:v>
                </c:pt>
                <c:pt idx="195">
                  <c:v>16.333333333333332</c:v>
                </c:pt>
                <c:pt idx="196">
                  <c:v>16.416666666666668</c:v>
                </c:pt>
                <c:pt idx="197">
                  <c:v>16.5</c:v>
                </c:pt>
                <c:pt idx="198">
                  <c:v>16.583333333333332</c:v>
                </c:pt>
                <c:pt idx="199">
                  <c:v>16.666666666666668</c:v>
                </c:pt>
                <c:pt idx="200">
                  <c:v>16.75</c:v>
                </c:pt>
                <c:pt idx="201">
                  <c:v>16.833333333333332</c:v>
                </c:pt>
                <c:pt idx="202">
                  <c:v>16.916666666666668</c:v>
                </c:pt>
                <c:pt idx="203">
                  <c:v>17</c:v>
                </c:pt>
                <c:pt idx="204">
                  <c:v>17.083333333333332</c:v>
                </c:pt>
                <c:pt idx="205">
                  <c:v>17.166666666666668</c:v>
                </c:pt>
                <c:pt idx="206">
                  <c:v>17.25</c:v>
                </c:pt>
                <c:pt idx="207">
                  <c:v>17.333333333333332</c:v>
                </c:pt>
                <c:pt idx="208">
                  <c:v>17.416666666666668</c:v>
                </c:pt>
                <c:pt idx="209">
                  <c:v>17.5</c:v>
                </c:pt>
                <c:pt idx="210">
                  <c:v>17.583333333333332</c:v>
                </c:pt>
                <c:pt idx="211">
                  <c:v>17.666666666666668</c:v>
                </c:pt>
                <c:pt idx="212">
                  <c:v>17.75</c:v>
                </c:pt>
                <c:pt idx="213">
                  <c:v>17.833333333333332</c:v>
                </c:pt>
                <c:pt idx="214">
                  <c:v>17.916666666666668</c:v>
                </c:pt>
                <c:pt idx="215">
                  <c:v>18</c:v>
                </c:pt>
                <c:pt idx="216">
                  <c:v>18.083333333333332</c:v>
                </c:pt>
                <c:pt idx="217">
                  <c:v>18.166666666666668</c:v>
                </c:pt>
                <c:pt idx="218">
                  <c:v>18.25</c:v>
                </c:pt>
                <c:pt idx="219">
                  <c:v>18.333333333333332</c:v>
                </c:pt>
                <c:pt idx="220">
                  <c:v>18.416666666666668</c:v>
                </c:pt>
                <c:pt idx="221">
                  <c:v>18.5</c:v>
                </c:pt>
                <c:pt idx="222">
                  <c:v>18.583333333333332</c:v>
                </c:pt>
                <c:pt idx="223">
                  <c:v>18.666666666666668</c:v>
                </c:pt>
                <c:pt idx="224">
                  <c:v>18.75</c:v>
                </c:pt>
                <c:pt idx="225">
                  <c:v>18.833333333333332</c:v>
                </c:pt>
                <c:pt idx="226">
                  <c:v>18.916666666666668</c:v>
                </c:pt>
                <c:pt idx="227">
                  <c:v>19</c:v>
                </c:pt>
                <c:pt idx="228">
                  <c:v>19.083333333333332</c:v>
                </c:pt>
                <c:pt idx="229">
                  <c:v>19.166666666666668</c:v>
                </c:pt>
                <c:pt idx="230">
                  <c:v>19.25</c:v>
                </c:pt>
                <c:pt idx="231">
                  <c:v>19.333333333333332</c:v>
                </c:pt>
                <c:pt idx="232">
                  <c:v>19.416666666666668</c:v>
                </c:pt>
                <c:pt idx="233">
                  <c:v>19.5</c:v>
                </c:pt>
                <c:pt idx="234">
                  <c:v>19.583333333333332</c:v>
                </c:pt>
                <c:pt idx="235">
                  <c:v>19.666666666666668</c:v>
                </c:pt>
                <c:pt idx="236">
                  <c:v>19.75</c:v>
                </c:pt>
                <c:pt idx="237">
                  <c:v>19.833333333333332</c:v>
                </c:pt>
                <c:pt idx="238">
                  <c:v>19.916666666666668</c:v>
                </c:pt>
                <c:pt idx="239">
                  <c:v>20</c:v>
                </c:pt>
                <c:pt idx="240">
                  <c:v>20.083333333333332</c:v>
                </c:pt>
                <c:pt idx="241">
                  <c:v>20.166666666666668</c:v>
                </c:pt>
                <c:pt idx="242">
                  <c:v>20.25</c:v>
                </c:pt>
                <c:pt idx="243">
                  <c:v>20.333333333333332</c:v>
                </c:pt>
                <c:pt idx="244">
                  <c:v>20.416666666666668</c:v>
                </c:pt>
                <c:pt idx="245">
                  <c:v>20.5</c:v>
                </c:pt>
                <c:pt idx="246">
                  <c:v>20.583333333333332</c:v>
                </c:pt>
                <c:pt idx="247">
                  <c:v>20.666666666666668</c:v>
                </c:pt>
                <c:pt idx="248">
                  <c:v>20.75</c:v>
                </c:pt>
                <c:pt idx="249">
                  <c:v>20.833333333333332</c:v>
                </c:pt>
                <c:pt idx="250">
                  <c:v>20.916666666666668</c:v>
                </c:pt>
                <c:pt idx="251">
                  <c:v>21</c:v>
                </c:pt>
                <c:pt idx="252">
                  <c:v>21.083333333333332</c:v>
                </c:pt>
                <c:pt idx="253">
                  <c:v>21.166666666666668</c:v>
                </c:pt>
                <c:pt idx="254">
                  <c:v>21.25</c:v>
                </c:pt>
                <c:pt idx="255">
                  <c:v>21.333333333333332</c:v>
                </c:pt>
                <c:pt idx="256">
                  <c:v>21.416666666666668</c:v>
                </c:pt>
                <c:pt idx="257">
                  <c:v>21.5</c:v>
                </c:pt>
                <c:pt idx="258">
                  <c:v>21.583333333333332</c:v>
                </c:pt>
                <c:pt idx="259">
                  <c:v>21.666666666666668</c:v>
                </c:pt>
                <c:pt idx="260">
                  <c:v>21.75</c:v>
                </c:pt>
                <c:pt idx="261">
                  <c:v>21.833333333333332</c:v>
                </c:pt>
                <c:pt idx="262">
                  <c:v>21.916666666666668</c:v>
                </c:pt>
                <c:pt idx="263">
                  <c:v>22</c:v>
                </c:pt>
                <c:pt idx="264">
                  <c:v>22.083333333333332</c:v>
                </c:pt>
                <c:pt idx="265">
                  <c:v>22.166666666666668</c:v>
                </c:pt>
                <c:pt idx="266">
                  <c:v>22.25</c:v>
                </c:pt>
                <c:pt idx="267">
                  <c:v>22.333333333333332</c:v>
                </c:pt>
                <c:pt idx="268">
                  <c:v>22.416666666666668</c:v>
                </c:pt>
                <c:pt idx="269">
                  <c:v>22.5</c:v>
                </c:pt>
                <c:pt idx="270">
                  <c:v>22.583333333333332</c:v>
                </c:pt>
                <c:pt idx="271">
                  <c:v>22.666666666666668</c:v>
                </c:pt>
                <c:pt idx="272">
                  <c:v>22.75</c:v>
                </c:pt>
                <c:pt idx="273">
                  <c:v>22.833333333333332</c:v>
                </c:pt>
                <c:pt idx="274">
                  <c:v>22.916666666666668</c:v>
                </c:pt>
                <c:pt idx="275">
                  <c:v>23</c:v>
                </c:pt>
                <c:pt idx="276">
                  <c:v>23.083333333333332</c:v>
                </c:pt>
                <c:pt idx="277">
                  <c:v>23.166666666666668</c:v>
                </c:pt>
                <c:pt idx="278">
                  <c:v>23.25</c:v>
                </c:pt>
                <c:pt idx="279">
                  <c:v>23.333333333333332</c:v>
                </c:pt>
                <c:pt idx="280">
                  <c:v>23.416666666666668</c:v>
                </c:pt>
                <c:pt idx="281">
                  <c:v>23.5</c:v>
                </c:pt>
                <c:pt idx="282">
                  <c:v>23.583333333333332</c:v>
                </c:pt>
                <c:pt idx="283">
                  <c:v>23.666666666666668</c:v>
                </c:pt>
                <c:pt idx="284">
                  <c:v>23.75</c:v>
                </c:pt>
                <c:pt idx="285">
                  <c:v>23.833333333333332</c:v>
                </c:pt>
                <c:pt idx="286">
                  <c:v>23.916666666666668</c:v>
                </c:pt>
                <c:pt idx="287">
                  <c:v>24</c:v>
                </c:pt>
                <c:pt idx="288">
                  <c:v>24.083333333333332</c:v>
                </c:pt>
                <c:pt idx="289">
                  <c:v>24.166666666666668</c:v>
                </c:pt>
                <c:pt idx="290">
                  <c:v>24.25</c:v>
                </c:pt>
                <c:pt idx="291">
                  <c:v>24.333333333333332</c:v>
                </c:pt>
                <c:pt idx="292">
                  <c:v>24.416666666666668</c:v>
                </c:pt>
                <c:pt idx="293">
                  <c:v>24.5</c:v>
                </c:pt>
                <c:pt idx="294">
                  <c:v>24.583333333333332</c:v>
                </c:pt>
                <c:pt idx="295">
                  <c:v>24.666666666666668</c:v>
                </c:pt>
                <c:pt idx="296">
                  <c:v>24.75</c:v>
                </c:pt>
                <c:pt idx="297">
                  <c:v>24.833333333333332</c:v>
                </c:pt>
                <c:pt idx="298">
                  <c:v>24.916666666666668</c:v>
                </c:pt>
                <c:pt idx="299">
                  <c:v>25</c:v>
                </c:pt>
                <c:pt idx="300">
                  <c:v>25.083333333333332</c:v>
                </c:pt>
                <c:pt idx="301">
                  <c:v>25.166666666666668</c:v>
                </c:pt>
                <c:pt idx="302">
                  <c:v>25.25</c:v>
                </c:pt>
                <c:pt idx="303">
                  <c:v>25.333333333333332</c:v>
                </c:pt>
                <c:pt idx="304">
                  <c:v>25.416666666666668</c:v>
                </c:pt>
                <c:pt idx="305">
                  <c:v>25.5</c:v>
                </c:pt>
                <c:pt idx="306">
                  <c:v>25.583333333333332</c:v>
                </c:pt>
                <c:pt idx="307">
                  <c:v>25.666666666666668</c:v>
                </c:pt>
                <c:pt idx="308">
                  <c:v>25.75</c:v>
                </c:pt>
                <c:pt idx="309">
                  <c:v>25.833333333333332</c:v>
                </c:pt>
                <c:pt idx="310">
                  <c:v>25.916666666666668</c:v>
                </c:pt>
                <c:pt idx="311">
                  <c:v>26</c:v>
                </c:pt>
                <c:pt idx="312">
                  <c:v>26.083333333333332</c:v>
                </c:pt>
                <c:pt idx="313">
                  <c:v>26.166666666666668</c:v>
                </c:pt>
                <c:pt idx="314">
                  <c:v>26.25</c:v>
                </c:pt>
                <c:pt idx="315">
                  <c:v>26.333333333333332</c:v>
                </c:pt>
                <c:pt idx="316">
                  <c:v>26.416666666666668</c:v>
                </c:pt>
                <c:pt idx="317">
                  <c:v>26.5</c:v>
                </c:pt>
                <c:pt idx="318">
                  <c:v>26.583333333333332</c:v>
                </c:pt>
                <c:pt idx="319">
                  <c:v>26.666666666666668</c:v>
                </c:pt>
                <c:pt idx="320">
                  <c:v>26.75</c:v>
                </c:pt>
                <c:pt idx="321">
                  <c:v>26.833333333333332</c:v>
                </c:pt>
                <c:pt idx="322">
                  <c:v>26.916666666666668</c:v>
                </c:pt>
                <c:pt idx="323">
                  <c:v>27</c:v>
                </c:pt>
                <c:pt idx="324">
                  <c:v>27.083333333333332</c:v>
                </c:pt>
                <c:pt idx="325">
                  <c:v>27.166666666666668</c:v>
                </c:pt>
                <c:pt idx="326">
                  <c:v>27.25</c:v>
                </c:pt>
                <c:pt idx="327">
                  <c:v>27.333333333333332</c:v>
                </c:pt>
                <c:pt idx="328">
                  <c:v>27.416666666666668</c:v>
                </c:pt>
                <c:pt idx="329">
                  <c:v>27.5</c:v>
                </c:pt>
                <c:pt idx="330">
                  <c:v>27.583333333333332</c:v>
                </c:pt>
                <c:pt idx="331">
                  <c:v>27.666666666666668</c:v>
                </c:pt>
                <c:pt idx="332">
                  <c:v>27.75</c:v>
                </c:pt>
                <c:pt idx="333">
                  <c:v>27.833333333333332</c:v>
                </c:pt>
                <c:pt idx="334">
                  <c:v>27.916666666666668</c:v>
                </c:pt>
                <c:pt idx="335">
                  <c:v>28</c:v>
                </c:pt>
                <c:pt idx="336">
                  <c:v>28.083333333333332</c:v>
                </c:pt>
                <c:pt idx="337">
                  <c:v>28.166666666666668</c:v>
                </c:pt>
                <c:pt idx="338">
                  <c:v>28.25</c:v>
                </c:pt>
                <c:pt idx="339">
                  <c:v>28.333333333333332</c:v>
                </c:pt>
                <c:pt idx="340">
                  <c:v>28.416666666666668</c:v>
                </c:pt>
                <c:pt idx="341">
                  <c:v>28.5</c:v>
                </c:pt>
                <c:pt idx="342">
                  <c:v>28.583333333333332</c:v>
                </c:pt>
                <c:pt idx="343">
                  <c:v>28.666666666666668</c:v>
                </c:pt>
                <c:pt idx="344">
                  <c:v>28.75</c:v>
                </c:pt>
                <c:pt idx="345">
                  <c:v>28.833333333333332</c:v>
                </c:pt>
                <c:pt idx="346">
                  <c:v>28.916666666666668</c:v>
                </c:pt>
                <c:pt idx="347">
                  <c:v>29</c:v>
                </c:pt>
                <c:pt idx="348">
                  <c:v>29.083333333333332</c:v>
                </c:pt>
                <c:pt idx="349">
                  <c:v>29.166666666666668</c:v>
                </c:pt>
                <c:pt idx="350">
                  <c:v>29.25</c:v>
                </c:pt>
                <c:pt idx="351">
                  <c:v>29.333333333333332</c:v>
                </c:pt>
                <c:pt idx="352">
                  <c:v>29.416666666666668</c:v>
                </c:pt>
                <c:pt idx="353">
                  <c:v>29.5</c:v>
                </c:pt>
                <c:pt idx="354">
                  <c:v>29.583333333333332</c:v>
                </c:pt>
                <c:pt idx="355">
                  <c:v>29.666666666666668</c:v>
                </c:pt>
                <c:pt idx="356">
                  <c:v>29.75</c:v>
                </c:pt>
                <c:pt idx="357">
                  <c:v>29.833333333333332</c:v>
                </c:pt>
                <c:pt idx="358">
                  <c:v>29.916666666666668</c:v>
                </c:pt>
                <c:pt idx="359">
                  <c:v>30</c:v>
                </c:pt>
                <c:pt idx="360">
                  <c:v>30.083333333333332</c:v>
                </c:pt>
                <c:pt idx="361">
                  <c:v>30.166666666666668</c:v>
                </c:pt>
                <c:pt idx="362">
                  <c:v>30.25</c:v>
                </c:pt>
                <c:pt idx="363">
                  <c:v>30.333333333333332</c:v>
                </c:pt>
                <c:pt idx="364">
                  <c:v>30.416666666666668</c:v>
                </c:pt>
                <c:pt idx="365">
                  <c:v>30.5</c:v>
                </c:pt>
                <c:pt idx="366">
                  <c:v>30.583333333333332</c:v>
                </c:pt>
                <c:pt idx="367">
                  <c:v>30.666666666666668</c:v>
                </c:pt>
                <c:pt idx="368">
                  <c:v>30.75</c:v>
                </c:pt>
                <c:pt idx="369">
                  <c:v>30.833333333333332</c:v>
                </c:pt>
                <c:pt idx="370">
                  <c:v>30.916666666666668</c:v>
                </c:pt>
                <c:pt idx="371">
                  <c:v>31</c:v>
                </c:pt>
                <c:pt idx="372">
                  <c:v>31.083333333333332</c:v>
                </c:pt>
                <c:pt idx="373">
                  <c:v>31.166666666666668</c:v>
                </c:pt>
                <c:pt idx="374">
                  <c:v>31.25</c:v>
                </c:pt>
                <c:pt idx="375">
                  <c:v>31.333333333333332</c:v>
                </c:pt>
                <c:pt idx="376">
                  <c:v>31.416666666666668</c:v>
                </c:pt>
                <c:pt idx="377">
                  <c:v>31.5</c:v>
                </c:pt>
                <c:pt idx="378">
                  <c:v>31.583333333333332</c:v>
                </c:pt>
                <c:pt idx="379">
                  <c:v>31.666666666666668</c:v>
                </c:pt>
                <c:pt idx="380">
                  <c:v>31.75</c:v>
                </c:pt>
                <c:pt idx="381">
                  <c:v>31.833333333333332</c:v>
                </c:pt>
                <c:pt idx="382">
                  <c:v>31.916666666666668</c:v>
                </c:pt>
                <c:pt idx="383">
                  <c:v>32</c:v>
                </c:pt>
                <c:pt idx="384">
                  <c:v>32.083333333333336</c:v>
                </c:pt>
                <c:pt idx="385">
                  <c:v>32.166666666666664</c:v>
                </c:pt>
                <c:pt idx="386">
                  <c:v>32.25</c:v>
                </c:pt>
                <c:pt idx="387">
                  <c:v>32.333333333333336</c:v>
                </c:pt>
                <c:pt idx="388">
                  <c:v>32.416666666666664</c:v>
                </c:pt>
                <c:pt idx="389">
                  <c:v>32.5</c:v>
                </c:pt>
                <c:pt idx="390">
                  <c:v>32.583333333333336</c:v>
                </c:pt>
                <c:pt idx="391">
                  <c:v>32.666666666666664</c:v>
                </c:pt>
                <c:pt idx="392">
                  <c:v>32.75</c:v>
                </c:pt>
                <c:pt idx="393">
                  <c:v>32.833333333333336</c:v>
                </c:pt>
                <c:pt idx="394">
                  <c:v>32.916666666666664</c:v>
                </c:pt>
                <c:pt idx="395">
                  <c:v>33</c:v>
                </c:pt>
                <c:pt idx="396">
                  <c:v>33.083333333333336</c:v>
                </c:pt>
                <c:pt idx="397">
                  <c:v>33.166666666666664</c:v>
                </c:pt>
                <c:pt idx="398">
                  <c:v>33.25</c:v>
                </c:pt>
                <c:pt idx="399">
                  <c:v>33.333333333333336</c:v>
                </c:pt>
                <c:pt idx="400">
                  <c:v>33.416666666666664</c:v>
                </c:pt>
                <c:pt idx="401">
                  <c:v>33.5</c:v>
                </c:pt>
                <c:pt idx="402">
                  <c:v>33.583333333333336</c:v>
                </c:pt>
                <c:pt idx="403">
                  <c:v>33.666666666666664</c:v>
                </c:pt>
                <c:pt idx="404">
                  <c:v>33.75</c:v>
                </c:pt>
                <c:pt idx="405">
                  <c:v>33.833333333333336</c:v>
                </c:pt>
                <c:pt idx="406">
                  <c:v>33.916666666666664</c:v>
                </c:pt>
                <c:pt idx="407">
                  <c:v>34</c:v>
                </c:pt>
                <c:pt idx="408">
                  <c:v>34.083333333333336</c:v>
                </c:pt>
                <c:pt idx="409">
                  <c:v>34.166666666666664</c:v>
                </c:pt>
                <c:pt idx="410">
                  <c:v>34.25</c:v>
                </c:pt>
                <c:pt idx="411">
                  <c:v>34.333333333333336</c:v>
                </c:pt>
                <c:pt idx="412">
                  <c:v>34.416666666666664</c:v>
                </c:pt>
                <c:pt idx="413">
                  <c:v>34.5</c:v>
                </c:pt>
                <c:pt idx="414">
                  <c:v>34.583333333333336</c:v>
                </c:pt>
                <c:pt idx="415">
                  <c:v>34.666666666666664</c:v>
                </c:pt>
                <c:pt idx="416">
                  <c:v>34.75</c:v>
                </c:pt>
                <c:pt idx="417">
                  <c:v>34.833333333333336</c:v>
                </c:pt>
                <c:pt idx="418">
                  <c:v>34.916666666666664</c:v>
                </c:pt>
                <c:pt idx="419">
                  <c:v>35</c:v>
                </c:pt>
                <c:pt idx="420">
                  <c:v>35.083333333333336</c:v>
                </c:pt>
                <c:pt idx="421">
                  <c:v>35.166666666666664</c:v>
                </c:pt>
                <c:pt idx="422">
                  <c:v>35.25</c:v>
                </c:pt>
                <c:pt idx="423">
                  <c:v>35.333333333333336</c:v>
                </c:pt>
                <c:pt idx="424">
                  <c:v>35.416666666666664</c:v>
                </c:pt>
                <c:pt idx="425">
                  <c:v>35.5</c:v>
                </c:pt>
                <c:pt idx="426">
                  <c:v>35.583333333333336</c:v>
                </c:pt>
                <c:pt idx="427">
                  <c:v>35.666666666666664</c:v>
                </c:pt>
                <c:pt idx="428">
                  <c:v>35.75</c:v>
                </c:pt>
                <c:pt idx="429">
                  <c:v>35.833333333333336</c:v>
                </c:pt>
                <c:pt idx="430">
                  <c:v>35.916666666666664</c:v>
                </c:pt>
                <c:pt idx="431">
                  <c:v>36</c:v>
                </c:pt>
                <c:pt idx="432">
                  <c:v>36.083333333333336</c:v>
                </c:pt>
                <c:pt idx="433">
                  <c:v>36.166666666666664</c:v>
                </c:pt>
                <c:pt idx="434">
                  <c:v>36.25</c:v>
                </c:pt>
                <c:pt idx="435">
                  <c:v>36.333333333333336</c:v>
                </c:pt>
                <c:pt idx="436">
                  <c:v>36.416666666666664</c:v>
                </c:pt>
                <c:pt idx="437">
                  <c:v>36.5</c:v>
                </c:pt>
                <c:pt idx="438">
                  <c:v>36.583333333333336</c:v>
                </c:pt>
                <c:pt idx="439">
                  <c:v>36.666666666666664</c:v>
                </c:pt>
                <c:pt idx="440">
                  <c:v>36.75</c:v>
                </c:pt>
                <c:pt idx="441">
                  <c:v>36.833333333333336</c:v>
                </c:pt>
                <c:pt idx="442">
                  <c:v>36.916666666666664</c:v>
                </c:pt>
                <c:pt idx="443">
                  <c:v>37</c:v>
                </c:pt>
                <c:pt idx="444">
                  <c:v>37.083333333333336</c:v>
                </c:pt>
                <c:pt idx="445">
                  <c:v>37.166666666666664</c:v>
                </c:pt>
                <c:pt idx="446">
                  <c:v>37.25</c:v>
                </c:pt>
                <c:pt idx="447">
                  <c:v>37.333333333333336</c:v>
                </c:pt>
                <c:pt idx="448">
                  <c:v>37.416666666666664</c:v>
                </c:pt>
                <c:pt idx="449">
                  <c:v>37.5</c:v>
                </c:pt>
                <c:pt idx="450">
                  <c:v>37.583333333333336</c:v>
                </c:pt>
                <c:pt idx="451">
                  <c:v>37.666666666666664</c:v>
                </c:pt>
                <c:pt idx="452">
                  <c:v>37.75</c:v>
                </c:pt>
                <c:pt idx="453">
                  <c:v>37.833333333333336</c:v>
                </c:pt>
                <c:pt idx="454">
                  <c:v>37.916666666666664</c:v>
                </c:pt>
                <c:pt idx="455">
                  <c:v>38</c:v>
                </c:pt>
                <c:pt idx="456">
                  <c:v>38.083333333333336</c:v>
                </c:pt>
                <c:pt idx="457">
                  <c:v>38.166666666666664</c:v>
                </c:pt>
                <c:pt idx="458">
                  <c:v>38.25</c:v>
                </c:pt>
                <c:pt idx="459">
                  <c:v>38.333333333333336</c:v>
                </c:pt>
                <c:pt idx="460">
                  <c:v>38.416666666666664</c:v>
                </c:pt>
                <c:pt idx="461">
                  <c:v>38.5</c:v>
                </c:pt>
                <c:pt idx="462">
                  <c:v>38.583333333333336</c:v>
                </c:pt>
                <c:pt idx="463">
                  <c:v>38.666666666666664</c:v>
                </c:pt>
                <c:pt idx="464">
                  <c:v>38.75</c:v>
                </c:pt>
                <c:pt idx="465">
                  <c:v>38.833333333333336</c:v>
                </c:pt>
                <c:pt idx="466">
                  <c:v>38.916666666666664</c:v>
                </c:pt>
                <c:pt idx="467">
                  <c:v>39</c:v>
                </c:pt>
                <c:pt idx="468">
                  <c:v>39.083333333333336</c:v>
                </c:pt>
                <c:pt idx="469">
                  <c:v>39.166666666666664</c:v>
                </c:pt>
                <c:pt idx="470">
                  <c:v>39.25</c:v>
                </c:pt>
                <c:pt idx="471">
                  <c:v>39.333333333333336</c:v>
                </c:pt>
                <c:pt idx="472">
                  <c:v>39.416666666666664</c:v>
                </c:pt>
                <c:pt idx="473">
                  <c:v>39.5</c:v>
                </c:pt>
                <c:pt idx="474">
                  <c:v>39.583333333333336</c:v>
                </c:pt>
                <c:pt idx="475">
                  <c:v>39.666666666666664</c:v>
                </c:pt>
                <c:pt idx="476">
                  <c:v>39.75</c:v>
                </c:pt>
                <c:pt idx="477">
                  <c:v>39.833333333333336</c:v>
                </c:pt>
                <c:pt idx="478">
                  <c:v>39.916666666666664</c:v>
                </c:pt>
                <c:pt idx="479">
                  <c:v>40</c:v>
                </c:pt>
              </c:numCache>
            </c:numRef>
          </c:xVal>
          <c:yVal>
            <c:numRef>
              <c:f>'Figures B1-B3'!$E$15:$RP$15</c:f>
              <c:numCache>
                <c:formatCode>#,##0.00</c:formatCode>
                <c:ptCount val="480"/>
                <c:pt idx="1">
                  <c:v>7.1344810150982126E-4</c:v>
                </c:pt>
                <c:pt idx="2">
                  <c:v>1.9210599792084484E-3</c:v>
                </c:pt>
                <c:pt idx="3">
                  <c:v>3.710481284722322E-3</c:v>
                </c:pt>
                <c:pt idx="4">
                  <c:v>6.0669647836495387E-3</c:v>
                </c:pt>
                <c:pt idx="5">
                  <c:v>8.9760199367558934E-3</c:v>
                </c:pt>
                <c:pt idx="6">
                  <c:v>1.2423409050629839E-2</c:v>
                </c:pt>
                <c:pt idx="7">
                  <c:v>1.639514348189999E-2</c:v>
                </c:pt>
                <c:pt idx="8">
                  <c:v>2.0877479894295104E-2</c:v>
                </c:pt>
                <c:pt idx="9">
                  <c:v>2.5856916567854146E-2</c:v>
                </c:pt>
                <c:pt idx="10">
                  <c:v>3.1320189759568032E-2</c:v>
                </c:pt>
                <c:pt idx="11">
                  <c:v>3.7254270114793694E-2</c:v>
                </c:pt>
                <c:pt idx="12">
                  <c:v>4.3646359128736795E-2</c:v>
                </c:pt>
                <c:pt idx="13">
                  <c:v>5.0483885657353303E-2</c:v>
                </c:pt>
                <c:pt idx="14">
                  <c:v>5.7754502476984215E-2</c:v>
                </c:pt>
                <c:pt idx="15">
                  <c:v>6.5446082892118812E-2</c:v>
                </c:pt>
                <c:pt idx="16">
                  <c:v>7.3546717390575778E-2</c:v>
                </c:pt>
                <c:pt idx="17">
                  <c:v>8.2044710345532762E-2</c:v>
                </c:pt>
                <c:pt idx="18">
                  <c:v>9.0928576763724012E-2</c:v>
                </c:pt>
                <c:pt idx="19">
                  <c:v>0.10018703907923224</c:v>
                </c:pt>
                <c:pt idx="20">
                  <c:v>0.10980902399222769</c:v>
                </c:pt>
                <c:pt idx="21">
                  <c:v>0.11978365935208451</c:v>
                </c:pt>
                <c:pt idx="22">
                  <c:v>0.13010027108424005</c:v>
                </c:pt>
                <c:pt idx="23">
                  <c:v>0.14074838016022767</c:v>
                </c:pt>
                <c:pt idx="24">
                  <c:v>0.15171769961038062</c:v>
                </c:pt>
                <c:pt idx="25">
                  <c:v>0.16299813157843607</c:v>
                </c:pt>
                <c:pt idx="26">
                  <c:v>0.17457976441771961</c:v>
                </c:pt>
                <c:pt idx="27">
                  <c:v>0.18645286982818121</c:v>
                </c:pt>
                <c:pt idx="28">
                  <c:v>0.19860790003377726</c:v>
                </c:pt>
                <c:pt idx="29">
                  <c:v>0.21103548499968905</c:v>
                </c:pt>
                <c:pt idx="30">
                  <c:v>0.22372642968884782</c:v>
                </c:pt>
                <c:pt idx="31">
                  <c:v>0.23667171135710141</c:v>
                </c:pt>
                <c:pt idx="32">
                  <c:v>0.24986247688678054</c:v>
                </c:pt>
                <c:pt idx="33">
                  <c:v>0.26329004015779467</c:v>
                </c:pt>
                <c:pt idx="34">
                  <c:v>0.27694587945605642</c:v>
                </c:pt>
                <c:pt idx="35">
                  <c:v>0.29082163491860125</c:v>
                </c:pt>
                <c:pt idx="36">
                  <c:v>0.3049091060148339</c:v>
                </c:pt>
                <c:pt idx="37">
                  <c:v>0.3192002490635979</c:v>
                </c:pt>
                <c:pt idx="38">
                  <c:v>0.33368717478542353</c:v>
                </c:pt>
                <c:pt idx="39">
                  <c:v>0.34836214588955405</c:v>
                </c:pt>
                <c:pt idx="40">
                  <c:v>0.3632175746952464</c:v>
                </c:pt>
                <c:pt idx="41">
                  <c:v>0.37824602078700154</c:v>
                </c:pt>
                <c:pt idx="42">
                  <c:v>0.39344018870299546</c:v>
                </c:pt>
                <c:pt idx="43">
                  <c:v>0.40879292565655989</c:v>
                </c:pt>
                <c:pt idx="44">
                  <c:v>0.42429721929023012</c:v>
                </c:pt>
                <c:pt idx="45">
                  <c:v>0.43994619546147229</c:v>
                </c:pt>
                <c:pt idx="46">
                  <c:v>0.45573311606049494</c:v>
                </c:pt>
                <c:pt idx="47">
                  <c:v>0.47165137685889524</c:v>
                </c:pt>
                <c:pt idx="48">
                  <c:v>0.48769450538915127</c:v>
                </c:pt>
                <c:pt idx="49">
                  <c:v>0.50385615885448187</c:v>
                </c:pt>
                <c:pt idx="50">
                  <c:v>0.52013012206869336</c:v>
                </c:pt>
                <c:pt idx="51">
                  <c:v>0.53651030542531863</c:v>
                </c:pt>
                <c:pt idx="52">
                  <c:v>0.55299074289624617</c:v>
                </c:pt>
                <c:pt idx="53">
                  <c:v>0.56956559005861962</c:v>
                </c:pt>
                <c:pt idx="54">
                  <c:v>0.58622912215049583</c:v>
                </c:pt>
                <c:pt idx="55">
                  <c:v>0.60297573215423661</c:v>
                </c:pt>
                <c:pt idx="56">
                  <c:v>0.61979992890742786</c:v>
                </c:pt>
                <c:pt idx="57">
                  <c:v>0.63669633524113944</c:v>
                </c:pt>
                <c:pt idx="58">
                  <c:v>0.65365968614502901</c:v>
                </c:pt>
                <c:pt idx="59">
                  <c:v>0.6706848269585155</c:v>
                </c:pt>
                <c:pt idx="60">
                  <c:v>0.6877667115888153</c:v>
                </c:pt>
                <c:pt idx="61">
                  <c:v>0.70490040075392635</c:v>
                </c:pt>
                <c:pt idx="62">
                  <c:v>0.72208106025137564</c:v>
                </c:pt>
                <c:pt idx="63">
                  <c:v>0.73930395925219994</c:v>
                </c:pt>
                <c:pt idx="64">
                  <c:v>0.75656446861922966</c:v>
                </c:pt>
                <c:pt idx="65">
                  <c:v>0.77385805924998241</c:v>
                </c:pt>
                <c:pt idx="66">
                  <c:v>0.79118030044360665</c:v>
                </c:pt>
                <c:pt idx="67">
                  <c:v>0.80852685829139848</c:v>
                </c:pt>
                <c:pt idx="68">
                  <c:v>0.82589349409075297</c:v>
                </c:pt>
                <c:pt idx="69">
                  <c:v>0.843276062782361</c:v>
                </c:pt>
                <c:pt idx="70">
                  <c:v>0.86067051140990536</c:v>
                </c:pt>
                <c:pt idx="71">
                  <c:v>0.87807287760212027</c:v>
                </c:pt>
                <c:pt idx="72">
                  <c:v>0.8954792880774729</c:v>
                </c:pt>
                <c:pt idx="73">
                  <c:v>0.91288595717022503</c:v>
                </c:pt>
                <c:pt idx="74">
                  <c:v>0.93028918537791228</c:v>
                </c:pt>
                <c:pt idx="75">
                  <c:v>0.94768535793073916</c:v>
                </c:pt>
                <c:pt idx="76">
                  <c:v>0.96507094338107002</c:v>
                </c:pt>
                <c:pt idx="77">
                  <c:v>0.98244249221424695</c:v>
                </c:pt>
                <c:pt idx="78">
                  <c:v>0.99979663547923714</c:v>
                </c:pt>
                <c:pt idx="79">
                  <c:v>1.0171300834401489</c:v>
                </c:pt>
                <c:pt idx="80">
                  <c:v>1.0344396242462768</c:v>
                </c:pt>
                <c:pt idx="81">
                  <c:v>1.051722122623266</c:v>
                </c:pt>
                <c:pt idx="82">
                  <c:v>1.0689745185822463</c:v>
                </c:pt>
                <c:pt idx="83">
                  <c:v>1.0861938261487261</c:v>
                </c:pt>
                <c:pt idx="84">
                  <c:v>1.103377132109701</c:v>
                </c:pt>
                <c:pt idx="85">
                  <c:v>1.1205215947801399</c:v>
                </c:pt>
                <c:pt idx="86">
                  <c:v>1.1376244427862403</c:v>
                </c:pt>
                <c:pt idx="87">
                  <c:v>1.1546829738684128</c:v>
                </c:pt>
                <c:pt idx="88">
                  <c:v>1.1716945537005028</c:v>
                </c:pt>
                <c:pt idx="89">
                  <c:v>1.1886566147273339</c:v>
                </c:pt>
                <c:pt idx="90">
                  <c:v>1.2055666550192932</c:v>
                </c:pt>
                <c:pt idx="91">
                  <c:v>1.222422237144098</c:v>
                </c:pt>
                <c:pt idx="92">
                  <c:v>1.239220987054571</c:v>
                </c:pt>
                <c:pt idx="93">
                  <c:v>1.2559605929941924</c:v>
                </c:pt>
                <c:pt idx="94">
                  <c:v>1.2726388044181718</c:v>
                </c:pt>
                <c:pt idx="95">
                  <c:v>1.2892534309301489</c:v>
                </c:pt>
                <c:pt idx="96">
                  <c:v>1.3058023412363262</c:v>
                </c:pt>
                <c:pt idx="97">
                  <c:v>1.3222834621134147</c:v>
                </c:pt>
                <c:pt idx="98">
                  <c:v>1.3386947773936058</c:v>
                </c:pt>
                <c:pt idx="99">
                  <c:v>1.3550343269632279</c:v>
                </c:pt>
                <c:pt idx="100">
                  <c:v>1.3713002057779029</c:v>
                </c:pt>
                <c:pt idx="101">
                  <c:v>1.3874905628913652</c:v>
                </c:pt>
                <c:pt idx="102">
                  <c:v>1.4036036004994585</c:v>
                </c:pt>
                <c:pt idx="103">
                  <c:v>1.4196375729983508</c:v>
                </c:pt>
                <c:pt idx="104">
                  <c:v>1.43559078605686</c:v>
                </c:pt>
                <c:pt idx="105">
                  <c:v>1.4514615957027317</c:v>
                </c:pt>
                <c:pt idx="106">
                  <c:v>1.4672484074230603</c:v>
                </c:pt>
                <c:pt idx="107">
                  <c:v>1.4829496752780749</c:v>
                </c:pt>
                <c:pt idx="108">
                  <c:v>1.4985639010279499</c:v>
                </c:pt>
                <c:pt idx="109">
                  <c:v>1.5140896332734926</c:v>
                </c:pt>
                <c:pt idx="110">
                  <c:v>1.5295254666096412</c:v>
                </c:pt>
                <c:pt idx="111">
                  <c:v>1.5448700407915936</c:v>
                </c:pt>
                <c:pt idx="112">
                  <c:v>1.5601220399137254</c:v>
                </c:pt>
                <c:pt idx="113">
                  <c:v>1.5752801916014576</c:v>
                </c:pt>
                <c:pt idx="114">
                  <c:v>1.590343266214294</c:v>
                </c:pt>
                <c:pt idx="115">
                  <c:v>1.605310076062576</c:v>
                </c:pt>
                <c:pt idx="116">
                  <c:v>1.6201794746350977</c:v>
                </c:pt>
                <c:pt idx="117">
                  <c:v>1.6349503558382956</c:v>
                </c:pt>
                <c:pt idx="118">
                  <c:v>1.6496216532485484</c:v>
                </c:pt>
                <c:pt idx="119">
                  <c:v>1.66419233937442</c:v>
                </c:pt>
                <c:pt idx="120">
                  <c:v>1.6786614249311178</c:v>
                </c:pt>
                <c:pt idx="121">
                  <c:v>1.6930279581253096</c:v>
                </c:pt>
                <c:pt idx="122">
                  <c:v>1.70729102395239</c:v>
                </c:pt>
                <c:pt idx="123">
                  <c:v>1.7214497435027525</c:v>
                </c:pt>
                <c:pt idx="124">
                  <c:v>1.7355032732801909</c:v>
                </c:pt>
                <c:pt idx="125">
                  <c:v>1.7494508045302659</c:v>
                </c:pt>
                <c:pt idx="126">
                  <c:v>1.7632915625787646</c:v>
                </c:pt>
                <c:pt idx="127">
                  <c:v>1.7770248061812879</c:v>
                </c:pt>
                <c:pt idx="128">
                  <c:v>1.7906498268823654</c:v>
                </c:pt>
                <c:pt idx="129">
                  <c:v>1.804165948383897</c:v>
                </c:pt>
                <c:pt idx="130">
                  <c:v>1.8175725259252857</c:v>
                </c:pt>
                <c:pt idx="131">
                  <c:v>1.8308689456707228</c:v>
                </c:pt>
                <c:pt idx="132">
                  <c:v>1.8440546241087077</c:v>
                </c:pt>
                <c:pt idx="133">
                  <c:v>1.8571290074586244</c:v>
                </c:pt>
                <c:pt idx="134">
                  <c:v>1.8700915710883379</c:v>
                </c:pt>
                <c:pt idx="135">
                  <c:v>1.8829418189390594</c:v>
                </c:pt>
                <c:pt idx="136">
                  <c:v>1.8956792829622771</c:v>
                </c:pt>
                <c:pt idx="137">
                  <c:v>1.9083035225617166</c:v>
                </c:pt>
                <c:pt idx="138">
                  <c:v>1.9208141240470056</c:v>
                </c:pt>
                <c:pt idx="139">
                  <c:v>1.9332107000950955</c:v>
                </c:pt>
                <c:pt idx="140">
                  <c:v>1.9454928892194872</c:v>
                </c:pt>
                <c:pt idx="141">
                  <c:v>1.9576603552487057</c:v>
                </c:pt>
                <c:pt idx="142">
                  <c:v>1.9697127868128987</c:v>
                </c:pt>
                <c:pt idx="143">
                  <c:v>1.9816498968382987</c:v>
                </c:pt>
                <c:pt idx="144">
                  <c:v>1.9934714220497654</c:v>
                </c:pt>
                <c:pt idx="145">
                  <c:v>2.0051771224818324</c:v>
                </c:pt>
                <c:pt idx="146">
                  <c:v>2.0167667809964271</c:v>
                </c:pt>
                <c:pt idx="147">
                  <c:v>2.0282402028093074</c:v>
                </c:pt>
                <c:pt idx="148">
                  <c:v>2.0395972150235977</c:v>
                </c:pt>
                <c:pt idx="149">
                  <c:v>2.0508376661715957</c:v>
                </c:pt>
                <c:pt idx="150">
                  <c:v>2.0619614257616519</c:v>
                </c:pt>
                <c:pt idx="151">
                  <c:v>2.0729683838357502</c:v>
                </c:pt>
                <c:pt idx="152">
                  <c:v>2.0838584505313733</c:v>
                </c:pt>
                <c:pt idx="153">
                  <c:v>2.0946315556515742</c:v>
                </c:pt>
                <c:pt idx="154">
                  <c:v>2.1052876482421681</c:v>
                </c:pt>
                <c:pt idx="155">
                  <c:v>2.1158266961755317</c:v>
                </c:pt>
                <c:pt idx="156">
                  <c:v>2.1262486857403928</c:v>
                </c:pt>
                <c:pt idx="157">
                  <c:v>2.1365536212403811</c:v>
                </c:pt>
                <c:pt idx="158">
                  <c:v>2.1467415245963934</c:v>
                </c:pt>
                <c:pt idx="159">
                  <c:v>2.1568124349577431</c:v>
                </c:pt>
                <c:pt idx="160">
                  <c:v>2.1667664083179545</c:v>
                </c:pt>
                <c:pt idx="161">
                  <c:v>2.1766035171386804</c:v>
                </c:pt>
                <c:pt idx="162">
                  <c:v>2.186323849977434</c:v>
                </c:pt>
                <c:pt idx="163">
                  <c:v>2.1959275111236565</c:v>
                </c:pt>
                <c:pt idx="164">
                  <c:v>2.2054146202397078</c:v>
                </c:pt>
                <c:pt idx="165">
                  <c:v>2.2147853120080399</c:v>
                </c:pt>
                <c:pt idx="166">
                  <c:v>2.2240397357833146</c:v>
                </c:pt>
                <c:pt idx="167">
                  <c:v>2.233178055251706</c:v>
                </c:pt>
                <c:pt idx="168">
                  <c:v>2.2422004480957654</c:v>
                </c:pt>
                <c:pt idx="169">
                  <c:v>2.2511071056630172</c:v>
                </c:pt>
                <c:pt idx="170">
                  <c:v>2.2598982326426125</c:v>
                </c:pt>
                <c:pt idx="171">
                  <c:v>2.2685740467450088</c:v>
                </c:pt>
                <c:pt idx="172">
                  <c:v>2.2771347783889198</c:v>
                </c:pt>
                <c:pt idx="173">
                  <c:v>2.2855806703929744</c:v>
                </c:pt>
                <c:pt idx="174">
                  <c:v>2.2939119776711721</c:v>
                </c:pt>
                <c:pt idx="175">
                  <c:v>2.3021289669356264</c:v>
                </c:pt>
                <c:pt idx="176">
                  <c:v>2.3102319164034242</c:v>
                </c:pt>
                <c:pt idx="177">
                  <c:v>2.3182211155076828</c:v>
                </c:pt>
                <c:pt idx="178">
                  <c:v>2.3260968646134472</c:v>
                </c:pt>
                <c:pt idx="179">
                  <c:v>2.3338594747421126</c:v>
                </c:pt>
                <c:pt idx="181">
                  <c:v>2.1712813313624935</c:v>
                </c:pt>
                <c:pt idx="182">
                  <c:v>2.1845237509842406</c:v>
                </c:pt>
                <c:pt idx="183">
                  <c:v>2.197626340929574</c:v>
                </c:pt>
                <c:pt idx="184">
                  <c:v>2.2105885803642167</c:v>
                </c:pt>
                <c:pt idx="185">
                  <c:v>2.2234099844147153</c:v>
                </c:pt>
                <c:pt idx="186">
                  <c:v>2.2360901035475607</c:v>
                </c:pt>
                <c:pt idx="187">
                  <c:v>2.248628522956345</c:v>
                </c:pt>
                <c:pt idx="188">
                  <c:v>2.2610248619496218</c:v>
                </c:pt>
                <c:pt idx="189">
                  <c:v>2.2732787733428808</c:v>
                </c:pt>
                <c:pt idx="190">
                  <c:v>2.2853899428554456</c:v>
                </c:pt>
                <c:pt idx="191">
                  <c:v>2.2973580885125102</c:v>
                </c:pt>
                <c:pt idx="192">
                  <c:v>2.3091829600473446</c:v>
                </c:pt>
                <c:pt idx="193">
                  <c:v>2.3208643383144789</c:v>
                </c:pt>
                <c:pt idx="194">
                  <c:v>2.3324020346999887</c:v>
                </c:pt>
                <c:pt idx="195">
                  <c:v>2.3437958905441434</c:v>
                </c:pt>
                <c:pt idx="196">
                  <c:v>2.3550457765614112</c:v>
                </c:pt>
                <c:pt idx="197">
                  <c:v>2.3661515922719119</c:v>
                </c:pt>
                <c:pt idx="198">
                  <c:v>2.3771132654329747</c:v>
                </c:pt>
                <c:pt idx="199">
                  <c:v>2.3879307514785211</c:v>
                </c:pt>
                <c:pt idx="200">
                  <c:v>2.3986040329631777</c:v>
                </c:pt>
                <c:pt idx="201">
                  <c:v>2.4091331190102707</c:v>
                </c:pt>
                <c:pt idx="202">
                  <c:v>2.4195180447669387</c:v>
                </c:pt>
                <c:pt idx="203">
                  <c:v>2.4297588708636582</c:v>
                </c:pt>
                <c:pt idx="204">
                  <c:v>2.4398556828788855</c:v>
                </c:pt>
                <c:pt idx="205">
                  <c:v>2.4498085908112444</c:v>
                </c:pt>
                <c:pt idx="206">
                  <c:v>2.4596177285529706</c:v>
                </c:pt>
                <c:pt idx="207">
                  <c:v>2.4692832533744422</c:v>
                </c:pt>
                <c:pt idx="208">
                  <c:v>2.4788053454105636</c:v>
                </c:pt>
                <c:pt idx="209">
                  <c:v>2.4881842071523295</c:v>
                </c:pt>
                <c:pt idx="210">
                  <c:v>2.497420062948791</c:v>
                </c:pt>
                <c:pt idx="211">
                  <c:v>2.5065131585088949</c:v>
                </c:pt>
                <c:pt idx="212">
                  <c:v>2.5154637604124019</c:v>
                </c:pt>
                <c:pt idx="213">
                  <c:v>2.5242721556266474</c:v>
                </c:pt>
                <c:pt idx="214">
                  <c:v>2.5329386510278624</c:v>
                </c:pt>
                <c:pt idx="215">
                  <c:v>2.5414635729291888</c:v>
                </c:pt>
                <c:pt idx="216">
                  <c:v>2.549847266612872</c:v>
                </c:pt>
                <c:pt idx="217">
                  <c:v>2.5580900958720889</c:v>
                </c:pt>
                <c:pt idx="218">
                  <c:v>2.5661924425531595</c:v>
                </c:pt>
                <c:pt idx="219">
                  <c:v>2.5741547061093115</c:v>
                </c:pt>
                <c:pt idx="220">
                  <c:v>2.581977303155</c:v>
                </c:pt>
                <c:pt idx="221">
                  <c:v>2.5896606670299036</c:v>
                </c:pt>
                <c:pt idx="222">
                  <c:v>2.5972052473686347</c:v>
                </c:pt>
                <c:pt idx="223">
                  <c:v>2.6046115096713862</c:v>
                </c:pt>
                <c:pt idx="224">
                  <c:v>2.6118799348875825</c:v>
                </c:pt>
                <c:pt idx="225">
                  <c:v>2.6190110190004674</c:v>
                </c:pt>
                <c:pt idx="226">
                  <c:v>2.6260052726178316</c:v>
                </c:pt>
                <c:pt idx="227">
                  <c:v>2.632863220571096</c:v>
                </c:pt>
                <c:pt idx="228">
                  <c:v>2.6395854015170812</c:v>
                </c:pt>
                <c:pt idx="229">
                  <c:v>2.6461723675481323</c:v>
                </c:pt>
                <c:pt idx="230">
                  <c:v>2.6526246838045893</c:v>
                </c:pt>
                <c:pt idx="231">
                  <c:v>2.6589429280977015</c:v>
                </c:pt>
                <c:pt idx="232">
                  <c:v>2.6651276905337369</c:v>
                </c:pt>
                <c:pt idx="233">
                  <c:v>2.6711795731449115</c:v>
                </c:pt>
                <c:pt idx="234">
                  <c:v>2.6770991895285476</c:v>
                </c:pt>
                <c:pt idx="235">
                  <c:v>2.6828871644874681</c:v>
                </c:pt>
                <c:pt idx="236">
                  <c:v>2.6885441336796418</c:v>
                </c:pt>
                <c:pt idx="237">
                  <c:v>2.6940707432703022</c:v>
                </c:pt>
                <c:pt idx="238">
                  <c:v>2.6994676495933163</c:v>
                </c:pt>
                <c:pt idx="239">
                  <c:v>2.7047355188112334</c:v>
                </c:pt>
                <c:pt idx="240">
                  <c:v>2.7098750265910212</c:v>
                </c:pt>
                <c:pt idx="241">
                  <c:v>2.714886857773962</c:v>
                </c:pt>
                <c:pt idx="242">
                  <c:v>2.7197717060582534</c:v>
                </c:pt>
                <c:pt idx="243">
                  <c:v>2.7245302736854029</c:v>
                </c:pt>
                <c:pt idx="244">
                  <c:v>2.7291632711294795</c:v>
                </c:pt>
                <c:pt idx="245">
                  <c:v>2.7336714167936975</c:v>
                </c:pt>
                <c:pt idx="246">
                  <c:v>2.7380554367114343</c:v>
                </c:pt>
                <c:pt idx="247">
                  <c:v>2.742316064254112</c:v>
                </c:pt>
                <c:pt idx="248">
                  <c:v>2.7464540398388237</c:v>
                </c:pt>
                <c:pt idx="249">
                  <c:v>2.7504701106480667</c:v>
                </c:pt>
                <c:pt idx="250">
                  <c:v>2.7543650303494758</c:v>
                </c:pt>
                <c:pt idx="251">
                  <c:v>2.7581395588215258</c:v>
                </c:pt>
                <c:pt idx="252">
                  <c:v>2.7617944618850743</c:v>
                </c:pt>
                <c:pt idx="253">
                  <c:v>2.7653305110389965</c:v>
                </c:pt>
                <c:pt idx="254">
                  <c:v>2.7687484832000422</c:v>
                </c:pt>
                <c:pt idx="255">
                  <c:v>2.7720491604491286</c:v>
                </c:pt>
                <c:pt idx="256">
                  <c:v>2.7752333297807894</c:v>
                </c:pt>
                <c:pt idx="257">
                  <c:v>2.778301782855948</c:v>
                </c:pt>
                <c:pt idx="258">
                  <c:v>2.7812553157636017</c:v>
                </c:pt>
                <c:pt idx="259">
                  <c:v>2.7840947287834439</c:v>
                </c:pt>
                <c:pt idx="260">
                  <c:v>2.7868208261515974</c:v>
                </c:pt>
                <c:pt idx="261">
                  <c:v>2.7894344158375191</c:v>
                </c:pt>
                <c:pt idx="262">
                  <c:v>2.7919363093147638</c:v>
                </c:pt>
                <c:pt idx="263">
                  <c:v>2.7943273213487601</c:v>
                </c:pt>
                <c:pt idx="264">
                  <c:v>2.7966082697767405</c:v>
                </c:pt>
                <c:pt idx="265">
                  <c:v>2.7987799752998228</c:v>
                </c:pt>
                <c:pt idx="266">
                  <c:v>2.8008432612757304</c:v>
                </c:pt>
                <c:pt idx="267">
                  <c:v>2.8027989535182485</c:v>
                </c:pt>
                <c:pt idx="268">
                  <c:v>2.8046478800971073</c:v>
                </c:pt>
                <c:pt idx="269">
                  <c:v>2.8063908711436625</c:v>
                </c:pt>
                <c:pt idx="270">
                  <c:v>2.8080287586641219</c:v>
                </c:pt>
                <c:pt idx="271">
                  <c:v>2.8095623763494046</c:v>
                </c:pt>
                <c:pt idx="272">
                  <c:v>2.810992559394208</c:v>
                </c:pt>
                <c:pt idx="273">
                  <c:v>2.8123201443199122</c:v>
                </c:pt>
                <c:pt idx="274">
                  <c:v>2.8135459687969728</c:v>
                </c:pt>
                <c:pt idx="275">
                  <c:v>2.8146708714760962</c:v>
                </c:pt>
                <c:pt idx="276">
                  <c:v>2.8156956918208209</c:v>
                </c:pt>
                <c:pt idx="277">
                  <c:v>2.8166212699424023</c:v>
                </c:pt>
                <c:pt idx="278">
                  <c:v>2.8174484464395562</c:v>
                </c:pt>
                <c:pt idx="279">
                  <c:v>2.8181780622432768</c:v>
                </c:pt>
                <c:pt idx="280">
                  <c:v>2.818810958464212</c:v>
                </c:pt>
                <c:pt idx="281">
                  <c:v>2.8193479762383333</c:v>
                </c:pt>
                <c:pt idx="282">
                  <c:v>2.8197899565869307</c:v>
                </c:pt>
                <c:pt idx="283">
                  <c:v>2.8201377402687626</c:v>
                </c:pt>
                <c:pt idx="284">
                  <c:v>2.820392167641586</c:v>
                </c:pt>
                <c:pt idx="285">
                  <c:v>2.820554078527266</c:v>
                </c:pt>
                <c:pt idx="286">
                  <c:v>2.8206243120756938</c:v>
                </c:pt>
                <c:pt idx="287">
                  <c:v>2.8206037066368026</c:v>
                </c:pt>
                <c:pt idx="288">
                  <c:v>2.8204930996321593</c:v>
                </c:pt>
                <c:pt idx="289">
                  <c:v>2.8202933274320117</c:v>
                </c:pt>
                <c:pt idx="290">
                  <c:v>2.820005225232336</c:v>
                </c:pt>
                <c:pt idx="291">
                  <c:v>2.8196296269390473</c:v>
                </c:pt>
                <c:pt idx="292">
                  <c:v>2.819167365051868</c:v>
                </c:pt>
                <c:pt idx="293">
                  <c:v>2.8186192705511814</c:v>
                </c:pt>
                <c:pt idx="294">
                  <c:v>2.8179861727896593</c:v>
                </c:pt>
                <c:pt idx="295">
                  <c:v>2.8172688993857662</c:v>
                </c:pt>
                <c:pt idx="296">
                  <c:v>2.8164682761182007</c:v>
                </c:pt>
                <c:pt idx="297">
                  <c:v>2.8155851268267327</c:v>
                </c:pt>
                <c:pt idx="298">
                  <c:v>2.81462027331321</c:v>
                </c:pt>
                <c:pt idx="299">
                  <c:v>2.8135745352422248</c:v>
                </c:pt>
                <c:pt idx="300">
                  <c:v>2.8124487300543137</c:v>
                </c:pt>
                <c:pt idx="301">
                  <c:v>2.8112436728691819</c:v>
                </c:pt>
                <c:pt idx="302">
                  <c:v>2.8099601763989028</c:v>
                </c:pt>
                <c:pt idx="303">
                  <c:v>2.8085990508644443</c:v>
                </c:pt>
                <c:pt idx="304">
                  <c:v>2.8071611039098059</c:v>
                </c:pt>
                <c:pt idx="305">
                  <c:v>2.8056471405191417</c:v>
                </c:pt>
                <c:pt idx="306">
                  <c:v>2.8040579629443698</c:v>
                </c:pt>
                <c:pt idx="307">
                  <c:v>2.8023943706206751</c:v>
                </c:pt>
                <c:pt idx="308">
                  <c:v>2.8006571600976997</c:v>
                </c:pt>
                <c:pt idx="309">
                  <c:v>2.7988471249666418</c:v>
                </c:pt>
                <c:pt idx="310">
                  <c:v>2.7969650557879504</c:v>
                </c:pt>
                <c:pt idx="311">
                  <c:v>2.7950117400260126</c:v>
                </c:pt>
                <c:pt idx="312">
                  <c:v>2.7929879619835845</c:v>
                </c:pt>
                <c:pt idx="313">
                  <c:v>2.7908945027365633</c:v>
                </c:pt>
                <c:pt idx="314">
                  <c:v>2.7887321400728524</c:v>
                </c:pt>
                <c:pt idx="315">
                  <c:v>2.7865016484351486</c:v>
                </c:pt>
                <c:pt idx="316">
                  <c:v>2.7842037988601476</c:v>
                </c:pt>
                <c:pt idx="317">
                  <c:v>2.7818393589244863</c:v>
                </c:pt>
                <c:pt idx="318">
                  <c:v>2.7794090926915374</c:v>
                </c:pt>
                <c:pt idx="319">
                  <c:v>2.7769137606576066</c:v>
                </c:pt>
                <c:pt idx="320">
                  <c:v>2.7743541197045261</c:v>
                </c:pt>
                <c:pt idx="321">
                  <c:v>2.7717309230497733</c:v>
                </c:pt>
                <c:pt idx="322">
                  <c:v>2.769044920198553</c:v>
                </c:pt>
                <c:pt idx="323">
                  <c:v>2.7662968569021018</c:v>
                </c:pt>
                <c:pt idx="324">
                  <c:v>2.7634874751132656</c:v>
                </c:pt>
                <c:pt idx="325">
                  <c:v>2.7606175129431847</c:v>
                </c:pt>
                <c:pt idx="326">
                  <c:v>2.7576877046248853</c:v>
                </c:pt>
                <c:pt idx="327">
                  <c:v>2.754698780471756</c:v>
                </c:pt>
                <c:pt idx="328">
                  <c:v>2.7516514668446348</c:v>
                </c:pt>
                <c:pt idx="329">
                  <c:v>2.7485464861112234</c:v>
                </c:pt>
                <c:pt idx="330">
                  <c:v>2.7453845566197401</c:v>
                </c:pt>
                <c:pt idx="331">
                  <c:v>2.7421663926590156</c:v>
                </c:pt>
                <c:pt idx="332">
                  <c:v>2.7388927044347895</c:v>
                </c:pt>
                <c:pt idx="333">
                  <c:v>2.7355641980350072</c:v>
                </c:pt>
                <c:pt idx="334">
                  <c:v>2.7321815754059458</c:v>
                </c:pt>
                <c:pt idx="335">
                  <c:v>2.7287455343231386</c:v>
                </c:pt>
                <c:pt idx="336">
                  <c:v>2.7252567683670748</c:v>
                </c:pt>
                <c:pt idx="337">
                  <c:v>2.7217159669000068</c:v>
                </c:pt>
                <c:pt idx="338">
                  <c:v>2.7181238150420768</c:v>
                </c:pt>
                <c:pt idx="339">
                  <c:v>2.7144809936514491</c:v>
                </c:pt>
                <c:pt idx="340">
                  <c:v>2.710788179303762</c:v>
                </c:pt>
                <c:pt idx="341">
                  <c:v>2.7070460442714932</c:v>
                </c:pt>
                <c:pt idx="342">
                  <c:v>2.7032552565098911</c:v>
                </c:pt>
                <c:pt idx="343">
                  <c:v>2.6994164796373639</c:v>
                </c:pt>
                <c:pt idx="344">
                  <c:v>2.6955303729202171</c:v>
                </c:pt>
                <c:pt idx="345">
                  <c:v>2.6915975912618251</c:v>
                </c:pt>
                <c:pt idx="346">
                  <c:v>2.6876187851852364</c:v>
                </c:pt>
                <c:pt idx="347">
                  <c:v>2.6835946008220901</c:v>
                </c:pt>
                <c:pt idx="348">
                  <c:v>2.679525679903918</c:v>
                </c:pt>
                <c:pt idx="349">
                  <c:v>2.6754126597498669</c:v>
                </c:pt>
                <c:pt idx="350">
                  <c:v>2.6712561732565518</c:v>
                </c:pt>
                <c:pt idx="351">
                  <c:v>2.6670568488940489</c:v>
                </c:pt>
                <c:pt idx="352">
                  <c:v>2.662815310694981</c:v>
                </c:pt>
                <c:pt idx="353">
                  <c:v>2.6585321782480378</c:v>
                </c:pt>
                <c:pt idx="354">
                  <c:v>2.6542080666974641</c:v>
                </c:pt>
                <c:pt idx="355">
                  <c:v>2.6498435867321462</c:v>
                </c:pt>
                <c:pt idx="356">
                  <c:v>2.6454393445870608</c:v>
                </c:pt>
                <c:pt idx="357">
                  <c:v>2.6409959420379039</c:v>
                </c:pt>
                <c:pt idx="358">
                  <c:v>2.6365139764012611</c:v>
                </c:pt>
                <c:pt idx="359">
                  <c:v>2.6319940405299178</c:v>
                </c:pt>
                <c:pt idx="360">
                  <c:v>2.6274367228176345</c:v>
                </c:pt>
                <c:pt idx="361">
                  <c:v>2.622842607195139</c:v>
                </c:pt>
                <c:pt idx="362">
                  <c:v>2.6182122731341337</c:v>
                </c:pt>
                <c:pt idx="363">
                  <c:v>2.6135462956480637</c:v>
                </c:pt>
                <c:pt idx="364">
                  <c:v>2.6088452452942477</c:v>
                </c:pt>
                <c:pt idx="365">
                  <c:v>2.6041096881792498</c:v>
                </c:pt>
                <c:pt idx="366">
                  <c:v>2.5993401859617791</c:v>
                </c:pt>
                <c:pt idx="367">
                  <c:v>2.5945372958563553</c:v>
                </c:pt>
                <c:pt idx="368">
                  <c:v>2.5897015706402158</c:v>
                </c:pt>
                <c:pt idx="369">
                  <c:v>2.5848335586593691</c:v>
                </c:pt>
                <c:pt idx="370">
                  <c:v>2.5799338038340522</c:v>
                </c:pt>
                <c:pt idx="371">
                  <c:v>2.5750028456674272</c:v>
                </c:pt>
                <c:pt idx="372">
                  <c:v>2.5700412192506974</c:v>
                </c:pt>
                <c:pt idx="373">
                  <c:v>2.5650494552756413</c:v>
                </c:pt>
                <c:pt idx="374">
                  <c:v>2.5600280800399844</c:v>
                </c:pt>
                <c:pt idx="375">
                  <c:v>2.5549776154588244</c:v>
                </c:pt>
                <c:pt idx="376">
                  <c:v>2.5498985790719644</c:v>
                </c:pt>
                <c:pt idx="377">
                  <c:v>2.5447914840596013</c:v>
                </c:pt>
                <c:pt idx="378">
                  <c:v>2.5396568392466747</c:v>
                </c:pt>
                <c:pt idx="379">
                  <c:v>2.5344951491213692</c:v>
                </c:pt>
                <c:pt idx="380">
                  <c:v>2.5293069138391218</c:v>
                </c:pt>
                <c:pt idx="381">
                  <c:v>2.524092629243512</c:v>
                </c:pt>
                <c:pt idx="382">
                  <c:v>2.5188527868726567</c:v>
                </c:pt>
                <c:pt idx="383">
                  <c:v>2.5135878739743873</c:v>
                </c:pt>
                <c:pt idx="384">
                  <c:v>2.5082983735217681</c:v>
                </c:pt>
                <c:pt idx="385">
                  <c:v>2.5029847642244363</c:v>
                </c:pt>
                <c:pt idx="386">
                  <c:v>2.4976475205457405</c:v>
                </c:pt>
                <c:pt idx="387">
                  <c:v>2.4922871127142514</c:v>
                </c:pt>
                <c:pt idx="388">
                  <c:v>2.4869040067425203</c:v>
                </c:pt>
                <c:pt idx="389">
                  <c:v>2.4814986644399539</c:v>
                </c:pt>
                <c:pt idx="390">
                  <c:v>2.4760715434315728</c:v>
                </c:pt>
                <c:pt idx="391">
                  <c:v>2.4706230971700336</c:v>
                </c:pt>
                <c:pt idx="392">
                  <c:v>2.4651537749568604</c:v>
                </c:pt>
                <c:pt idx="393">
                  <c:v>2.459664021955831</c:v>
                </c:pt>
                <c:pt idx="394">
                  <c:v>2.4541542792116502</c:v>
                </c:pt>
                <c:pt idx="395">
                  <c:v>2.4486249836692195</c:v>
                </c:pt>
                <c:pt idx="396">
                  <c:v>2.4430765681867683</c:v>
                </c:pt>
                <c:pt idx="397">
                  <c:v>2.4375094615575108</c:v>
                </c:pt>
                <c:pt idx="398">
                  <c:v>2.4319240885285751</c:v>
                </c:pt>
                <c:pt idx="399">
                  <c:v>2.4263208698147309</c:v>
                </c:pt>
                <c:pt idx="400">
                  <c:v>2.4207002221249923</c:v>
                </c:pt>
                <c:pt idx="401">
                  <c:v>2.4150625581725933</c:v>
                </c:pt>
                <c:pt idx="402">
                  <c:v>2.4094082867021882</c:v>
                </c:pt>
                <c:pt idx="403">
                  <c:v>2.4037378125029818</c:v>
                </c:pt>
                <c:pt idx="404">
                  <c:v>2.3980515364347355</c:v>
                </c:pt>
                <c:pt idx="405">
                  <c:v>2.3923498554405569</c:v>
                </c:pt>
                <c:pt idx="406">
                  <c:v>2.3866331625732471</c:v>
                </c:pt>
                <c:pt idx="407">
                  <c:v>2.3809018470117564</c:v>
                </c:pt>
                <c:pt idx="408">
                  <c:v>2.3751562940838653</c:v>
                </c:pt>
                <c:pt idx="409">
                  <c:v>2.3693968852834928</c:v>
                </c:pt>
                <c:pt idx="410">
                  <c:v>2.3636239982957647</c:v>
                </c:pt>
                <c:pt idx="411">
                  <c:v>2.3578380070156015</c:v>
                </c:pt>
                <c:pt idx="412">
                  <c:v>2.3520392815668174</c:v>
                </c:pt>
                <c:pt idx="413">
                  <c:v>2.3462281883282969</c:v>
                </c:pt>
                <c:pt idx="414">
                  <c:v>2.3404050899498543</c:v>
                </c:pt>
                <c:pt idx="415">
                  <c:v>2.3345703453785802</c:v>
                </c:pt>
                <c:pt idx="416">
                  <c:v>2.3287243098763213</c:v>
                </c:pt>
                <c:pt idx="417">
                  <c:v>2.3228673350432985</c:v>
                </c:pt>
                <c:pt idx="418">
                  <c:v>2.3169997688399349</c:v>
                </c:pt>
                <c:pt idx="419">
                  <c:v>2.3111219556089395</c:v>
                </c:pt>
                <c:pt idx="420">
                  <c:v>2.3052342360955151</c:v>
                </c:pt>
                <c:pt idx="421">
                  <c:v>2.2993369474713177</c:v>
                </c:pt>
                <c:pt idx="422">
                  <c:v>2.2934304233565399</c:v>
                </c:pt>
                <c:pt idx="423">
                  <c:v>2.2875149938395225</c:v>
                </c:pt>
                <c:pt idx="424">
                  <c:v>2.2815909855024188</c:v>
                </c:pt>
                <c:pt idx="425">
                  <c:v>2.2756587214419142</c:v>
                </c:pt>
                <c:pt idx="426">
                  <c:v>2.2697185212907129</c:v>
                </c:pt>
                <c:pt idx="427">
                  <c:v>2.2637707012426063</c:v>
                </c:pt>
                <c:pt idx="428">
                  <c:v>2.2578155740710599</c:v>
                </c:pt>
                <c:pt idx="429">
                  <c:v>2.2518534491561581</c:v>
                </c:pt>
                <c:pt idx="430">
                  <c:v>2.2458846325026798</c:v>
                </c:pt>
                <c:pt idx="431">
                  <c:v>2.2399094267678947</c:v>
                </c:pt>
                <c:pt idx="432">
                  <c:v>2.233928131278617</c:v>
                </c:pt>
                <c:pt idx="433">
                  <c:v>2.2279410420562726</c:v>
                </c:pt>
                <c:pt idx="434">
                  <c:v>2.2219484518433319</c:v>
                </c:pt>
                <c:pt idx="435">
                  <c:v>2.2159506501179749</c:v>
                </c:pt>
                <c:pt idx="436">
                  <c:v>2.2099479231235932</c:v>
                </c:pt>
                <c:pt idx="437">
                  <c:v>2.2039405538894243</c:v>
                </c:pt>
                <c:pt idx="438">
                  <c:v>2.1979288222505033</c:v>
                </c:pt>
                <c:pt idx="439">
                  <c:v>2.1919130048754596</c:v>
                </c:pt>
                <c:pt idx="440">
                  <c:v>2.1858933752842518</c:v>
                </c:pt>
                <c:pt idx="441">
                  <c:v>2.1798702038754527</c:v>
                </c:pt>
                <c:pt idx="442">
                  <c:v>2.1738437579433025</c:v>
                </c:pt>
                <c:pt idx="443">
                  <c:v>2.1678143017072102</c:v>
                </c:pt>
                <c:pt idx="444">
                  <c:v>2.1617820963265899</c:v>
                </c:pt>
                <c:pt idx="445">
                  <c:v>2.1557473999310446</c:v>
                </c:pt>
                <c:pt idx="446">
                  <c:v>2.1497104676382719</c:v>
                </c:pt>
                <c:pt idx="447">
                  <c:v>2.1436715515767446</c:v>
                </c:pt>
                <c:pt idx="448">
                  <c:v>2.137630900910267</c:v>
                </c:pt>
                <c:pt idx="449">
                  <c:v>2.1315887618599731</c:v>
                </c:pt>
                <c:pt idx="450">
                  <c:v>2.1255453777249613</c:v>
                </c:pt>
                <c:pt idx="451">
                  <c:v>2.1195009889053154</c:v>
                </c:pt>
                <c:pt idx="452">
                  <c:v>2.1134558329276842</c:v>
                </c:pt>
                <c:pt idx="453">
                  <c:v>2.1074101444628468</c:v>
                </c:pt>
                <c:pt idx="454">
                  <c:v>2.1013641553489038</c:v>
                </c:pt>
                <c:pt idx="455">
                  <c:v>2.0953180946187331</c:v>
                </c:pt>
                <c:pt idx="456">
                  <c:v>2.0892721885131209</c:v>
                </c:pt>
                <c:pt idx="457">
                  <c:v>2.0832266605112864</c:v>
                </c:pt>
                <c:pt idx="458">
                  <c:v>2.077181731347423</c:v>
                </c:pt>
                <c:pt idx="459">
                  <c:v>2.0711376190342321</c:v>
                </c:pt>
                <c:pt idx="460">
                  <c:v>2.0650945388871378</c:v>
                </c:pt>
                <c:pt idx="461">
                  <c:v>2.0590527035421928</c:v>
                </c:pt>
                <c:pt idx="462">
                  <c:v>2.0530123229794413</c:v>
                </c:pt>
                <c:pt idx="463">
                  <c:v>2.0469736045474747</c:v>
                </c:pt>
                <c:pt idx="464">
                  <c:v>2.0409367529787801</c:v>
                </c:pt>
                <c:pt idx="465">
                  <c:v>2.0349019704177067</c:v>
                </c:pt>
                <c:pt idx="466">
                  <c:v>2.0288694564373486</c:v>
                </c:pt>
                <c:pt idx="467">
                  <c:v>2.0228394080639305</c:v>
                </c:pt>
                <c:pt idx="468">
                  <c:v>2.0168120197965891</c:v>
                </c:pt>
                <c:pt idx="469">
                  <c:v>2.0107874836274959</c:v>
                </c:pt>
                <c:pt idx="470">
                  <c:v>2.0047659890665841</c:v>
                </c:pt>
                <c:pt idx="471">
                  <c:v>1.9987477231584307</c:v>
                </c:pt>
                <c:pt idx="472">
                  <c:v>1.9927328705056198</c:v>
                </c:pt>
                <c:pt idx="473">
                  <c:v>1.9867216132902286</c:v>
                </c:pt>
                <c:pt idx="474">
                  <c:v>1.9807141312920749</c:v>
                </c:pt>
                <c:pt idx="475">
                  <c:v>1.9747106019113971</c:v>
                </c:pt>
                <c:pt idx="476">
                  <c:v>1.9687112001894889</c:v>
                </c:pt>
                <c:pt idx="477">
                  <c:v>1.962716098825922</c:v>
                </c:pt>
                <c:pt idx="478">
                  <c:v>1.9567254682063435</c:v>
                </c:pt>
                <c:pt idx="479">
                  <c:v>1.9507394764144124</c:v>
                </c:pt>
              </c:numCache>
            </c:numRef>
          </c:yVal>
          <c:smooth val="0"/>
          <c:extLst>
            <c:ext xmlns:c16="http://schemas.microsoft.com/office/drawing/2014/chart" uri="{C3380CC4-5D6E-409C-BE32-E72D297353CC}">
              <c16:uniqueId val="{00000001-BEEC-4F67-AE2A-6D397FC70544}"/>
            </c:ext>
          </c:extLst>
        </c:ser>
        <c:dLbls>
          <c:showLegendKey val="0"/>
          <c:showVal val="0"/>
          <c:showCatName val="0"/>
          <c:showSerName val="0"/>
          <c:showPercent val="0"/>
          <c:showBubbleSize val="0"/>
        </c:dLbls>
        <c:axId val="571412608"/>
        <c:axId val="917020512"/>
      </c:scatterChart>
      <c:scatterChart>
        <c:scatterStyle val="lineMarker"/>
        <c:varyColors val="0"/>
        <c:ser>
          <c:idx val="1"/>
          <c:order val="2"/>
          <c:tx>
            <c:strRef>
              <c:f>'Figures B1-B3'!$B$10</c:f>
              <c:strCache>
                <c:ptCount val="1"/>
                <c:pt idx="0">
                  <c:v>index of suppression</c:v>
                </c:pt>
              </c:strCache>
            </c:strRef>
          </c:tx>
          <c:spPr>
            <a:ln w="15875" cap="rnd">
              <a:solidFill>
                <a:srgbClr val="FD8D3C"/>
              </a:solidFill>
              <a:prstDash val="sysDash"/>
              <a:round/>
            </a:ln>
            <a:effectLst/>
          </c:spPr>
          <c:marker>
            <c:symbol val="none"/>
          </c:marker>
          <c:xVal>
            <c:numRef>
              <c:f>'Figures B1-B3'!$GC$7:$RP$7</c:f>
              <c:numCache>
                <c:formatCode>#,##0.00</c:formatCode>
                <c:ptCount val="300"/>
                <c:pt idx="0">
                  <c:v>15.083333333333334</c:v>
                </c:pt>
                <c:pt idx="1">
                  <c:v>15.166666666666666</c:v>
                </c:pt>
                <c:pt idx="2">
                  <c:v>15.25</c:v>
                </c:pt>
                <c:pt idx="3">
                  <c:v>15.333333333333334</c:v>
                </c:pt>
                <c:pt idx="4">
                  <c:v>15.416666666666666</c:v>
                </c:pt>
                <c:pt idx="5">
                  <c:v>15.5</c:v>
                </c:pt>
                <c:pt idx="6">
                  <c:v>15.583333333333334</c:v>
                </c:pt>
                <c:pt idx="7">
                  <c:v>15.666666666666666</c:v>
                </c:pt>
                <c:pt idx="8">
                  <c:v>15.75</c:v>
                </c:pt>
                <c:pt idx="9">
                  <c:v>15.833333333333334</c:v>
                </c:pt>
                <c:pt idx="10">
                  <c:v>15.916666666666666</c:v>
                </c:pt>
                <c:pt idx="11">
                  <c:v>16</c:v>
                </c:pt>
                <c:pt idx="12">
                  <c:v>16.083333333333332</c:v>
                </c:pt>
                <c:pt idx="13">
                  <c:v>16.166666666666668</c:v>
                </c:pt>
                <c:pt idx="14">
                  <c:v>16.25</c:v>
                </c:pt>
                <c:pt idx="15">
                  <c:v>16.333333333333332</c:v>
                </c:pt>
                <c:pt idx="16">
                  <c:v>16.416666666666668</c:v>
                </c:pt>
                <c:pt idx="17">
                  <c:v>16.5</c:v>
                </c:pt>
                <c:pt idx="18">
                  <c:v>16.583333333333332</c:v>
                </c:pt>
                <c:pt idx="19">
                  <c:v>16.666666666666668</c:v>
                </c:pt>
                <c:pt idx="20">
                  <c:v>16.75</c:v>
                </c:pt>
                <c:pt idx="21">
                  <c:v>16.833333333333332</c:v>
                </c:pt>
                <c:pt idx="22">
                  <c:v>16.916666666666668</c:v>
                </c:pt>
                <c:pt idx="23">
                  <c:v>17</c:v>
                </c:pt>
                <c:pt idx="24">
                  <c:v>17.083333333333332</c:v>
                </c:pt>
                <c:pt idx="25">
                  <c:v>17.166666666666668</c:v>
                </c:pt>
                <c:pt idx="26">
                  <c:v>17.25</c:v>
                </c:pt>
                <c:pt idx="27">
                  <c:v>17.333333333333332</c:v>
                </c:pt>
                <c:pt idx="28">
                  <c:v>17.416666666666668</c:v>
                </c:pt>
                <c:pt idx="29">
                  <c:v>17.5</c:v>
                </c:pt>
                <c:pt idx="30">
                  <c:v>17.583333333333332</c:v>
                </c:pt>
                <c:pt idx="31">
                  <c:v>17.666666666666668</c:v>
                </c:pt>
                <c:pt idx="32">
                  <c:v>17.75</c:v>
                </c:pt>
                <c:pt idx="33">
                  <c:v>17.833333333333332</c:v>
                </c:pt>
                <c:pt idx="34">
                  <c:v>17.916666666666668</c:v>
                </c:pt>
                <c:pt idx="35">
                  <c:v>18</c:v>
                </c:pt>
                <c:pt idx="36">
                  <c:v>18.083333333333332</c:v>
                </c:pt>
                <c:pt idx="37">
                  <c:v>18.166666666666668</c:v>
                </c:pt>
                <c:pt idx="38">
                  <c:v>18.25</c:v>
                </c:pt>
                <c:pt idx="39">
                  <c:v>18.333333333333332</c:v>
                </c:pt>
                <c:pt idx="40">
                  <c:v>18.416666666666668</c:v>
                </c:pt>
                <c:pt idx="41">
                  <c:v>18.5</c:v>
                </c:pt>
                <c:pt idx="42">
                  <c:v>18.583333333333332</c:v>
                </c:pt>
                <c:pt idx="43">
                  <c:v>18.666666666666668</c:v>
                </c:pt>
                <c:pt idx="44">
                  <c:v>18.75</c:v>
                </c:pt>
                <c:pt idx="45">
                  <c:v>18.833333333333332</c:v>
                </c:pt>
                <c:pt idx="46">
                  <c:v>18.916666666666668</c:v>
                </c:pt>
                <c:pt idx="47">
                  <c:v>19</c:v>
                </c:pt>
                <c:pt idx="48">
                  <c:v>19.083333333333332</c:v>
                </c:pt>
                <c:pt idx="49">
                  <c:v>19.166666666666668</c:v>
                </c:pt>
                <c:pt idx="50">
                  <c:v>19.25</c:v>
                </c:pt>
                <c:pt idx="51">
                  <c:v>19.333333333333332</c:v>
                </c:pt>
                <c:pt idx="52">
                  <c:v>19.416666666666668</c:v>
                </c:pt>
                <c:pt idx="53">
                  <c:v>19.5</c:v>
                </c:pt>
                <c:pt idx="54">
                  <c:v>19.583333333333332</c:v>
                </c:pt>
                <c:pt idx="55">
                  <c:v>19.666666666666668</c:v>
                </c:pt>
                <c:pt idx="56">
                  <c:v>19.75</c:v>
                </c:pt>
                <c:pt idx="57">
                  <c:v>19.833333333333332</c:v>
                </c:pt>
                <c:pt idx="58">
                  <c:v>19.916666666666668</c:v>
                </c:pt>
                <c:pt idx="59">
                  <c:v>20</c:v>
                </c:pt>
                <c:pt idx="60">
                  <c:v>20.083333333333332</c:v>
                </c:pt>
                <c:pt idx="61">
                  <c:v>20.166666666666668</c:v>
                </c:pt>
                <c:pt idx="62">
                  <c:v>20.25</c:v>
                </c:pt>
                <c:pt idx="63">
                  <c:v>20.333333333333332</c:v>
                </c:pt>
                <c:pt idx="64">
                  <c:v>20.416666666666668</c:v>
                </c:pt>
                <c:pt idx="65">
                  <c:v>20.5</c:v>
                </c:pt>
                <c:pt idx="66">
                  <c:v>20.583333333333332</c:v>
                </c:pt>
                <c:pt idx="67">
                  <c:v>20.666666666666668</c:v>
                </c:pt>
                <c:pt idx="68">
                  <c:v>20.75</c:v>
                </c:pt>
                <c:pt idx="69">
                  <c:v>20.833333333333332</c:v>
                </c:pt>
                <c:pt idx="70">
                  <c:v>20.916666666666668</c:v>
                </c:pt>
                <c:pt idx="71">
                  <c:v>21</c:v>
                </c:pt>
                <c:pt idx="72">
                  <c:v>21.083333333333332</c:v>
                </c:pt>
                <c:pt idx="73">
                  <c:v>21.166666666666668</c:v>
                </c:pt>
                <c:pt idx="74">
                  <c:v>21.25</c:v>
                </c:pt>
                <c:pt idx="75">
                  <c:v>21.333333333333332</c:v>
                </c:pt>
                <c:pt idx="76">
                  <c:v>21.416666666666668</c:v>
                </c:pt>
                <c:pt idx="77">
                  <c:v>21.5</c:v>
                </c:pt>
                <c:pt idx="78">
                  <c:v>21.583333333333332</c:v>
                </c:pt>
                <c:pt idx="79">
                  <c:v>21.666666666666668</c:v>
                </c:pt>
                <c:pt idx="80">
                  <c:v>21.75</c:v>
                </c:pt>
                <c:pt idx="81">
                  <c:v>21.833333333333332</c:v>
                </c:pt>
                <c:pt idx="82">
                  <c:v>21.916666666666668</c:v>
                </c:pt>
                <c:pt idx="83">
                  <c:v>22</c:v>
                </c:pt>
                <c:pt idx="84">
                  <c:v>22.083333333333332</c:v>
                </c:pt>
                <c:pt idx="85">
                  <c:v>22.166666666666668</c:v>
                </c:pt>
                <c:pt idx="86">
                  <c:v>22.25</c:v>
                </c:pt>
                <c:pt idx="87">
                  <c:v>22.333333333333332</c:v>
                </c:pt>
                <c:pt idx="88">
                  <c:v>22.416666666666668</c:v>
                </c:pt>
                <c:pt idx="89">
                  <c:v>22.5</c:v>
                </c:pt>
                <c:pt idx="90">
                  <c:v>22.583333333333332</c:v>
                </c:pt>
                <c:pt idx="91">
                  <c:v>22.666666666666668</c:v>
                </c:pt>
                <c:pt idx="92">
                  <c:v>22.75</c:v>
                </c:pt>
                <c:pt idx="93">
                  <c:v>22.833333333333332</c:v>
                </c:pt>
                <c:pt idx="94">
                  <c:v>22.916666666666668</c:v>
                </c:pt>
                <c:pt idx="95">
                  <c:v>23</c:v>
                </c:pt>
                <c:pt idx="96">
                  <c:v>23.083333333333332</c:v>
                </c:pt>
                <c:pt idx="97">
                  <c:v>23.166666666666668</c:v>
                </c:pt>
                <c:pt idx="98">
                  <c:v>23.25</c:v>
                </c:pt>
                <c:pt idx="99">
                  <c:v>23.333333333333332</c:v>
                </c:pt>
                <c:pt idx="100">
                  <c:v>23.416666666666668</c:v>
                </c:pt>
                <c:pt idx="101">
                  <c:v>23.5</c:v>
                </c:pt>
                <c:pt idx="102">
                  <c:v>23.583333333333332</c:v>
                </c:pt>
                <c:pt idx="103">
                  <c:v>23.666666666666668</c:v>
                </c:pt>
                <c:pt idx="104">
                  <c:v>23.75</c:v>
                </c:pt>
                <c:pt idx="105">
                  <c:v>23.833333333333332</c:v>
                </c:pt>
                <c:pt idx="106">
                  <c:v>23.916666666666668</c:v>
                </c:pt>
                <c:pt idx="107">
                  <c:v>24</c:v>
                </c:pt>
                <c:pt idx="108">
                  <c:v>24.083333333333332</c:v>
                </c:pt>
                <c:pt idx="109">
                  <c:v>24.166666666666668</c:v>
                </c:pt>
                <c:pt idx="110">
                  <c:v>24.25</c:v>
                </c:pt>
                <c:pt idx="111">
                  <c:v>24.333333333333332</c:v>
                </c:pt>
                <c:pt idx="112">
                  <c:v>24.416666666666668</c:v>
                </c:pt>
                <c:pt idx="113">
                  <c:v>24.5</c:v>
                </c:pt>
                <c:pt idx="114">
                  <c:v>24.583333333333332</c:v>
                </c:pt>
                <c:pt idx="115">
                  <c:v>24.666666666666668</c:v>
                </c:pt>
                <c:pt idx="116">
                  <c:v>24.75</c:v>
                </c:pt>
                <c:pt idx="117">
                  <c:v>24.833333333333332</c:v>
                </c:pt>
                <c:pt idx="118">
                  <c:v>24.916666666666668</c:v>
                </c:pt>
                <c:pt idx="119">
                  <c:v>25</c:v>
                </c:pt>
                <c:pt idx="120">
                  <c:v>25.083333333333332</c:v>
                </c:pt>
                <c:pt idx="121">
                  <c:v>25.166666666666668</c:v>
                </c:pt>
                <c:pt idx="122">
                  <c:v>25.25</c:v>
                </c:pt>
                <c:pt idx="123">
                  <c:v>25.333333333333332</c:v>
                </c:pt>
                <c:pt idx="124">
                  <c:v>25.416666666666668</c:v>
                </c:pt>
                <c:pt idx="125">
                  <c:v>25.5</c:v>
                </c:pt>
                <c:pt idx="126">
                  <c:v>25.583333333333332</c:v>
                </c:pt>
                <c:pt idx="127">
                  <c:v>25.666666666666668</c:v>
                </c:pt>
                <c:pt idx="128">
                  <c:v>25.75</c:v>
                </c:pt>
                <c:pt idx="129">
                  <c:v>25.833333333333332</c:v>
                </c:pt>
                <c:pt idx="130">
                  <c:v>25.916666666666668</c:v>
                </c:pt>
                <c:pt idx="131">
                  <c:v>26</c:v>
                </c:pt>
                <c:pt idx="132">
                  <c:v>26.083333333333332</c:v>
                </c:pt>
                <c:pt idx="133">
                  <c:v>26.166666666666668</c:v>
                </c:pt>
                <c:pt idx="134">
                  <c:v>26.25</c:v>
                </c:pt>
                <c:pt idx="135">
                  <c:v>26.333333333333332</c:v>
                </c:pt>
                <c:pt idx="136">
                  <c:v>26.416666666666668</c:v>
                </c:pt>
                <c:pt idx="137">
                  <c:v>26.5</c:v>
                </c:pt>
                <c:pt idx="138">
                  <c:v>26.583333333333332</c:v>
                </c:pt>
                <c:pt idx="139">
                  <c:v>26.666666666666668</c:v>
                </c:pt>
                <c:pt idx="140">
                  <c:v>26.75</c:v>
                </c:pt>
                <c:pt idx="141">
                  <c:v>26.833333333333332</c:v>
                </c:pt>
                <c:pt idx="142">
                  <c:v>26.916666666666668</c:v>
                </c:pt>
                <c:pt idx="143">
                  <c:v>27</c:v>
                </c:pt>
                <c:pt idx="144">
                  <c:v>27.083333333333332</c:v>
                </c:pt>
                <c:pt idx="145">
                  <c:v>27.166666666666668</c:v>
                </c:pt>
                <c:pt idx="146">
                  <c:v>27.25</c:v>
                </c:pt>
                <c:pt idx="147">
                  <c:v>27.333333333333332</c:v>
                </c:pt>
                <c:pt idx="148">
                  <c:v>27.416666666666668</c:v>
                </c:pt>
                <c:pt idx="149">
                  <c:v>27.5</c:v>
                </c:pt>
                <c:pt idx="150">
                  <c:v>27.583333333333332</c:v>
                </c:pt>
                <c:pt idx="151">
                  <c:v>27.666666666666668</c:v>
                </c:pt>
                <c:pt idx="152">
                  <c:v>27.75</c:v>
                </c:pt>
                <c:pt idx="153">
                  <c:v>27.833333333333332</c:v>
                </c:pt>
                <c:pt idx="154">
                  <c:v>27.916666666666668</c:v>
                </c:pt>
                <c:pt idx="155">
                  <c:v>28</c:v>
                </c:pt>
                <c:pt idx="156">
                  <c:v>28.083333333333332</c:v>
                </c:pt>
                <c:pt idx="157">
                  <c:v>28.166666666666668</c:v>
                </c:pt>
                <c:pt idx="158">
                  <c:v>28.25</c:v>
                </c:pt>
                <c:pt idx="159">
                  <c:v>28.333333333333332</c:v>
                </c:pt>
                <c:pt idx="160">
                  <c:v>28.416666666666668</c:v>
                </c:pt>
                <c:pt idx="161">
                  <c:v>28.5</c:v>
                </c:pt>
                <c:pt idx="162">
                  <c:v>28.583333333333332</c:v>
                </c:pt>
                <c:pt idx="163">
                  <c:v>28.666666666666668</c:v>
                </c:pt>
                <c:pt idx="164">
                  <c:v>28.75</c:v>
                </c:pt>
                <c:pt idx="165">
                  <c:v>28.833333333333332</c:v>
                </c:pt>
                <c:pt idx="166">
                  <c:v>28.916666666666668</c:v>
                </c:pt>
                <c:pt idx="167">
                  <c:v>29</c:v>
                </c:pt>
                <c:pt idx="168">
                  <c:v>29.083333333333332</c:v>
                </c:pt>
                <c:pt idx="169">
                  <c:v>29.166666666666668</c:v>
                </c:pt>
                <c:pt idx="170">
                  <c:v>29.25</c:v>
                </c:pt>
                <c:pt idx="171">
                  <c:v>29.333333333333332</c:v>
                </c:pt>
                <c:pt idx="172">
                  <c:v>29.416666666666668</c:v>
                </c:pt>
                <c:pt idx="173">
                  <c:v>29.5</c:v>
                </c:pt>
                <c:pt idx="174">
                  <c:v>29.583333333333332</c:v>
                </c:pt>
                <c:pt idx="175">
                  <c:v>29.666666666666668</c:v>
                </c:pt>
                <c:pt idx="176">
                  <c:v>29.75</c:v>
                </c:pt>
                <c:pt idx="177">
                  <c:v>29.833333333333332</c:v>
                </c:pt>
                <c:pt idx="178">
                  <c:v>29.916666666666668</c:v>
                </c:pt>
                <c:pt idx="179">
                  <c:v>30</c:v>
                </c:pt>
                <c:pt idx="180">
                  <c:v>30.083333333333332</c:v>
                </c:pt>
                <c:pt idx="181">
                  <c:v>30.166666666666668</c:v>
                </c:pt>
                <c:pt idx="182">
                  <c:v>30.25</c:v>
                </c:pt>
                <c:pt idx="183">
                  <c:v>30.333333333333332</c:v>
                </c:pt>
                <c:pt idx="184">
                  <c:v>30.416666666666668</c:v>
                </c:pt>
                <c:pt idx="185">
                  <c:v>30.5</c:v>
                </c:pt>
                <c:pt idx="186">
                  <c:v>30.583333333333332</c:v>
                </c:pt>
                <c:pt idx="187">
                  <c:v>30.666666666666668</c:v>
                </c:pt>
                <c:pt idx="188">
                  <c:v>30.75</c:v>
                </c:pt>
                <c:pt idx="189">
                  <c:v>30.833333333333332</c:v>
                </c:pt>
                <c:pt idx="190">
                  <c:v>30.916666666666668</c:v>
                </c:pt>
                <c:pt idx="191">
                  <c:v>31</c:v>
                </c:pt>
                <c:pt idx="192">
                  <c:v>31.083333333333332</c:v>
                </c:pt>
                <c:pt idx="193">
                  <c:v>31.166666666666668</c:v>
                </c:pt>
                <c:pt idx="194">
                  <c:v>31.25</c:v>
                </c:pt>
                <c:pt idx="195">
                  <c:v>31.333333333333332</c:v>
                </c:pt>
                <c:pt idx="196">
                  <c:v>31.416666666666668</c:v>
                </c:pt>
                <c:pt idx="197">
                  <c:v>31.5</c:v>
                </c:pt>
                <c:pt idx="198">
                  <c:v>31.583333333333332</c:v>
                </c:pt>
                <c:pt idx="199">
                  <c:v>31.666666666666668</c:v>
                </c:pt>
                <c:pt idx="200">
                  <c:v>31.75</c:v>
                </c:pt>
                <c:pt idx="201">
                  <c:v>31.833333333333332</c:v>
                </c:pt>
                <c:pt idx="202">
                  <c:v>31.916666666666668</c:v>
                </c:pt>
                <c:pt idx="203">
                  <c:v>32</c:v>
                </c:pt>
                <c:pt idx="204">
                  <c:v>32.083333333333336</c:v>
                </c:pt>
                <c:pt idx="205">
                  <c:v>32.166666666666664</c:v>
                </c:pt>
                <c:pt idx="206">
                  <c:v>32.25</c:v>
                </c:pt>
                <c:pt idx="207">
                  <c:v>32.333333333333336</c:v>
                </c:pt>
                <c:pt idx="208">
                  <c:v>32.416666666666664</c:v>
                </c:pt>
                <c:pt idx="209">
                  <c:v>32.5</c:v>
                </c:pt>
                <c:pt idx="210">
                  <c:v>32.583333333333336</c:v>
                </c:pt>
                <c:pt idx="211">
                  <c:v>32.666666666666664</c:v>
                </c:pt>
                <c:pt idx="212">
                  <c:v>32.75</c:v>
                </c:pt>
                <c:pt idx="213">
                  <c:v>32.833333333333336</c:v>
                </c:pt>
                <c:pt idx="214">
                  <c:v>32.916666666666664</c:v>
                </c:pt>
                <c:pt idx="215">
                  <c:v>33</c:v>
                </c:pt>
                <c:pt idx="216">
                  <c:v>33.083333333333336</c:v>
                </c:pt>
                <c:pt idx="217">
                  <c:v>33.166666666666664</c:v>
                </c:pt>
                <c:pt idx="218">
                  <c:v>33.25</c:v>
                </c:pt>
                <c:pt idx="219">
                  <c:v>33.333333333333336</c:v>
                </c:pt>
                <c:pt idx="220">
                  <c:v>33.416666666666664</c:v>
                </c:pt>
                <c:pt idx="221">
                  <c:v>33.5</c:v>
                </c:pt>
                <c:pt idx="222">
                  <c:v>33.583333333333336</c:v>
                </c:pt>
                <c:pt idx="223">
                  <c:v>33.666666666666664</c:v>
                </c:pt>
                <c:pt idx="224">
                  <c:v>33.75</c:v>
                </c:pt>
                <c:pt idx="225">
                  <c:v>33.833333333333336</c:v>
                </c:pt>
                <c:pt idx="226">
                  <c:v>33.916666666666664</c:v>
                </c:pt>
                <c:pt idx="227">
                  <c:v>34</c:v>
                </c:pt>
                <c:pt idx="228">
                  <c:v>34.083333333333336</c:v>
                </c:pt>
                <c:pt idx="229">
                  <c:v>34.166666666666664</c:v>
                </c:pt>
                <c:pt idx="230">
                  <c:v>34.25</c:v>
                </c:pt>
                <c:pt idx="231">
                  <c:v>34.333333333333336</c:v>
                </c:pt>
                <c:pt idx="232">
                  <c:v>34.416666666666664</c:v>
                </c:pt>
                <c:pt idx="233">
                  <c:v>34.5</c:v>
                </c:pt>
                <c:pt idx="234">
                  <c:v>34.583333333333336</c:v>
                </c:pt>
                <c:pt idx="235">
                  <c:v>34.666666666666664</c:v>
                </c:pt>
                <c:pt idx="236">
                  <c:v>34.75</c:v>
                </c:pt>
                <c:pt idx="237">
                  <c:v>34.833333333333336</c:v>
                </c:pt>
                <c:pt idx="238">
                  <c:v>34.916666666666664</c:v>
                </c:pt>
                <c:pt idx="239">
                  <c:v>35</c:v>
                </c:pt>
                <c:pt idx="240">
                  <c:v>35.083333333333336</c:v>
                </c:pt>
                <c:pt idx="241">
                  <c:v>35.166666666666664</c:v>
                </c:pt>
                <c:pt idx="242">
                  <c:v>35.25</c:v>
                </c:pt>
                <c:pt idx="243">
                  <c:v>35.333333333333336</c:v>
                </c:pt>
                <c:pt idx="244">
                  <c:v>35.416666666666664</c:v>
                </c:pt>
                <c:pt idx="245">
                  <c:v>35.5</c:v>
                </c:pt>
                <c:pt idx="246">
                  <c:v>35.583333333333336</c:v>
                </c:pt>
                <c:pt idx="247">
                  <c:v>35.666666666666664</c:v>
                </c:pt>
                <c:pt idx="248">
                  <c:v>35.75</c:v>
                </c:pt>
                <c:pt idx="249">
                  <c:v>35.833333333333336</c:v>
                </c:pt>
                <c:pt idx="250">
                  <c:v>35.916666666666664</c:v>
                </c:pt>
                <c:pt idx="251">
                  <c:v>36</c:v>
                </c:pt>
                <c:pt idx="252">
                  <c:v>36.083333333333336</c:v>
                </c:pt>
                <c:pt idx="253">
                  <c:v>36.166666666666664</c:v>
                </c:pt>
                <c:pt idx="254">
                  <c:v>36.25</c:v>
                </c:pt>
                <c:pt idx="255">
                  <c:v>36.333333333333336</c:v>
                </c:pt>
                <c:pt idx="256">
                  <c:v>36.416666666666664</c:v>
                </c:pt>
                <c:pt idx="257">
                  <c:v>36.5</c:v>
                </c:pt>
                <c:pt idx="258">
                  <c:v>36.583333333333336</c:v>
                </c:pt>
                <c:pt idx="259">
                  <c:v>36.666666666666664</c:v>
                </c:pt>
                <c:pt idx="260">
                  <c:v>36.75</c:v>
                </c:pt>
                <c:pt idx="261">
                  <c:v>36.833333333333336</c:v>
                </c:pt>
                <c:pt idx="262">
                  <c:v>36.916666666666664</c:v>
                </c:pt>
                <c:pt idx="263">
                  <c:v>37</c:v>
                </c:pt>
                <c:pt idx="264">
                  <c:v>37.083333333333336</c:v>
                </c:pt>
                <c:pt idx="265">
                  <c:v>37.166666666666664</c:v>
                </c:pt>
                <c:pt idx="266">
                  <c:v>37.25</c:v>
                </c:pt>
                <c:pt idx="267">
                  <c:v>37.333333333333336</c:v>
                </c:pt>
                <c:pt idx="268">
                  <c:v>37.416666666666664</c:v>
                </c:pt>
                <c:pt idx="269">
                  <c:v>37.5</c:v>
                </c:pt>
                <c:pt idx="270">
                  <c:v>37.583333333333336</c:v>
                </c:pt>
                <c:pt idx="271">
                  <c:v>37.666666666666664</c:v>
                </c:pt>
                <c:pt idx="272">
                  <c:v>37.75</c:v>
                </c:pt>
                <c:pt idx="273">
                  <c:v>37.833333333333336</c:v>
                </c:pt>
                <c:pt idx="274">
                  <c:v>37.916666666666664</c:v>
                </c:pt>
                <c:pt idx="275">
                  <c:v>38</c:v>
                </c:pt>
                <c:pt idx="276">
                  <c:v>38.083333333333336</c:v>
                </c:pt>
                <c:pt idx="277">
                  <c:v>38.166666666666664</c:v>
                </c:pt>
                <c:pt idx="278">
                  <c:v>38.25</c:v>
                </c:pt>
                <c:pt idx="279">
                  <c:v>38.333333333333336</c:v>
                </c:pt>
                <c:pt idx="280">
                  <c:v>38.416666666666664</c:v>
                </c:pt>
                <c:pt idx="281">
                  <c:v>38.5</c:v>
                </c:pt>
                <c:pt idx="282">
                  <c:v>38.583333333333336</c:v>
                </c:pt>
                <c:pt idx="283">
                  <c:v>38.666666666666664</c:v>
                </c:pt>
                <c:pt idx="284">
                  <c:v>38.75</c:v>
                </c:pt>
                <c:pt idx="285">
                  <c:v>38.833333333333336</c:v>
                </c:pt>
                <c:pt idx="286">
                  <c:v>38.916666666666664</c:v>
                </c:pt>
                <c:pt idx="287">
                  <c:v>39</c:v>
                </c:pt>
                <c:pt idx="288">
                  <c:v>39.083333333333336</c:v>
                </c:pt>
                <c:pt idx="289">
                  <c:v>39.166666666666664</c:v>
                </c:pt>
                <c:pt idx="290">
                  <c:v>39.25</c:v>
                </c:pt>
                <c:pt idx="291">
                  <c:v>39.333333333333336</c:v>
                </c:pt>
                <c:pt idx="292">
                  <c:v>39.416666666666664</c:v>
                </c:pt>
                <c:pt idx="293">
                  <c:v>39.5</c:v>
                </c:pt>
                <c:pt idx="294">
                  <c:v>39.583333333333336</c:v>
                </c:pt>
                <c:pt idx="295">
                  <c:v>39.666666666666664</c:v>
                </c:pt>
                <c:pt idx="296">
                  <c:v>39.75</c:v>
                </c:pt>
                <c:pt idx="297">
                  <c:v>39.833333333333336</c:v>
                </c:pt>
                <c:pt idx="298">
                  <c:v>39.916666666666664</c:v>
                </c:pt>
                <c:pt idx="299">
                  <c:v>40</c:v>
                </c:pt>
              </c:numCache>
            </c:numRef>
          </c:xVal>
          <c:yVal>
            <c:numRef>
              <c:f>'Figures B1-B3'!$GC$10:$RP$10</c:f>
              <c:numCache>
                <c:formatCode>#,##0.00</c:formatCode>
                <c:ptCount val="300"/>
                <c:pt idx="0">
                  <c:v>0.34094640252590885</c:v>
                </c:pt>
                <c:pt idx="1">
                  <c:v>0.33803246942376741</c:v>
                </c:pt>
                <c:pt idx="2">
                  <c:v>0.33514344054721928</c:v>
                </c:pt>
                <c:pt idx="3">
                  <c:v>0.33227910304976782</c:v>
                </c:pt>
                <c:pt idx="4">
                  <c:v>0.32943924590403068</c:v>
                </c:pt>
                <c:pt idx="5">
                  <c:v>0.32662365988619219</c:v>
                </c:pt>
                <c:pt idx="6">
                  <c:v>0.32383213756058948</c:v>
                </c:pt>
                <c:pt idx="7">
                  <c:v>0.32106447326442988</c:v>
                </c:pt>
                <c:pt idx="8">
                  <c:v>0.31832046309263828</c:v>
                </c:pt>
                <c:pt idx="9">
                  <c:v>0.31559990488283535</c:v>
                </c:pt>
                <c:pt idx="10">
                  <c:v>0.31290259820044292</c:v>
                </c:pt>
                <c:pt idx="11">
                  <c:v>0.31022834432391738</c:v>
                </c:pt>
                <c:pt idx="12">
                  <c:v>0.30757694623010906</c:v>
                </c:pt>
                <c:pt idx="13">
                  <c:v>0.30494820857974647</c:v>
                </c:pt>
                <c:pt idx="14">
                  <c:v>0.30234193770304546</c:v>
                </c:pt>
                <c:pt idx="15">
                  <c:v>0.29975794158544006</c:v>
                </c:pt>
                <c:pt idx="16">
                  <c:v>0.29719602985343618</c:v>
                </c:pt>
                <c:pt idx="17">
                  <c:v>0.29465601376058675</c:v>
                </c:pt>
                <c:pt idx="18">
                  <c:v>0.29213770617358475</c:v>
                </c:pt>
                <c:pt idx="19">
                  <c:v>0.28964092155847732</c:v>
                </c:pt>
                <c:pt idx="20">
                  <c:v>0.28716547596699654</c:v>
                </c:pt>
                <c:pt idx="21">
                  <c:v>0.28471118702300674</c:v>
                </c:pt>
                <c:pt idx="22">
                  <c:v>0.28227787390906856</c:v>
                </c:pt>
                <c:pt idx="23">
                  <c:v>0.27986535735311735</c:v>
                </c:pt>
                <c:pt idx="24">
                  <c:v>0.27747345961525538</c:v>
                </c:pt>
                <c:pt idx="25">
                  <c:v>0.27510200447465694</c:v>
                </c:pt>
                <c:pt idx="26">
                  <c:v>0.27275081721658562</c:v>
                </c:pt>
                <c:pt idx="27">
                  <c:v>0.27041972461952224</c:v>
                </c:pt>
                <c:pt idx="28">
                  <c:v>0.26810855494240282</c:v>
                </c:pt>
                <c:pt idx="29">
                  <c:v>0.26581713791196615</c:v>
                </c:pt>
                <c:pt idx="30">
                  <c:v>0.26354530471020859</c:v>
                </c:pt>
                <c:pt idx="31">
                  <c:v>0.2612928879619465</c:v>
                </c:pt>
                <c:pt idx="32">
                  <c:v>0.25905972172248576</c:v>
                </c:pt>
                <c:pt idx="33">
                  <c:v>0.25684564146539507</c:v>
                </c:pt>
                <c:pt idx="34">
                  <c:v>0.2546504840703851</c:v>
                </c:pt>
                <c:pt idx="35">
                  <c:v>0.25247408781129083</c:v>
                </c:pt>
                <c:pt idx="36">
                  <c:v>0.25031629234415614</c:v>
                </c:pt>
                <c:pt idx="37">
                  <c:v>0.24817693869542085</c:v>
                </c:pt>
                <c:pt idx="38">
                  <c:v>0.24605586925020867</c:v>
                </c:pt>
                <c:pt idx="39">
                  <c:v>0.2439529277407147</c:v>
                </c:pt>
                <c:pt idx="40">
                  <c:v>0.24186795923469273</c:v>
                </c:pt>
                <c:pt idx="41">
                  <c:v>0.23980081012404092</c:v>
                </c:pt>
                <c:pt idx="42">
                  <c:v>0.23775132811348448</c:v>
                </c:pt>
                <c:pt idx="43">
                  <c:v>0.23571936220935577</c:v>
                </c:pt>
                <c:pt idx="44">
                  <c:v>0.23370476270846996</c:v>
                </c:pt>
                <c:pt idx="45">
                  <c:v>0.23170738118709555</c:v>
                </c:pt>
                <c:pt idx="46">
                  <c:v>0.22972707049001964</c:v>
                </c:pt>
                <c:pt idx="47">
                  <c:v>0.22776368471970646</c:v>
                </c:pt>
                <c:pt idx="48">
                  <c:v>0.22581707922554811</c:v>
                </c:pt>
                <c:pt idx="49">
                  <c:v>0.22388711059320787</c:v>
                </c:pt>
                <c:pt idx="50">
                  <c:v>0.22197363663405448</c:v>
                </c:pt>
                <c:pt idx="51">
                  <c:v>0.22007651637468606</c:v>
                </c:pt>
                <c:pt idx="52">
                  <c:v>0.21819561004654417</c:v>
                </c:pt>
                <c:pt idx="53">
                  <c:v>0.21633077907561682</c:v>
                </c:pt>
                <c:pt idx="54">
                  <c:v>0.21448188607222876</c:v>
                </c:pt>
                <c:pt idx="55">
                  <c:v>0.21264879482091947</c:v>
                </c:pt>
                <c:pt idx="56">
                  <c:v>0.21083137027040796</c:v>
                </c:pt>
                <c:pt idx="57">
                  <c:v>0.20902947852364259</c:v>
                </c:pt>
                <c:pt idx="58">
                  <c:v>0.2072429868279364</c:v>
                </c:pt>
                <c:pt idx="59">
                  <c:v>0.20547176356518707</c:v>
                </c:pt>
                <c:pt idx="60">
                  <c:v>0.20371567824217954</c:v>
                </c:pt>
                <c:pt idx="61">
                  <c:v>0.20197460148097215</c:v>
                </c:pt>
                <c:pt idx="62">
                  <c:v>0.20024840500936547</c:v>
                </c:pt>
                <c:pt idx="63">
                  <c:v>0.19853696165145091</c:v>
                </c:pt>
                <c:pt idx="64">
                  <c:v>0.19684014531824207</c:v>
                </c:pt>
                <c:pt idx="65">
                  <c:v>0.19515783099838477</c:v>
                </c:pt>
                <c:pt idx="66">
                  <c:v>0.19348989474894718</c:v>
                </c:pt>
                <c:pt idx="67">
                  <c:v>0.19183621368628803</c:v>
                </c:pt>
                <c:pt idx="68">
                  <c:v>0.19019666597700413</c:v>
                </c:pt>
                <c:pt idx="69">
                  <c:v>0.18857113082895333</c:v>
                </c:pt>
                <c:pt idx="70">
                  <c:v>0.18695948848235608</c:v>
                </c:pt>
                <c:pt idx="71">
                  <c:v>0.18536162020097194</c:v>
                </c:pt>
                <c:pt idx="72">
                  <c:v>0.18377740826335184</c:v>
                </c:pt>
                <c:pt idx="73">
                  <c:v>0.18220673595416484</c:v>
                </c:pt>
                <c:pt idx="74">
                  <c:v>0.18064948755559979</c:v>
                </c:pt>
                <c:pt idx="75">
                  <c:v>0.17910554833883935</c:v>
                </c:pt>
                <c:pt idx="76">
                  <c:v>0.17757480455560762</c:v>
                </c:pt>
                <c:pt idx="77">
                  <c:v>0.17605714342979012</c:v>
                </c:pt>
                <c:pt idx="78">
                  <c:v>0.17455245314912488</c:v>
                </c:pt>
                <c:pt idx="79">
                  <c:v>0.17306062285696452</c:v>
                </c:pt>
                <c:pt idx="80">
                  <c:v>0.17158154264410963</c:v>
                </c:pt>
                <c:pt idx="81">
                  <c:v>0.17011510354071077</c:v>
                </c:pt>
                <c:pt idx="82">
                  <c:v>0.16866119750824032</c:v>
                </c:pt>
                <c:pt idx="83">
                  <c:v>0.16721971743153316</c:v>
                </c:pt>
                <c:pt idx="84">
                  <c:v>0.16579055711089463</c:v>
                </c:pt>
                <c:pt idx="85">
                  <c:v>0.16437361125427652</c:v>
                </c:pt>
                <c:pt idx="86">
                  <c:v>0.16296877546952013</c:v>
                </c:pt>
                <c:pt idx="87">
                  <c:v>0.16157594625666458</c:v>
                </c:pt>
                <c:pt idx="88">
                  <c:v>0.16019502100032207</c:v>
                </c:pt>
                <c:pt idx="89">
                  <c:v>0.15882589796211782</c:v>
                </c:pt>
                <c:pt idx="90">
                  <c:v>0.15746847627319421</c:v>
                </c:pt>
                <c:pt idx="91">
                  <c:v>0.15612265592677954</c:v>
                </c:pt>
                <c:pt idx="92">
                  <c:v>0.15478833777082038</c:v>
                </c:pt>
                <c:pt idx="93">
                  <c:v>0.15346542350067618</c:v>
                </c:pt>
                <c:pt idx="94">
                  <c:v>0.15215381565187711</c:v>
                </c:pt>
                <c:pt idx="95">
                  <c:v>0.15085341759294338</c:v>
                </c:pt>
                <c:pt idx="96">
                  <c:v>0.14956413351826589</c:v>
                </c:pt>
                <c:pt idx="97">
                  <c:v>0.14828586844104785</c:v>
                </c:pt>
                <c:pt idx="98">
                  <c:v>0.14701852818630698</c:v>
                </c:pt>
                <c:pt idx="99">
                  <c:v>0.14576201938393696</c:v>
                </c:pt>
                <c:pt idx="100">
                  <c:v>0.14451624946182853</c:v>
                </c:pt>
                <c:pt idx="101">
                  <c:v>0.14328112663904952</c:v>
                </c:pt>
                <c:pt idx="102">
                  <c:v>0.14205655991908267</c:v>
                </c:pt>
                <c:pt idx="103">
                  <c:v>0.14084245908312176</c:v>
                </c:pt>
                <c:pt idx="104">
                  <c:v>0.13963873468342489</c:v>
                </c:pt>
                <c:pt idx="105">
                  <c:v>0.13844529803672423</c:v>
                </c:pt>
                <c:pt idx="106">
                  <c:v>0.13726206121769249</c:v>
                </c:pt>
                <c:pt idx="107">
                  <c:v>0.13608893705246536</c:v>
                </c:pt>
                <c:pt idx="108">
                  <c:v>0.13492583911221862</c:v>
                </c:pt>
                <c:pt idx="109">
                  <c:v>0.13377268170680079</c:v>
                </c:pt>
                <c:pt idx="110">
                  <c:v>0.13262937987842013</c:v>
                </c:pt>
                <c:pt idx="111">
                  <c:v>0.13149584939538519</c:v>
                </c:pt>
                <c:pt idx="112">
                  <c:v>0.13037200674589922</c:v>
                </c:pt>
                <c:pt idx="113">
                  <c:v>0.12925776913190762</c:v>
                </c:pt>
                <c:pt idx="114">
                  <c:v>0.12815305446299774</c:v>
                </c:pt>
                <c:pt idx="115">
                  <c:v>0.12705778135035095</c:v>
                </c:pt>
                <c:pt idx="116">
                  <c:v>0.12597186910074656</c:v>
                </c:pt>
                <c:pt idx="117">
                  <c:v>0.12489523771061654</c:v>
                </c:pt>
                <c:pt idx="118">
                  <c:v>0.12382780786015159</c:v>
                </c:pt>
                <c:pt idx="119">
                  <c:v>0.12276950090745718</c:v>
                </c:pt>
                <c:pt idx="120">
                  <c:v>0.12172023888275982</c:v>
                </c:pt>
                <c:pt idx="121">
                  <c:v>0.12067994448266242</c:v>
                </c:pt>
                <c:pt idx="122">
                  <c:v>0.1196485410644495</c:v>
                </c:pt>
                <c:pt idx="123">
                  <c:v>0.11862595264044015</c:v>
                </c:pt>
                <c:pt idx="124">
                  <c:v>0.11761210387238991</c:v>
                </c:pt>
                <c:pt idx="125">
                  <c:v>0.11660692006594041</c:v>
                </c:pt>
                <c:pt idx="126">
                  <c:v>0.11561032716511611</c:v>
                </c:pt>
                <c:pt idx="127">
                  <c:v>0.11462225174686838</c:v>
                </c:pt>
                <c:pt idx="128">
                  <c:v>0.11364262101566626</c:v>
                </c:pt>
                <c:pt idx="129">
                  <c:v>0.11267136279813307</c:v>
                </c:pt>
                <c:pt idx="130">
                  <c:v>0.11170840553772929</c:v>
                </c:pt>
                <c:pt idx="131">
                  <c:v>0.11075367828948064</c:v>
                </c:pt>
                <c:pt idx="132">
                  <c:v>0.1098071107147513</c:v>
                </c:pt>
                <c:pt idx="133">
                  <c:v>0.10886863307606169</c:v>
                </c:pt>
                <c:pt idx="134">
                  <c:v>0.10793817623195077</c:v>
                </c:pt>
                <c:pt idx="135">
                  <c:v>0.10701567163188198</c:v>
                </c:pt>
                <c:pt idx="136">
                  <c:v>0.10610105131119285</c:v>
                </c:pt>
                <c:pt idx="137">
                  <c:v>0.10519424788608794</c:v>
                </c:pt>
                <c:pt idx="138">
                  <c:v>0.10429519454867414</c:v>
                </c:pt>
                <c:pt idx="139">
                  <c:v>0.10340382506203884</c:v>
                </c:pt>
                <c:pt idx="140">
                  <c:v>0.10252007375536999</c:v>
                </c:pt>
                <c:pt idx="141">
                  <c:v>0.10164387551911772</c:v>
                </c:pt>
                <c:pt idx="142">
                  <c:v>0.10077516580019756</c:v>
                </c:pt>
                <c:pt idx="143">
                  <c:v>9.9913880597234717E-2</c:v>
                </c:pt>
                <c:pt idx="144">
                  <c:v>9.9059956455848391E-2</c:v>
                </c:pt>
                <c:pt idx="145">
                  <c:v>9.8213330463977247E-2</c:v>
                </c:pt>
                <c:pt idx="146">
                  <c:v>9.7373940247244314E-2</c:v>
                </c:pt>
                <c:pt idx="147">
                  <c:v>9.6541723964361462E-2</c:v>
                </c:pt>
                <c:pt idx="148">
                  <c:v>9.5716620302573482E-2</c:v>
                </c:pt>
                <c:pt idx="149">
                  <c:v>9.4898568473140918E-2</c:v>
                </c:pt>
                <c:pt idx="150">
                  <c:v>9.4087508206861376E-2</c:v>
                </c:pt>
                <c:pt idx="151">
                  <c:v>9.3283379749629289E-2</c:v>
                </c:pt>
                <c:pt idx="152">
                  <c:v>9.2486123858033759E-2</c:v>
                </c:pt>
                <c:pt idx="153">
                  <c:v>9.1695681794993669E-2</c:v>
                </c:pt>
                <c:pt idx="154">
                  <c:v>9.0911995325430262E-2</c:v>
                </c:pt>
                <c:pt idx="155">
                  <c:v>9.0135006711976967E-2</c:v>
                </c:pt>
                <c:pt idx="156">
                  <c:v>8.9364658710725339E-2</c:v>
                </c:pt>
                <c:pt idx="157">
                  <c:v>8.8600894567007815E-2</c:v>
                </c:pt>
                <c:pt idx="158">
                  <c:v>8.7843658011216533E-2</c:v>
                </c:pt>
                <c:pt idx="159">
                  <c:v>8.7092893254657397E-2</c:v>
                </c:pt>
                <c:pt idx="160">
                  <c:v>8.6348544985440104E-2</c:v>
                </c:pt>
                <c:pt idx="161">
                  <c:v>8.561055836440308E-2</c:v>
                </c:pt>
                <c:pt idx="162">
                  <c:v>8.4878879021073175E-2</c:v>
                </c:pt>
                <c:pt idx="163">
                  <c:v>8.4153453049660057E-2</c:v>
                </c:pt>
                <c:pt idx="164">
                  <c:v>8.3434227005084668E-2</c:v>
                </c:pt>
                <c:pt idx="165">
                  <c:v>8.2721147899041836E-2</c:v>
                </c:pt>
                <c:pt idx="166">
                  <c:v>8.2014163196096182E-2</c:v>
                </c:pt>
                <c:pt idx="167">
                  <c:v>8.1313220809811945E-2</c:v>
                </c:pt>
                <c:pt idx="168">
                  <c:v>8.0618269098915285E-2</c:v>
                </c:pt>
                <c:pt idx="169">
                  <c:v>7.99292568634897E-2</c:v>
                </c:pt>
                <c:pt idx="170">
                  <c:v>7.9246133341204145E-2</c:v>
                </c:pt>
                <c:pt idx="171">
                  <c:v>7.8568848203572864E-2</c:v>
                </c:pt>
                <c:pt idx="172">
                  <c:v>7.7897351552247654E-2</c:v>
                </c:pt>
                <c:pt idx="173">
                  <c:v>7.7231593915341679E-2</c:v>
                </c:pt>
                <c:pt idx="174">
                  <c:v>7.6571526243784521E-2</c:v>
                </c:pt>
                <c:pt idx="175">
                  <c:v>7.5917099907708716E-2</c:v>
                </c:pt>
                <c:pt idx="176">
                  <c:v>7.5268266692866848E-2</c:v>
                </c:pt>
                <c:pt idx="177">
                  <c:v>7.4624978797079508E-2</c:v>
                </c:pt>
                <c:pt idx="178">
                  <c:v>7.3987188826713415E-2</c:v>
                </c:pt>
                <c:pt idx="179">
                  <c:v>7.3354849793189916E-2</c:v>
                </c:pt>
                <c:pt idx="180">
                  <c:v>7.2727915109522895E-2</c:v>
                </c:pt>
                <c:pt idx="181">
                  <c:v>7.2106338586886698E-2</c:v>
                </c:pt>
                <c:pt idx="182">
                  <c:v>7.1490074431213191E-2</c:v>
                </c:pt>
                <c:pt idx="183">
                  <c:v>7.0879077239817886E-2</c:v>
                </c:pt>
                <c:pt idx="184">
                  <c:v>7.0273301998054885E-2</c:v>
                </c:pt>
                <c:pt idx="185">
                  <c:v>6.9672704076000694E-2</c:v>
                </c:pt>
                <c:pt idx="186">
                  <c:v>6.9077239225165843E-2</c:v>
                </c:pt>
                <c:pt idx="187">
                  <c:v>6.848686357523516E-2</c:v>
                </c:pt>
                <c:pt idx="188">
                  <c:v>6.7901533630835592E-2</c:v>
                </c:pt>
                <c:pt idx="189">
                  <c:v>6.7321206268331671E-2</c:v>
                </c:pt>
                <c:pt idx="190">
                  <c:v>6.6745838732648444E-2</c:v>
                </c:pt>
                <c:pt idx="191">
                  <c:v>6.6175388634121673E-2</c:v>
                </c:pt>
                <c:pt idx="192">
                  <c:v>6.5609813945374545E-2</c:v>
                </c:pt>
                <c:pt idx="193">
                  <c:v>6.5049072998221574E-2</c:v>
                </c:pt>
                <c:pt idx="194">
                  <c:v>6.4493124480598699E-2</c:v>
                </c:pt>
                <c:pt idx="195">
                  <c:v>6.3941927433519535E-2</c:v>
                </c:pt>
                <c:pt idx="196">
                  <c:v>6.3395441248057863E-2</c:v>
                </c:pt>
                <c:pt idx="197">
                  <c:v>6.2853625662355805E-2</c:v>
                </c:pt>
                <c:pt idx="198">
                  <c:v>6.2316440758657554E-2</c:v>
                </c:pt>
                <c:pt idx="199">
                  <c:v>6.1783846960368406E-2</c:v>
                </c:pt>
                <c:pt idx="200">
                  <c:v>6.1255805029139118E-2</c:v>
                </c:pt>
                <c:pt idx="201">
                  <c:v>6.0732276061974955E-2</c:v>
                </c:pt>
                <c:pt idx="202">
                  <c:v>6.021322148836953E-2</c:v>
                </c:pt>
                <c:pt idx="203">
                  <c:v>5.9698603067463323E-2</c:v>
                </c:pt>
                <c:pt idx="204">
                  <c:v>5.9188382885226119E-2</c:v>
                </c:pt>
                <c:pt idx="205">
                  <c:v>5.8682523351663893E-2</c:v>
                </c:pt>
                <c:pt idx="206">
                  <c:v>5.8180987198049205E-2</c:v>
                </c:pt>
                <c:pt idx="207">
                  <c:v>5.7683737474175711E-2</c:v>
                </c:pt>
                <c:pt idx="208">
                  <c:v>5.7190737545635736E-2</c:v>
                </c:pt>
                <c:pt idx="209">
                  <c:v>5.6701951091121222E-2</c:v>
                </c:pt>
                <c:pt idx="210">
                  <c:v>5.6217342099747956E-2</c:v>
                </c:pt>
                <c:pt idx="211">
                  <c:v>5.5736874868402363E-2</c:v>
                </c:pt>
                <c:pt idx="212">
                  <c:v>5.5260513999111131E-2</c:v>
                </c:pt>
                <c:pt idx="213">
                  <c:v>5.4788224396433396E-2</c:v>
                </c:pt>
                <c:pt idx="214">
                  <c:v>5.431997126487504E-2</c:v>
                </c:pt>
                <c:pt idx="215">
                  <c:v>5.385572010632507E-2</c:v>
                </c:pt>
                <c:pt idx="216">
                  <c:v>5.3395436717514219E-2</c:v>
                </c:pt>
                <c:pt idx="217">
                  <c:v>5.2939087187494953E-2</c:v>
                </c:pt>
                <c:pt idx="218">
                  <c:v>5.248663789514299E-2</c:v>
                </c:pt>
                <c:pt idx="219">
                  <c:v>5.2038055506680468E-2</c:v>
                </c:pt>
                <c:pt idx="220">
                  <c:v>5.1593306973220107E-2</c:v>
                </c:pt>
                <c:pt idx="221">
                  <c:v>5.1152359528330166E-2</c:v>
                </c:pt>
                <c:pt idx="222">
                  <c:v>5.0715180685620649E-2</c:v>
                </c:pt>
                <c:pt idx="223">
                  <c:v>5.0281738236349821E-2</c:v>
                </c:pt>
                <c:pt idx="224">
                  <c:v>4.9852000247051109E-2</c:v>
                </c:pt>
                <c:pt idx="225">
                  <c:v>4.9425935057180639E-2</c:v>
                </c:pt>
                <c:pt idx="226">
                  <c:v>4.9003511276784657E-2</c:v>
                </c:pt>
                <c:pt idx="227">
                  <c:v>4.8584697784186691E-2</c:v>
                </c:pt>
                <c:pt idx="228">
                  <c:v>4.8169463723694947E-2</c:v>
                </c:pt>
                <c:pt idx="229">
                  <c:v>4.7757778503328956E-2</c:v>
                </c:pt>
                <c:pt idx="230">
                  <c:v>4.7349611792565617E-2</c:v>
                </c:pt>
                <c:pt idx="231">
                  <c:v>4.6944933520104822E-2</c:v>
                </c:pt>
                <c:pt idx="232">
                  <c:v>4.6543713871653875E-2</c:v>
                </c:pt>
                <c:pt idx="233">
                  <c:v>4.6145923287730914E-2</c:v>
                </c:pt>
                <c:pt idx="234">
                  <c:v>4.5751532461487228E-2</c:v>
                </c:pt>
                <c:pt idx="235">
                  <c:v>4.5360512336548101E-2</c:v>
                </c:pt>
                <c:pt idx="236">
                  <c:v>4.4972834104872031E-2</c:v>
                </c:pt>
                <c:pt idx="237">
                  <c:v>4.4588469204628368E-2</c:v>
                </c:pt>
                <c:pt idx="238">
                  <c:v>4.42073893180931E-2</c:v>
                </c:pt>
                <c:pt idx="239">
                  <c:v>4.3829566369562471E-2</c:v>
                </c:pt>
                <c:pt idx="240">
                  <c:v>4.3454972523284605E-2</c:v>
                </c:pt>
                <c:pt idx="241">
                  <c:v>4.3083580181408773E-2</c:v>
                </c:pt>
                <c:pt idx="242">
                  <c:v>4.271536198195193E-2</c:v>
                </c:pt>
                <c:pt idx="243">
                  <c:v>4.2350290796783145E-2</c:v>
                </c:pt>
                <c:pt idx="244">
                  <c:v>4.1988339729624784E-2</c:v>
                </c:pt>
                <c:pt idx="245">
                  <c:v>4.1629482114070908E-2</c:v>
                </c:pt>
                <c:pt idx="246">
                  <c:v>4.1273691511622822E-2</c:v>
                </c:pt>
                <c:pt idx="247">
                  <c:v>4.0920941709741143E-2</c:v>
                </c:pt>
                <c:pt idx="248">
                  <c:v>4.0571206719914522E-2</c:v>
                </c:pt>
                <c:pt idx="249">
                  <c:v>4.022446077574518E-2</c:v>
                </c:pt>
                <c:pt idx="250">
                  <c:v>3.9880678331050454E-2</c:v>
                </c:pt>
                <c:pt idx="251">
                  <c:v>3.9539834057980651E-2</c:v>
                </c:pt>
                <c:pt idx="252">
                  <c:v>3.9201902845153208E-2</c:v>
                </c:pt>
                <c:pt idx="253">
                  <c:v>3.8866859795802546E-2</c:v>
                </c:pt>
                <c:pt idx="254">
                  <c:v>3.8534680225945736E-2</c:v>
                </c:pt>
                <c:pt idx="255">
                  <c:v>3.8205339662564106E-2</c:v>
                </c:pt>
                <c:pt idx="256">
                  <c:v>3.7878813841800134E-2</c:v>
                </c:pt>
                <c:pt idx="257">
                  <c:v>3.7555078707169717E-2</c:v>
                </c:pt>
                <c:pt idx="258">
                  <c:v>3.7234110407790059E-2</c:v>
                </c:pt>
                <c:pt idx="259">
                  <c:v>3.6915885296622319E-2</c:v>
                </c:pt>
                <c:pt idx="260">
                  <c:v>3.6600379928729443E-2</c:v>
                </c:pt>
                <c:pt idx="261">
                  <c:v>3.6287571059548981E-2</c:v>
                </c:pt>
                <c:pt idx="262">
                  <c:v>3.5977435643180435E-2</c:v>
                </c:pt>
                <c:pt idx="263">
                  <c:v>3.5669950830687469E-2</c:v>
                </c:pt>
                <c:pt idx="264">
                  <c:v>3.5365093968414509E-2</c:v>
                </c:pt>
                <c:pt idx="265">
                  <c:v>3.5062842596317777E-2</c:v>
                </c:pt>
                <c:pt idx="266">
                  <c:v>3.4763174446310462E-2</c:v>
                </c:pt>
                <c:pt idx="267">
                  <c:v>3.4466067440622292E-2</c:v>
                </c:pt>
                <c:pt idx="268">
                  <c:v>3.417149969017292E-2</c:v>
                </c:pt>
                <c:pt idx="269">
                  <c:v>3.3879449492959152E-2</c:v>
                </c:pt>
                <c:pt idx="270">
                  <c:v>3.3589895332456272E-2</c:v>
                </c:pt>
                <c:pt idx="271">
                  <c:v>3.3302815876032718E-2</c:v>
                </c:pt>
                <c:pt idx="272">
                  <c:v>3.301818997337834E-2</c:v>
                </c:pt>
                <c:pt idx="273">
                  <c:v>3.2735996654946378E-2</c:v>
                </c:pt>
                <c:pt idx="274">
                  <c:v>3.2456215130408417E-2</c:v>
                </c:pt>
                <c:pt idx="275">
                  <c:v>3.2178824787122598E-2</c:v>
                </c:pt>
                <c:pt idx="276">
                  <c:v>3.1903805188615221E-2</c:v>
                </c:pt>
                <c:pt idx="277">
                  <c:v>3.163113607307496E-2</c:v>
                </c:pt>
                <c:pt idx="278">
                  <c:v>3.1360797351860058E-2</c:v>
                </c:pt>
                <c:pt idx="279">
                  <c:v>3.109276910801843E-2</c:v>
                </c:pt>
                <c:pt idx="280">
                  <c:v>3.0827031594820264E-2</c:v>
                </c:pt>
                <c:pt idx="281">
                  <c:v>3.0563565234303144E-2</c:v>
                </c:pt>
                <c:pt idx="282">
                  <c:v>3.0302350615829702E-2</c:v>
                </c:pt>
                <c:pt idx="283">
                  <c:v>3.0043368494657587E-2</c:v>
                </c:pt>
                <c:pt idx="284">
                  <c:v>2.9786599790521551E-2</c:v>
                </c:pt>
                <c:pt idx="285">
                  <c:v>2.9532025586227816E-2</c:v>
                </c:pt>
                <c:pt idx="286">
                  <c:v>2.9279627126260338E-2</c:v>
                </c:pt>
                <c:pt idx="287">
                  <c:v>2.9029385815398906E-2</c:v>
                </c:pt>
                <c:pt idx="288">
                  <c:v>2.8781283217349341E-2</c:v>
                </c:pt>
                <c:pt idx="289">
                  <c:v>2.8535301053385132E-2</c:v>
                </c:pt>
                <c:pt idx="290">
                  <c:v>2.8291421201000665E-2</c:v>
                </c:pt>
                <c:pt idx="291">
                  <c:v>2.8049625692576251E-2</c:v>
                </c:pt>
                <c:pt idx="292">
                  <c:v>2.7809896714054299E-2</c:v>
                </c:pt>
                <c:pt idx="293">
                  <c:v>2.7572216603626788E-2</c:v>
                </c:pt>
                <c:pt idx="294">
                  <c:v>2.7336567850434208E-2</c:v>
                </c:pt>
                <c:pt idx="295">
                  <c:v>2.7102933093275394E-2</c:v>
                </c:pt>
                <c:pt idx="296">
                  <c:v>2.6871295119328387E-2</c:v>
                </c:pt>
                <c:pt idx="297">
                  <c:v>2.6641636862882415E-2</c:v>
                </c:pt>
                <c:pt idx="298">
                  <c:v>2.6413941404080557E-2</c:v>
                </c:pt>
                <c:pt idx="299">
                  <c:v>2.6188191967673087E-2</c:v>
                </c:pt>
              </c:numCache>
            </c:numRef>
          </c:yVal>
          <c:smooth val="0"/>
          <c:extLst>
            <c:ext xmlns:c16="http://schemas.microsoft.com/office/drawing/2014/chart" uri="{C3380CC4-5D6E-409C-BE32-E72D297353CC}">
              <c16:uniqueId val="{00000002-BEEC-4F67-AE2A-6D397FC70544}"/>
            </c:ext>
          </c:extLst>
        </c:ser>
        <c:dLbls>
          <c:showLegendKey val="0"/>
          <c:showVal val="0"/>
          <c:showCatName val="0"/>
          <c:showSerName val="0"/>
          <c:showPercent val="0"/>
          <c:showBubbleSize val="0"/>
        </c:dLbls>
        <c:axId val="585166080"/>
        <c:axId val="585164416"/>
      </c:scatterChart>
      <c:valAx>
        <c:axId val="571412608"/>
        <c:scaling>
          <c:orientation val="minMax"/>
          <c:max val="4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chemeClr val="tx1"/>
                    </a:solidFill>
                  </a:rPr>
                  <a:t>model year</a:t>
                </a:r>
              </a:p>
            </c:rich>
          </c:tx>
          <c:layout>
            <c:manualLayout>
              <c:xMode val="edge"/>
              <c:yMode val="edge"/>
              <c:x val="0.35090406236533866"/>
              <c:y val="0.920100181139329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cross"/>
        <c:minorTickMark val="cross"/>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917020512"/>
        <c:crosses val="autoZero"/>
        <c:crossBetween val="midCat"/>
        <c:majorUnit val="10"/>
        <c:minorUnit val="5"/>
      </c:valAx>
      <c:valAx>
        <c:axId val="917020512"/>
        <c:scaling>
          <c:orientation val="minMax"/>
          <c:max val="3"/>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chemeClr val="tx1"/>
                    </a:solidFill>
                  </a:rPr>
                  <a:t>Tract 16 sequestration,</a:t>
                </a:r>
                <a:r>
                  <a:rPr lang="en-US" sz="900" b="1" baseline="0">
                    <a:solidFill>
                      <a:schemeClr val="tx1"/>
                    </a:solidFill>
                  </a:rPr>
                  <a:t> MgC/ha-yr</a:t>
                </a:r>
              </a:p>
            </c:rich>
          </c:tx>
          <c:layout>
            <c:manualLayout>
              <c:xMode val="edge"/>
              <c:yMode val="edge"/>
              <c:x val="1.6188976377952757E-2"/>
              <c:y val="0.15009907212302687"/>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571412608"/>
        <c:crosses val="autoZero"/>
        <c:crossBetween val="midCat"/>
      </c:valAx>
      <c:valAx>
        <c:axId val="585164416"/>
        <c:scaling>
          <c:orientation val="minMax"/>
        </c:scaling>
        <c:delete val="0"/>
        <c:axPos val="r"/>
        <c:title>
          <c:tx>
            <c:rich>
              <a:bodyPr rot="5400000" spcFirstLastPara="1" vertOverflow="ellipsis" wrap="square" anchor="ctr" anchorCtr="1"/>
              <a:lstStyle/>
              <a:p>
                <a:pPr>
                  <a:defRPr sz="1000" b="1" i="0" u="none" strike="noStrike" kern="1200" baseline="0">
                    <a:solidFill>
                      <a:srgbClr val="FD8D3C"/>
                    </a:solidFill>
                    <a:latin typeface="+mn-lt"/>
                    <a:ea typeface="+mn-ea"/>
                    <a:cs typeface="+mn-cs"/>
                  </a:defRPr>
                </a:pPr>
                <a:r>
                  <a:rPr lang="en-US" b="1">
                    <a:solidFill>
                      <a:srgbClr val="FD8D3C"/>
                    </a:solidFill>
                  </a:rPr>
                  <a:t>Pienaar index of suppression</a:t>
                </a:r>
              </a:p>
            </c:rich>
          </c:tx>
          <c:overlay val="0"/>
          <c:spPr>
            <a:noFill/>
            <a:ln>
              <a:noFill/>
            </a:ln>
            <a:effectLst/>
          </c:spPr>
          <c:txPr>
            <a:bodyPr rot="5400000" spcFirstLastPara="1" vertOverflow="ellipsis" wrap="square" anchor="ctr" anchorCtr="1"/>
            <a:lstStyle/>
            <a:p>
              <a:pPr>
                <a:defRPr sz="1000" b="1" i="0" u="none" strike="noStrike" kern="1200" baseline="0">
                  <a:solidFill>
                    <a:srgbClr val="FD8D3C"/>
                  </a:solidFill>
                  <a:latin typeface="+mn-lt"/>
                  <a:ea typeface="+mn-ea"/>
                  <a:cs typeface="+mn-cs"/>
                </a:defRPr>
              </a:pPr>
              <a:endParaRPr lang="en-US"/>
            </a:p>
          </c:txPr>
        </c:title>
        <c:numFmt formatCode="#,##0.00" sourceLinked="0"/>
        <c:majorTickMark val="out"/>
        <c:minorTickMark val="out"/>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rgbClr val="FD8D3C"/>
                </a:solidFill>
                <a:latin typeface="+mn-lt"/>
                <a:ea typeface="+mn-ea"/>
                <a:cs typeface="+mn-cs"/>
              </a:defRPr>
            </a:pPr>
            <a:endParaRPr lang="en-US"/>
          </a:p>
        </c:txPr>
        <c:crossAx val="585166080"/>
        <c:crosses val="max"/>
        <c:crossBetween val="midCat"/>
      </c:valAx>
      <c:valAx>
        <c:axId val="585166080"/>
        <c:scaling>
          <c:orientation val="minMax"/>
        </c:scaling>
        <c:delete val="1"/>
        <c:axPos val="b"/>
        <c:numFmt formatCode="#,##0.00" sourceLinked="1"/>
        <c:majorTickMark val="out"/>
        <c:minorTickMark val="none"/>
        <c:tickLblPos val="nextTo"/>
        <c:crossAx val="585164416"/>
        <c:crosses val="autoZero"/>
        <c:crossBetween val="midCat"/>
      </c:valAx>
      <c:spPr>
        <a:noFill/>
        <a:ln>
          <a:solidFill>
            <a:schemeClr val="tx1"/>
          </a:solidFill>
        </a:ln>
        <a:effectLst/>
      </c:spPr>
    </c:plotArea>
    <c:legend>
      <c:legendPos val="r"/>
      <c:layout>
        <c:manualLayout>
          <c:xMode val="edge"/>
          <c:yMode val="edge"/>
          <c:x val="0.812067222940416"/>
          <c:y val="0.17891205500720861"/>
          <c:w val="0.18002898891369917"/>
          <c:h val="0.6400417729473956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89050808947395E-2"/>
          <c:y val="7.8387859968208198E-2"/>
          <c:w val="0.63043397187291883"/>
          <c:h val="0.76536985693689696"/>
        </c:manualLayout>
      </c:layout>
      <c:scatterChart>
        <c:scatterStyle val="lineMarker"/>
        <c:varyColors val="0"/>
        <c:ser>
          <c:idx val="5"/>
          <c:order val="0"/>
          <c:tx>
            <c:strRef>
              <c:f>'Figures B1-B3'!$C$20</c:f>
              <c:strCache>
                <c:ptCount val="1"/>
                <c:pt idx="0">
                  <c:v>baseline stock</c:v>
                </c:pt>
              </c:strCache>
            </c:strRef>
          </c:tx>
          <c:spPr>
            <a:ln w="38100" cap="rnd">
              <a:solidFill>
                <a:srgbClr val="A1D99B"/>
              </a:solidFill>
              <a:round/>
            </a:ln>
            <a:effectLst/>
          </c:spPr>
          <c:marker>
            <c:symbol val="none"/>
          </c:marker>
          <c:xVal>
            <c:numRef>
              <c:f>'Figures B1-B3'!$E$7:$RP$7</c:f>
              <c:numCache>
                <c:formatCode>#,##0.00</c:formatCode>
                <c:ptCount val="480"/>
                <c:pt idx="0">
                  <c:v>8.3333333333333329E-2</c:v>
                </c:pt>
                <c:pt idx="1">
                  <c:v>0.16666666666666666</c:v>
                </c:pt>
                <c:pt idx="2">
                  <c:v>0.25</c:v>
                </c:pt>
                <c:pt idx="3">
                  <c:v>0.33333333333333331</c:v>
                </c:pt>
                <c:pt idx="4">
                  <c:v>0.41666666666666669</c:v>
                </c:pt>
                <c:pt idx="5">
                  <c:v>0.5</c:v>
                </c:pt>
                <c:pt idx="6">
                  <c:v>0.58333333333333337</c:v>
                </c:pt>
                <c:pt idx="7">
                  <c:v>0.66666666666666663</c:v>
                </c:pt>
                <c:pt idx="8">
                  <c:v>0.75</c:v>
                </c:pt>
                <c:pt idx="9">
                  <c:v>0.83333333333333337</c:v>
                </c:pt>
                <c:pt idx="10">
                  <c:v>0.91666666666666663</c:v>
                </c:pt>
                <c:pt idx="11">
                  <c:v>1</c:v>
                </c:pt>
                <c:pt idx="12">
                  <c:v>1.0833333333333333</c:v>
                </c:pt>
                <c:pt idx="13">
                  <c:v>1.1666666666666667</c:v>
                </c:pt>
                <c:pt idx="14">
                  <c:v>1.25</c:v>
                </c:pt>
                <c:pt idx="15">
                  <c:v>1.3333333333333333</c:v>
                </c:pt>
                <c:pt idx="16">
                  <c:v>1.4166666666666667</c:v>
                </c:pt>
                <c:pt idx="17">
                  <c:v>1.5</c:v>
                </c:pt>
                <c:pt idx="18">
                  <c:v>1.5833333333333333</c:v>
                </c:pt>
                <c:pt idx="19">
                  <c:v>1.6666666666666667</c:v>
                </c:pt>
                <c:pt idx="20">
                  <c:v>1.75</c:v>
                </c:pt>
                <c:pt idx="21">
                  <c:v>1.8333333333333333</c:v>
                </c:pt>
                <c:pt idx="22">
                  <c:v>1.9166666666666667</c:v>
                </c:pt>
                <c:pt idx="23">
                  <c:v>2</c:v>
                </c:pt>
                <c:pt idx="24">
                  <c:v>2.0833333333333335</c:v>
                </c:pt>
                <c:pt idx="25">
                  <c:v>2.1666666666666665</c:v>
                </c:pt>
                <c:pt idx="26">
                  <c:v>2.25</c:v>
                </c:pt>
                <c:pt idx="27">
                  <c:v>2.3333333333333335</c:v>
                </c:pt>
                <c:pt idx="28">
                  <c:v>2.4166666666666665</c:v>
                </c:pt>
                <c:pt idx="29">
                  <c:v>2.5</c:v>
                </c:pt>
                <c:pt idx="30">
                  <c:v>2.5833333333333335</c:v>
                </c:pt>
                <c:pt idx="31">
                  <c:v>2.6666666666666665</c:v>
                </c:pt>
                <c:pt idx="32">
                  <c:v>2.75</c:v>
                </c:pt>
                <c:pt idx="33">
                  <c:v>2.8333333333333335</c:v>
                </c:pt>
                <c:pt idx="34">
                  <c:v>2.9166666666666665</c:v>
                </c:pt>
                <c:pt idx="35">
                  <c:v>3</c:v>
                </c:pt>
                <c:pt idx="36">
                  <c:v>3.0833333333333335</c:v>
                </c:pt>
                <c:pt idx="37">
                  <c:v>3.1666666666666665</c:v>
                </c:pt>
                <c:pt idx="38">
                  <c:v>3.25</c:v>
                </c:pt>
                <c:pt idx="39">
                  <c:v>3.3333333333333335</c:v>
                </c:pt>
                <c:pt idx="40">
                  <c:v>3.4166666666666665</c:v>
                </c:pt>
                <c:pt idx="41">
                  <c:v>3.5</c:v>
                </c:pt>
                <c:pt idx="42">
                  <c:v>3.5833333333333335</c:v>
                </c:pt>
                <c:pt idx="43">
                  <c:v>3.6666666666666665</c:v>
                </c:pt>
                <c:pt idx="44">
                  <c:v>3.75</c:v>
                </c:pt>
                <c:pt idx="45">
                  <c:v>3.8333333333333335</c:v>
                </c:pt>
                <c:pt idx="46">
                  <c:v>3.9166666666666665</c:v>
                </c:pt>
                <c:pt idx="47">
                  <c:v>4</c:v>
                </c:pt>
                <c:pt idx="48">
                  <c:v>4.083333333333333</c:v>
                </c:pt>
                <c:pt idx="49">
                  <c:v>4.166666666666667</c:v>
                </c:pt>
                <c:pt idx="50">
                  <c:v>4.25</c:v>
                </c:pt>
                <c:pt idx="51">
                  <c:v>4.333333333333333</c:v>
                </c:pt>
                <c:pt idx="52">
                  <c:v>4.416666666666667</c:v>
                </c:pt>
                <c:pt idx="53">
                  <c:v>4.5</c:v>
                </c:pt>
                <c:pt idx="54">
                  <c:v>4.583333333333333</c:v>
                </c:pt>
                <c:pt idx="55">
                  <c:v>4.666666666666667</c:v>
                </c:pt>
                <c:pt idx="56">
                  <c:v>4.75</c:v>
                </c:pt>
                <c:pt idx="57">
                  <c:v>4.833333333333333</c:v>
                </c:pt>
                <c:pt idx="58">
                  <c:v>4.916666666666667</c:v>
                </c:pt>
                <c:pt idx="59">
                  <c:v>5</c:v>
                </c:pt>
                <c:pt idx="60">
                  <c:v>5.083333333333333</c:v>
                </c:pt>
                <c:pt idx="61">
                  <c:v>5.166666666666667</c:v>
                </c:pt>
                <c:pt idx="62">
                  <c:v>5.25</c:v>
                </c:pt>
                <c:pt idx="63">
                  <c:v>5.333333333333333</c:v>
                </c:pt>
                <c:pt idx="64">
                  <c:v>5.416666666666667</c:v>
                </c:pt>
                <c:pt idx="65">
                  <c:v>5.5</c:v>
                </c:pt>
                <c:pt idx="66">
                  <c:v>5.583333333333333</c:v>
                </c:pt>
                <c:pt idx="67">
                  <c:v>5.666666666666667</c:v>
                </c:pt>
                <c:pt idx="68">
                  <c:v>5.75</c:v>
                </c:pt>
                <c:pt idx="69">
                  <c:v>5.833333333333333</c:v>
                </c:pt>
                <c:pt idx="70">
                  <c:v>5.916666666666667</c:v>
                </c:pt>
                <c:pt idx="71">
                  <c:v>6</c:v>
                </c:pt>
                <c:pt idx="72">
                  <c:v>6.083333333333333</c:v>
                </c:pt>
                <c:pt idx="73">
                  <c:v>6.166666666666667</c:v>
                </c:pt>
                <c:pt idx="74">
                  <c:v>6.25</c:v>
                </c:pt>
                <c:pt idx="75">
                  <c:v>6.333333333333333</c:v>
                </c:pt>
                <c:pt idx="76">
                  <c:v>6.416666666666667</c:v>
                </c:pt>
                <c:pt idx="77">
                  <c:v>6.5</c:v>
                </c:pt>
                <c:pt idx="78">
                  <c:v>6.583333333333333</c:v>
                </c:pt>
                <c:pt idx="79">
                  <c:v>6.666666666666667</c:v>
                </c:pt>
                <c:pt idx="80">
                  <c:v>6.75</c:v>
                </c:pt>
                <c:pt idx="81">
                  <c:v>6.833333333333333</c:v>
                </c:pt>
                <c:pt idx="82">
                  <c:v>6.916666666666667</c:v>
                </c:pt>
                <c:pt idx="83">
                  <c:v>7</c:v>
                </c:pt>
                <c:pt idx="84">
                  <c:v>7.083333333333333</c:v>
                </c:pt>
                <c:pt idx="85">
                  <c:v>7.166666666666667</c:v>
                </c:pt>
                <c:pt idx="86">
                  <c:v>7.25</c:v>
                </c:pt>
                <c:pt idx="87">
                  <c:v>7.333333333333333</c:v>
                </c:pt>
                <c:pt idx="88">
                  <c:v>7.416666666666667</c:v>
                </c:pt>
                <c:pt idx="89">
                  <c:v>7.5</c:v>
                </c:pt>
                <c:pt idx="90">
                  <c:v>7.583333333333333</c:v>
                </c:pt>
                <c:pt idx="91">
                  <c:v>7.666666666666667</c:v>
                </c:pt>
                <c:pt idx="92">
                  <c:v>7.75</c:v>
                </c:pt>
                <c:pt idx="93">
                  <c:v>7.833333333333333</c:v>
                </c:pt>
                <c:pt idx="94">
                  <c:v>7.916666666666667</c:v>
                </c:pt>
                <c:pt idx="95">
                  <c:v>8</c:v>
                </c:pt>
                <c:pt idx="96">
                  <c:v>8.0833333333333339</c:v>
                </c:pt>
                <c:pt idx="97">
                  <c:v>8.1666666666666661</c:v>
                </c:pt>
                <c:pt idx="98">
                  <c:v>8.25</c:v>
                </c:pt>
                <c:pt idx="99">
                  <c:v>8.3333333333333339</c:v>
                </c:pt>
                <c:pt idx="100">
                  <c:v>8.4166666666666661</c:v>
                </c:pt>
                <c:pt idx="101">
                  <c:v>8.5</c:v>
                </c:pt>
                <c:pt idx="102">
                  <c:v>8.5833333333333339</c:v>
                </c:pt>
                <c:pt idx="103">
                  <c:v>8.6666666666666661</c:v>
                </c:pt>
                <c:pt idx="104">
                  <c:v>8.75</c:v>
                </c:pt>
                <c:pt idx="105">
                  <c:v>8.8333333333333339</c:v>
                </c:pt>
                <c:pt idx="106">
                  <c:v>8.9166666666666661</c:v>
                </c:pt>
                <c:pt idx="107">
                  <c:v>9</c:v>
                </c:pt>
                <c:pt idx="108">
                  <c:v>9.0833333333333339</c:v>
                </c:pt>
                <c:pt idx="109">
                  <c:v>9.1666666666666661</c:v>
                </c:pt>
                <c:pt idx="110">
                  <c:v>9.25</c:v>
                </c:pt>
                <c:pt idx="111">
                  <c:v>9.3333333333333339</c:v>
                </c:pt>
                <c:pt idx="112">
                  <c:v>9.4166666666666661</c:v>
                </c:pt>
                <c:pt idx="113">
                  <c:v>9.5</c:v>
                </c:pt>
                <c:pt idx="114">
                  <c:v>9.5833333333333339</c:v>
                </c:pt>
                <c:pt idx="115">
                  <c:v>9.6666666666666661</c:v>
                </c:pt>
                <c:pt idx="116">
                  <c:v>9.75</c:v>
                </c:pt>
                <c:pt idx="117">
                  <c:v>9.8333333333333339</c:v>
                </c:pt>
                <c:pt idx="118">
                  <c:v>9.9166666666666661</c:v>
                </c:pt>
                <c:pt idx="119">
                  <c:v>10</c:v>
                </c:pt>
                <c:pt idx="120">
                  <c:v>10.083333333333334</c:v>
                </c:pt>
                <c:pt idx="121">
                  <c:v>10.166666666666666</c:v>
                </c:pt>
                <c:pt idx="122">
                  <c:v>10.25</c:v>
                </c:pt>
                <c:pt idx="123">
                  <c:v>10.333333333333334</c:v>
                </c:pt>
                <c:pt idx="124">
                  <c:v>10.416666666666666</c:v>
                </c:pt>
                <c:pt idx="125">
                  <c:v>10.5</c:v>
                </c:pt>
                <c:pt idx="126">
                  <c:v>10.583333333333334</c:v>
                </c:pt>
                <c:pt idx="127">
                  <c:v>10.666666666666666</c:v>
                </c:pt>
                <c:pt idx="128">
                  <c:v>10.75</c:v>
                </c:pt>
                <c:pt idx="129">
                  <c:v>10.833333333333334</c:v>
                </c:pt>
                <c:pt idx="130">
                  <c:v>10.916666666666666</c:v>
                </c:pt>
                <c:pt idx="131">
                  <c:v>11</c:v>
                </c:pt>
                <c:pt idx="132">
                  <c:v>11.083333333333334</c:v>
                </c:pt>
                <c:pt idx="133">
                  <c:v>11.166666666666666</c:v>
                </c:pt>
                <c:pt idx="134">
                  <c:v>11.25</c:v>
                </c:pt>
                <c:pt idx="135">
                  <c:v>11.333333333333334</c:v>
                </c:pt>
                <c:pt idx="136">
                  <c:v>11.416666666666666</c:v>
                </c:pt>
                <c:pt idx="137">
                  <c:v>11.5</c:v>
                </c:pt>
                <c:pt idx="138">
                  <c:v>11.583333333333334</c:v>
                </c:pt>
                <c:pt idx="139">
                  <c:v>11.666666666666666</c:v>
                </c:pt>
                <c:pt idx="140">
                  <c:v>11.75</c:v>
                </c:pt>
                <c:pt idx="141">
                  <c:v>11.833333333333334</c:v>
                </c:pt>
                <c:pt idx="142">
                  <c:v>11.916666666666666</c:v>
                </c:pt>
                <c:pt idx="143">
                  <c:v>12</c:v>
                </c:pt>
                <c:pt idx="144">
                  <c:v>12.083333333333334</c:v>
                </c:pt>
                <c:pt idx="145">
                  <c:v>12.166666666666666</c:v>
                </c:pt>
                <c:pt idx="146">
                  <c:v>12.25</c:v>
                </c:pt>
                <c:pt idx="147">
                  <c:v>12.333333333333334</c:v>
                </c:pt>
                <c:pt idx="148">
                  <c:v>12.416666666666666</c:v>
                </c:pt>
                <c:pt idx="149">
                  <c:v>12.5</c:v>
                </c:pt>
                <c:pt idx="150">
                  <c:v>12.583333333333334</c:v>
                </c:pt>
                <c:pt idx="151">
                  <c:v>12.666666666666666</c:v>
                </c:pt>
                <c:pt idx="152">
                  <c:v>12.75</c:v>
                </c:pt>
                <c:pt idx="153">
                  <c:v>12.833333333333334</c:v>
                </c:pt>
                <c:pt idx="154">
                  <c:v>12.916666666666666</c:v>
                </c:pt>
                <c:pt idx="155">
                  <c:v>13</c:v>
                </c:pt>
                <c:pt idx="156">
                  <c:v>13.083333333333334</c:v>
                </c:pt>
                <c:pt idx="157">
                  <c:v>13.166666666666666</c:v>
                </c:pt>
                <c:pt idx="158">
                  <c:v>13.25</c:v>
                </c:pt>
                <c:pt idx="159">
                  <c:v>13.333333333333334</c:v>
                </c:pt>
                <c:pt idx="160">
                  <c:v>13.416666666666666</c:v>
                </c:pt>
                <c:pt idx="161">
                  <c:v>13.5</c:v>
                </c:pt>
                <c:pt idx="162">
                  <c:v>13.583333333333334</c:v>
                </c:pt>
                <c:pt idx="163">
                  <c:v>13.666666666666666</c:v>
                </c:pt>
                <c:pt idx="164">
                  <c:v>13.75</c:v>
                </c:pt>
                <c:pt idx="165">
                  <c:v>13.833333333333334</c:v>
                </c:pt>
                <c:pt idx="166">
                  <c:v>13.916666666666666</c:v>
                </c:pt>
                <c:pt idx="167">
                  <c:v>14</c:v>
                </c:pt>
                <c:pt idx="168">
                  <c:v>14.083333333333334</c:v>
                </c:pt>
                <c:pt idx="169">
                  <c:v>14.166666666666666</c:v>
                </c:pt>
                <c:pt idx="170">
                  <c:v>14.25</c:v>
                </c:pt>
                <c:pt idx="171">
                  <c:v>14.333333333333334</c:v>
                </c:pt>
                <c:pt idx="172">
                  <c:v>14.416666666666666</c:v>
                </c:pt>
                <c:pt idx="173">
                  <c:v>14.5</c:v>
                </c:pt>
                <c:pt idx="174">
                  <c:v>14.583333333333334</c:v>
                </c:pt>
                <c:pt idx="175">
                  <c:v>14.666666666666666</c:v>
                </c:pt>
                <c:pt idx="176">
                  <c:v>14.75</c:v>
                </c:pt>
                <c:pt idx="177">
                  <c:v>14.833333333333334</c:v>
                </c:pt>
                <c:pt idx="178">
                  <c:v>14.916666666666666</c:v>
                </c:pt>
                <c:pt idx="179">
                  <c:v>15</c:v>
                </c:pt>
                <c:pt idx="180">
                  <c:v>15.083333333333334</c:v>
                </c:pt>
                <c:pt idx="181">
                  <c:v>15.166666666666666</c:v>
                </c:pt>
                <c:pt idx="182">
                  <c:v>15.25</c:v>
                </c:pt>
                <c:pt idx="183">
                  <c:v>15.333333333333334</c:v>
                </c:pt>
                <c:pt idx="184">
                  <c:v>15.416666666666666</c:v>
                </c:pt>
                <c:pt idx="185">
                  <c:v>15.5</c:v>
                </c:pt>
                <c:pt idx="186">
                  <c:v>15.583333333333334</c:v>
                </c:pt>
                <c:pt idx="187">
                  <c:v>15.666666666666666</c:v>
                </c:pt>
                <c:pt idx="188">
                  <c:v>15.75</c:v>
                </c:pt>
                <c:pt idx="189">
                  <c:v>15.833333333333334</c:v>
                </c:pt>
                <c:pt idx="190">
                  <c:v>15.916666666666666</c:v>
                </c:pt>
                <c:pt idx="191">
                  <c:v>16</c:v>
                </c:pt>
                <c:pt idx="192">
                  <c:v>16.083333333333332</c:v>
                </c:pt>
                <c:pt idx="193">
                  <c:v>16.166666666666668</c:v>
                </c:pt>
                <c:pt idx="194">
                  <c:v>16.25</c:v>
                </c:pt>
                <c:pt idx="195">
                  <c:v>16.333333333333332</c:v>
                </c:pt>
                <c:pt idx="196">
                  <c:v>16.416666666666668</c:v>
                </c:pt>
                <c:pt idx="197">
                  <c:v>16.5</c:v>
                </c:pt>
                <c:pt idx="198">
                  <c:v>16.583333333333332</c:v>
                </c:pt>
                <c:pt idx="199">
                  <c:v>16.666666666666668</c:v>
                </c:pt>
                <c:pt idx="200">
                  <c:v>16.75</c:v>
                </c:pt>
                <c:pt idx="201">
                  <c:v>16.833333333333332</c:v>
                </c:pt>
                <c:pt idx="202">
                  <c:v>16.916666666666668</c:v>
                </c:pt>
                <c:pt idx="203">
                  <c:v>17</c:v>
                </c:pt>
                <c:pt idx="204">
                  <c:v>17.083333333333332</c:v>
                </c:pt>
                <c:pt idx="205">
                  <c:v>17.166666666666668</c:v>
                </c:pt>
                <c:pt idx="206">
                  <c:v>17.25</c:v>
                </c:pt>
                <c:pt idx="207">
                  <c:v>17.333333333333332</c:v>
                </c:pt>
                <c:pt idx="208">
                  <c:v>17.416666666666668</c:v>
                </c:pt>
                <c:pt idx="209">
                  <c:v>17.5</c:v>
                </c:pt>
                <c:pt idx="210">
                  <c:v>17.583333333333332</c:v>
                </c:pt>
                <c:pt idx="211">
                  <c:v>17.666666666666668</c:v>
                </c:pt>
                <c:pt idx="212">
                  <c:v>17.75</c:v>
                </c:pt>
                <c:pt idx="213">
                  <c:v>17.833333333333332</c:v>
                </c:pt>
                <c:pt idx="214">
                  <c:v>17.916666666666668</c:v>
                </c:pt>
                <c:pt idx="215">
                  <c:v>18</c:v>
                </c:pt>
                <c:pt idx="216">
                  <c:v>18.083333333333332</c:v>
                </c:pt>
                <c:pt idx="217">
                  <c:v>18.166666666666668</c:v>
                </c:pt>
                <c:pt idx="218">
                  <c:v>18.25</c:v>
                </c:pt>
                <c:pt idx="219">
                  <c:v>18.333333333333332</c:v>
                </c:pt>
                <c:pt idx="220">
                  <c:v>18.416666666666668</c:v>
                </c:pt>
                <c:pt idx="221">
                  <c:v>18.5</c:v>
                </c:pt>
                <c:pt idx="222">
                  <c:v>18.583333333333332</c:v>
                </c:pt>
                <c:pt idx="223">
                  <c:v>18.666666666666668</c:v>
                </c:pt>
                <c:pt idx="224">
                  <c:v>18.75</c:v>
                </c:pt>
                <c:pt idx="225">
                  <c:v>18.833333333333332</c:v>
                </c:pt>
                <c:pt idx="226">
                  <c:v>18.916666666666668</c:v>
                </c:pt>
                <c:pt idx="227">
                  <c:v>19</c:v>
                </c:pt>
                <c:pt idx="228">
                  <c:v>19.083333333333332</c:v>
                </c:pt>
                <c:pt idx="229">
                  <c:v>19.166666666666668</c:v>
                </c:pt>
                <c:pt idx="230">
                  <c:v>19.25</c:v>
                </c:pt>
                <c:pt idx="231">
                  <c:v>19.333333333333332</c:v>
                </c:pt>
                <c:pt idx="232">
                  <c:v>19.416666666666668</c:v>
                </c:pt>
                <c:pt idx="233">
                  <c:v>19.5</c:v>
                </c:pt>
                <c:pt idx="234">
                  <c:v>19.583333333333332</c:v>
                </c:pt>
                <c:pt idx="235">
                  <c:v>19.666666666666668</c:v>
                </c:pt>
                <c:pt idx="236">
                  <c:v>19.75</c:v>
                </c:pt>
                <c:pt idx="237">
                  <c:v>19.833333333333332</c:v>
                </c:pt>
                <c:pt idx="238">
                  <c:v>19.916666666666668</c:v>
                </c:pt>
                <c:pt idx="239">
                  <c:v>20</c:v>
                </c:pt>
                <c:pt idx="240">
                  <c:v>20.083333333333332</c:v>
                </c:pt>
                <c:pt idx="241">
                  <c:v>20.166666666666668</c:v>
                </c:pt>
                <c:pt idx="242">
                  <c:v>20.25</c:v>
                </c:pt>
                <c:pt idx="243">
                  <c:v>20.333333333333332</c:v>
                </c:pt>
                <c:pt idx="244">
                  <c:v>20.416666666666668</c:v>
                </c:pt>
                <c:pt idx="245">
                  <c:v>20.5</c:v>
                </c:pt>
                <c:pt idx="246">
                  <c:v>20.583333333333332</c:v>
                </c:pt>
                <c:pt idx="247">
                  <c:v>20.666666666666668</c:v>
                </c:pt>
                <c:pt idx="248">
                  <c:v>20.75</c:v>
                </c:pt>
                <c:pt idx="249">
                  <c:v>20.833333333333332</c:v>
                </c:pt>
                <c:pt idx="250">
                  <c:v>20.916666666666668</c:v>
                </c:pt>
                <c:pt idx="251">
                  <c:v>21</c:v>
                </c:pt>
                <c:pt idx="252">
                  <c:v>21.083333333333332</c:v>
                </c:pt>
                <c:pt idx="253">
                  <c:v>21.166666666666668</c:v>
                </c:pt>
                <c:pt idx="254">
                  <c:v>21.25</c:v>
                </c:pt>
                <c:pt idx="255">
                  <c:v>21.333333333333332</c:v>
                </c:pt>
                <c:pt idx="256">
                  <c:v>21.416666666666668</c:v>
                </c:pt>
                <c:pt idx="257">
                  <c:v>21.5</c:v>
                </c:pt>
                <c:pt idx="258">
                  <c:v>21.583333333333332</c:v>
                </c:pt>
                <c:pt idx="259">
                  <c:v>21.666666666666668</c:v>
                </c:pt>
                <c:pt idx="260">
                  <c:v>21.75</c:v>
                </c:pt>
                <c:pt idx="261">
                  <c:v>21.833333333333332</c:v>
                </c:pt>
                <c:pt idx="262">
                  <c:v>21.916666666666668</c:v>
                </c:pt>
                <c:pt idx="263">
                  <c:v>22</c:v>
                </c:pt>
                <c:pt idx="264">
                  <c:v>22.083333333333332</c:v>
                </c:pt>
                <c:pt idx="265">
                  <c:v>22.166666666666668</c:v>
                </c:pt>
                <c:pt idx="266">
                  <c:v>22.25</c:v>
                </c:pt>
                <c:pt idx="267">
                  <c:v>22.333333333333332</c:v>
                </c:pt>
                <c:pt idx="268">
                  <c:v>22.416666666666668</c:v>
                </c:pt>
                <c:pt idx="269">
                  <c:v>22.5</c:v>
                </c:pt>
                <c:pt idx="270">
                  <c:v>22.583333333333332</c:v>
                </c:pt>
                <c:pt idx="271">
                  <c:v>22.666666666666668</c:v>
                </c:pt>
                <c:pt idx="272">
                  <c:v>22.75</c:v>
                </c:pt>
                <c:pt idx="273">
                  <c:v>22.833333333333332</c:v>
                </c:pt>
                <c:pt idx="274">
                  <c:v>22.916666666666668</c:v>
                </c:pt>
                <c:pt idx="275">
                  <c:v>23</c:v>
                </c:pt>
                <c:pt idx="276">
                  <c:v>23.083333333333332</c:v>
                </c:pt>
                <c:pt idx="277">
                  <c:v>23.166666666666668</c:v>
                </c:pt>
                <c:pt idx="278">
                  <c:v>23.25</c:v>
                </c:pt>
                <c:pt idx="279">
                  <c:v>23.333333333333332</c:v>
                </c:pt>
                <c:pt idx="280">
                  <c:v>23.416666666666668</c:v>
                </c:pt>
                <c:pt idx="281">
                  <c:v>23.5</c:v>
                </c:pt>
                <c:pt idx="282">
                  <c:v>23.583333333333332</c:v>
                </c:pt>
                <c:pt idx="283">
                  <c:v>23.666666666666668</c:v>
                </c:pt>
                <c:pt idx="284">
                  <c:v>23.75</c:v>
                </c:pt>
                <c:pt idx="285">
                  <c:v>23.833333333333332</c:v>
                </c:pt>
                <c:pt idx="286">
                  <c:v>23.916666666666668</c:v>
                </c:pt>
                <c:pt idx="287">
                  <c:v>24</c:v>
                </c:pt>
                <c:pt idx="288">
                  <c:v>24.083333333333332</c:v>
                </c:pt>
                <c:pt idx="289">
                  <c:v>24.166666666666668</c:v>
                </c:pt>
                <c:pt idx="290">
                  <c:v>24.25</c:v>
                </c:pt>
                <c:pt idx="291">
                  <c:v>24.333333333333332</c:v>
                </c:pt>
                <c:pt idx="292">
                  <c:v>24.416666666666668</c:v>
                </c:pt>
                <c:pt idx="293">
                  <c:v>24.5</c:v>
                </c:pt>
                <c:pt idx="294">
                  <c:v>24.583333333333332</c:v>
                </c:pt>
                <c:pt idx="295">
                  <c:v>24.666666666666668</c:v>
                </c:pt>
                <c:pt idx="296">
                  <c:v>24.75</c:v>
                </c:pt>
                <c:pt idx="297">
                  <c:v>24.833333333333332</c:v>
                </c:pt>
                <c:pt idx="298">
                  <c:v>24.916666666666668</c:v>
                </c:pt>
                <c:pt idx="299">
                  <c:v>25</c:v>
                </c:pt>
                <c:pt idx="300">
                  <c:v>25.083333333333332</c:v>
                </c:pt>
                <c:pt idx="301">
                  <c:v>25.166666666666668</c:v>
                </c:pt>
                <c:pt idx="302">
                  <c:v>25.25</c:v>
                </c:pt>
                <c:pt idx="303">
                  <c:v>25.333333333333332</c:v>
                </c:pt>
                <c:pt idx="304">
                  <c:v>25.416666666666668</c:v>
                </c:pt>
                <c:pt idx="305">
                  <c:v>25.5</c:v>
                </c:pt>
                <c:pt idx="306">
                  <c:v>25.583333333333332</c:v>
                </c:pt>
                <c:pt idx="307">
                  <c:v>25.666666666666668</c:v>
                </c:pt>
                <c:pt idx="308">
                  <c:v>25.75</c:v>
                </c:pt>
                <c:pt idx="309">
                  <c:v>25.833333333333332</c:v>
                </c:pt>
                <c:pt idx="310">
                  <c:v>25.916666666666668</c:v>
                </c:pt>
                <c:pt idx="311">
                  <c:v>26</c:v>
                </c:pt>
                <c:pt idx="312">
                  <c:v>26.083333333333332</c:v>
                </c:pt>
                <c:pt idx="313">
                  <c:v>26.166666666666668</c:v>
                </c:pt>
                <c:pt idx="314">
                  <c:v>26.25</c:v>
                </c:pt>
                <c:pt idx="315">
                  <c:v>26.333333333333332</c:v>
                </c:pt>
                <c:pt idx="316">
                  <c:v>26.416666666666668</c:v>
                </c:pt>
                <c:pt idx="317">
                  <c:v>26.5</c:v>
                </c:pt>
                <c:pt idx="318">
                  <c:v>26.583333333333332</c:v>
                </c:pt>
                <c:pt idx="319">
                  <c:v>26.666666666666668</c:v>
                </c:pt>
                <c:pt idx="320">
                  <c:v>26.75</c:v>
                </c:pt>
                <c:pt idx="321">
                  <c:v>26.833333333333332</c:v>
                </c:pt>
                <c:pt idx="322">
                  <c:v>26.916666666666668</c:v>
                </c:pt>
                <c:pt idx="323">
                  <c:v>27</c:v>
                </c:pt>
                <c:pt idx="324">
                  <c:v>27.083333333333332</c:v>
                </c:pt>
                <c:pt idx="325">
                  <c:v>27.166666666666668</c:v>
                </c:pt>
                <c:pt idx="326">
                  <c:v>27.25</c:v>
                </c:pt>
                <c:pt idx="327">
                  <c:v>27.333333333333332</c:v>
                </c:pt>
                <c:pt idx="328">
                  <c:v>27.416666666666668</c:v>
                </c:pt>
                <c:pt idx="329">
                  <c:v>27.5</c:v>
                </c:pt>
                <c:pt idx="330">
                  <c:v>27.583333333333332</c:v>
                </c:pt>
                <c:pt idx="331">
                  <c:v>27.666666666666668</c:v>
                </c:pt>
                <c:pt idx="332">
                  <c:v>27.75</c:v>
                </c:pt>
                <c:pt idx="333">
                  <c:v>27.833333333333332</c:v>
                </c:pt>
                <c:pt idx="334">
                  <c:v>27.916666666666668</c:v>
                </c:pt>
                <c:pt idx="335">
                  <c:v>28</c:v>
                </c:pt>
                <c:pt idx="336">
                  <c:v>28.083333333333332</c:v>
                </c:pt>
                <c:pt idx="337">
                  <c:v>28.166666666666668</c:v>
                </c:pt>
                <c:pt idx="338">
                  <c:v>28.25</c:v>
                </c:pt>
                <c:pt idx="339">
                  <c:v>28.333333333333332</c:v>
                </c:pt>
                <c:pt idx="340">
                  <c:v>28.416666666666668</c:v>
                </c:pt>
                <c:pt idx="341">
                  <c:v>28.5</c:v>
                </c:pt>
                <c:pt idx="342">
                  <c:v>28.583333333333332</c:v>
                </c:pt>
                <c:pt idx="343">
                  <c:v>28.666666666666668</c:v>
                </c:pt>
                <c:pt idx="344">
                  <c:v>28.75</c:v>
                </c:pt>
                <c:pt idx="345">
                  <c:v>28.833333333333332</c:v>
                </c:pt>
                <c:pt idx="346">
                  <c:v>28.916666666666668</c:v>
                </c:pt>
                <c:pt idx="347">
                  <c:v>29</c:v>
                </c:pt>
                <c:pt idx="348">
                  <c:v>29.083333333333332</c:v>
                </c:pt>
                <c:pt idx="349">
                  <c:v>29.166666666666668</c:v>
                </c:pt>
                <c:pt idx="350">
                  <c:v>29.25</c:v>
                </c:pt>
                <c:pt idx="351">
                  <c:v>29.333333333333332</c:v>
                </c:pt>
                <c:pt idx="352">
                  <c:v>29.416666666666668</c:v>
                </c:pt>
                <c:pt idx="353">
                  <c:v>29.5</c:v>
                </c:pt>
                <c:pt idx="354">
                  <c:v>29.583333333333332</c:v>
                </c:pt>
                <c:pt idx="355">
                  <c:v>29.666666666666668</c:v>
                </c:pt>
                <c:pt idx="356">
                  <c:v>29.75</c:v>
                </c:pt>
                <c:pt idx="357">
                  <c:v>29.833333333333332</c:v>
                </c:pt>
                <c:pt idx="358">
                  <c:v>29.916666666666668</c:v>
                </c:pt>
                <c:pt idx="359">
                  <c:v>30</c:v>
                </c:pt>
                <c:pt idx="360">
                  <c:v>30.083333333333332</c:v>
                </c:pt>
                <c:pt idx="361">
                  <c:v>30.166666666666668</c:v>
                </c:pt>
                <c:pt idx="362">
                  <c:v>30.25</c:v>
                </c:pt>
                <c:pt idx="363">
                  <c:v>30.333333333333332</c:v>
                </c:pt>
                <c:pt idx="364">
                  <c:v>30.416666666666668</c:v>
                </c:pt>
                <c:pt idx="365">
                  <c:v>30.5</c:v>
                </c:pt>
                <c:pt idx="366">
                  <c:v>30.583333333333332</c:v>
                </c:pt>
                <c:pt idx="367">
                  <c:v>30.666666666666668</c:v>
                </c:pt>
                <c:pt idx="368">
                  <c:v>30.75</c:v>
                </c:pt>
                <c:pt idx="369">
                  <c:v>30.833333333333332</c:v>
                </c:pt>
                <c:pt idx="370">
                  <c:v>30.916666666666668</c:v>
                </c:pt>
                <c:pt idx="371">
                  <c:v>31</c:v>
                </c:pt>
                <c:pt idx="372">
                  <c:v>31.083333333333332</c:v>
                </c:pt>
                <c:pt idx="373">
                  <c:v>31.166666666666668</c:v>
                </c:pt>
                <c:pt idx="374">
                  <c:v>31.25</c:v>
                </c:pt>
                <c:pt idx="375">
                  <c:v>31.333333333333332</c:v>
                </c:pt>
                <c:pt idx="376">
                  <c:v>31.416666666666668</c:v>
                </c:pt>
                <c:pt idx="377">
                  <c:v>31.5</c:v>
                </c:pt>
                <c:pt idx="378">
                  <c:v>31.583333333333332</c:v>
                </c:pt>
                <c:pt idx="379">
                  <c:v>31.666666666666668</c:v>
                </c:pt>
                <c:pt idx="380">
                  <c:v>31.75</c:v>
                </c:pt>
                <c:pt idx="381">
                  <c:v>31.833333333333332</c:v>
                </c:pt>
                <c:pt idx="382">
                  <c:v>31.916666666666668</c:v>
                </c:pt>
                <c:pt idx="383">
                  <c:v>32</c:v>
                </c:pt>
                <c:pt idx="384">
                  <c:v>32.083333333333336</c:v>
                </c:pt>
                <c:pt idx="385">
                  <c:v>32.166666666666664</c:v>
                </c:pt>
                <c:pt idx="386">
                  <c:v>32.25</c:v>
                </c:pt>
                <c:pt idx="387">
                  <c:v>32.333333333333336</c:v>
                </c:pt>
                <c:pt idx="388">
                  <c:v>32.416666666666664</c:v>
                </c:pt>
                <c:pt idx="389">
                  <c:v>32.5</c:v>
                </c:pt>
                <c:pt idx="390">
                  <c:v>32.583333333333336</c:v>
                </c:pt>
                <c:pt idx="391">
                  <c:v>32.666666666666664</c:v>
                </c:pt>
                <c:pt idx="392">
                  <c:v>32.75</c:v>
                </c:pt>
                <c:pt idx="393">
                  <c:v>32.833333333333336</c:v>
                </c:pt>
                <c:pt idx="394">
                  <c:v>32.916666666666664</c:v>
                </c:pt>
                <c:pt idx="395">
                  <c:v>33</c:v>
                </c:pt>
                <c:pt idx="396">
                  <c:v>33.083333333333336</c:v>
                </c:pt>
                <c:pt idx="397">
                  <c:v>33.166666666666664</c:v>
                </c:pt>
                <c:pt idx="398">
                  <c:v>33.25</c:v>
                </c:pt>
                <c:pt idx="399">
                  <c:v>33.333333333333336</c:v>
                </c:pt>
                <c:pt idx="400">
                  <c:v>33.416666666666664</c:v>
                </c:pt>
                <c:pt idx="401">
                  <c:v>33.5</c:v>
                </c:pt>
                <c:pt idx="402">
                  <c:v>33.583333333333336</c:v>
                </c:pt>
                <c:pt idx="403">
                  <c:v>33.666666666666664</c:v>
                </c:pt>
                <c:pt idx="404">
                  <c:v>33.75</c:v>
                </c:pt>
                <c:pt idx="405">
                  <c:v>33.833333333333336</c:v>
                </c:pt>
                <c:pt idx="406">
                  <c:v>33.916666666666664</c:v>
                </c:pt>
                <c:pt idx="407">
                  <c:v>34</c:v>
                </c:pt>
                <c:pt idx="408">
                  <c:v>34.083333333333336</c:v>
                </c:pt>
                <c:pt idx="409">
                  <c:v>34.166666666666664</c:v>
                </c:pt>
                <c:pt idx="410">
                  <c:v>34.25</c:v>
                </c:pt>
                <c:pt idx="411">
                  <c:v>34.333333333333336</c:v>
                </c:pt>
                <c:pt idx="412">
                  <c:v>34.416666666666664</c:v>
                </c:pt>
                <c:pt idx="413">
                  <c:v>34.5</c:v>
                </c:pt>
                <c:pt idx="414">
                  <c:v>34.583333333333336</c:v>
                </c:pt>
                <c:pt idx="415">
                  <c:v>34.666666666666664</c:v>
                </c:pt>
                <c:pt idx="416">
                  <c:v>34.75</c:v>
                </c:pt>
                <c:pt idx="417">
                  <c:v>34.833333333333336</c:v>
                </c:pt>
                <c:pt idx="418">
                  <c:v>34.916666666666664</c:v>
                </c:pt>
                <c:pt idx="419">
                  <c:v>35</c:v>
                </c:pt>
                <c:pt idx="420">
                  <c:v>35.083333333333336</c:v>
                </c:pt>
                <c:pt idx="421">
                  <c:v>35.166666666666664</c:v>
                </c:pt>
                <c:pt idx="422">
                  <c:v>35.25</c:v>
                </c:pt>
                <c:pt idx="423">
                  <c:v>35.333333333333336</c:v>
                </c:pt>
                <c:pt idx="424">
                  <c:v>35.416666666666664</c:v>
                </c:pt>
                <c:pt idx="425">
                  <c:v>35.5</c:v>
                </c:pt>
                <c:pt idx="426">
                  <c:v>35.583333333333336</c:v>
                </c:pt>
                <c:pt idx="427">
                  <c:v>35.666666666666664</c:v>
                </c:pt>
                <c:pt idx="428">
                  <c:v>35.75</c:v>
                </c:pt>
                <c:pt idx="429">
                  <c:v>35.833333333333336</c:v>
                </c:pt>
                <c:pt idx="430">
                  <c:v>35.916666666666664</c:v>
                </c:pt>
                <c:pt idx="431">
                  <c:v>36</c:v>
                </c:pt>
                <c:pt idx="432">
                  <c:v>36.083333333333336</c:v>
                </c:pt>
                <c:pt idx="433">
                  <c:v>36.166666666666664</c:v>
                </c:pt>
                <c:pt idx="434">
                  <c:v>36.25</c:v>
                </c:pt>
                <c:pt idx="435">
                  <c:v>36.333333333333336</c:v>
                </c:pt>
                <c:pt idx="436">
                  <c:v>36.416666666666664</c:v>
                </c:pt>
                <c:pt idx="437">
                  <c:v>36.5</c:v>
                </c:pt>
                <c:pt idx="438">
                  <c:v>36.583333333333336</c:v>
                </c:pt>
                <c:pt idx="439">
                  <c:v>36.666666666666664</c:v>
                </c:pt>
                <c:pt idx="440">
                  <c:v>36.75</c:v>
                </c:pt>
                <c:pt idx="441">
                  <c:v>36.833333333333336</c:v>
                </c:pt>
                <c:pt idx="442">
                  <c:v>36.916666666666664</c:v>
                </c:pt>
                <c:pt idx="443">
                  <c:v>37</c:v>
                </c:pt>
                <c:pt idx="444">
                  <c:v>37.083333333333336</c:v>
                </c:pt>
                <c:pt idx="445">
                  <c:v>37.166666666666664</c:v>
                </c:pt>
                <c:pt idx="446">
                  <c:v>37.25</c:v>
                </c:pt>
                <c:pt idx="447">
                  <c:v>37.333333333333336</c:v>
                </c:pt>
                <c:pt idx="448">
                  <c:v>37.416666666666664</c:v>
                </c:pt>
                <c:pt idx="449">
                  <c:v>37.5</c:v>
                </c:pt>
                <c:pt idx="450">
                  <c:v>37.583333333333336</c:v>
                </c:pt>
                <c:pt idx="451">
                  <c:v>37.666666666666664</c:v>
                </c:pt>
                <c:pt idx="452">
                  <c:v>37.75</c:v>
                </c:pt>
                <c:pt idx="453">
                  <c:v>37.833333333333336</c:v>
                </c:pt>
                <c:pt idx="454">
                  <c:v>37.916666666666664</c:v>
                </c:pt>
                <c:pt idx="455">
                  <c:v>38</c:v>
                </c:pt>
                <c:pt idx="456">
                  <c:v>38.083333333333336</c:v>
                </c:pt>
                <c:pt idx="457">
                  <c:v>38.166666666666664</c:v>
                </c:pt>
                <c:pt idx="458">
                  <c:v>38.25</c:v>
                </c:pt>
                <c:pt idx="459">
                  <c:v>38.333333333333336</c:v>
                </c:pt>
                <c:pt idx="460">
                  <c:v>38.416666666666664</c:v>
                </c:pt>
                <c:pt idx="461">
                  <c:v>38.5</c:v>
                </c:pt>
                <c:pt idx="462">
                  <c:v>38.583333333333336</c:v>
                </c:pt>
                <c:pt idx="463">
                  <c:v>38.666666666666664</c:v>
                </c:pt>
                <c:pt idx="464">
                  <c:v>38.75</c:v>
                </c:pt>
                <c:pt idx="465">
                  <c:v>38.833333333333336</c:v>
                </c:pt>
                <c:pt idx="466">
                  <c:v>38.916666666666664</c:v>
                </c:pt>
                <c:pt idx="467">
                  <c:v>39</c:v>
                </c:pt>
                <c:pt idx="468">
                  <c:v>39.083333333333336</c:v>
                </c:pt>
                <c:pt idx="469">
                  <c:v>39.166666666666664</c:v>
                </c:pt>
                <c:pt idx="470">
                  <c:v>39.25</c:v>
                </c:pt>
                <c:pt idx="471">
                  <c:v>39.333333333333336</c:v>
                </c:pt>
                <c:pt idx="472">
                  <c:v>39.416666666666664</c:v>
                </c:pt>
                <c:pt idx="473">
                  <c:v>39.5</c:v>
                </c:pt>
                <c:pt idx="474">
                  <c:v>39.583333333333336</c:v>
                </c:pt>
                <c:pt idx="475">
                  <c:v>39.666666666666664</c:v>
                </c:pt>
                <c:pt idx="476">
                  <c:v>39.75</c:v>
                </c:pt>
                <c:pt idx="477">
                  <c:v>39.833333333333336</c:v>
                </c:pt>
                <c:pt idx="478">
                  <c:v>39.916666666666664</c:v>
                </c:pt>
                <c:pt idx="479">
                  <c:v>40</c:v>
                </c:pt>
              </c:numCache>
            </c:numRef>
          </c:xVal>
          <c:yVal>
            <c:numRef>
              <c:f>'Figures B1-B3'!$E$20:$RP$20</c:f>
              <c:numCache>
                <c:formatCode>#,##0.0</c:formatCode>
                <c:ptCount val="480"/>
                <c:pt idx="0">
                  <c:v>8.5544570688243271E-6</c:v>
                </c:pt>
                <c:pt idx="1">
                  <c:v>6.8008465527976102E-5</c:v>
                </c:pt>
                <c:pt idx="2">
                  <c:v>2.2809679712868013E-4</c:v>
                </c:pt>
                <c:pt idx="3">
                  <c:v>5.3730357085554029E-4</c:v>
                </c:pt>
                <c:pt idx="4">
                  <c:v>1.0428839694930018E-3</c:v>
                </c:pt>
                <c:pt idx="5">
                  <c:v>1.7908856308893263E-3</c:v>
                </c:pt>
                <c:pt idx="6">
                  <c:v>2.8261697184418129E-3</c:v>
                </c:pt>
                <c:pt idx="7">
                  <c:v>4.192431675266812E-3</c:v>
                </c:pt>
                <c:pt idx="8">
                  <c:v>5.9322216664580707E-3</c:v>
                </c:pt>
                <c:pt idx="9">
                  <c:v>8.0869647137792496E-3</c:v>
                </c:pt>
                <c:pt idx="10">
                  <c:v>1.0696980527076586E-2</c:v>
                </c:pt>
                <c:pt idx="11">
                  <c:v>1.3801503036642727E-2</c:v>
                </c:pt>
                <c:pt idx="12">
                  <c:v>1.7438699630704126E-2</c:v>
                </c:pt>
                <c:pt idx="13">
                  <c:v>2.1645690102150235E-2</c:v>
                </c:pt>
                <c:pt idx="14">
                  <c:v>2.6458565308565586E-2</c:v>
                </c:pt>
                <c:pt idx="15">
                  <c:v>3.1912405549575487E-2</c:v>
                </c:pt>
                <c:pt idx="16">
                  <c:v>3.8041298665456802E-2</c:v>
                </c:pt>
                <c:pt idx="17">
                  <c:v>4.4878357860917865E-2</c:v>
                </c:pt>
                <c:pt idx="18">
                  <c:v>5.2455739257894866E-2</c:v>
                </c:pt>
                <c:pt idx="19">
                  <c:v>6.080465918116422E-2</c:v>
                </c:pt>
                <c:pt idx="20">
                  <c:v>6.9955411180516527E-2</c:v>
                </c:pt>
                <c:pt idx="21">
                  <c:v>7.9937382793190237E-2</c:v>
                </c:pt>
                <c:pt idx="22">
                  <c:v>9.0779072050210241E-2</c:v>
                </c:pt>
                <c:pt idx="23">
                  <c:v>0.10250810373022921</c:v>
                </c:pt>
                <c:pt idx="24">
                  <c:v>0.1151512453644276</c:v>
                </c:pt>
                <c:pt idx="25">
                  <c:v>0.12873442299596394</c:v>
                </c:pt>
                <c:pt idx="26">
                  <c:v>0.14328273669744057</c:v>
                </c:pt>
                <c:pt idx="27">
                  <c:v>0.15882047584978901</c:v>
                </c:pt>
                <c:pt idx="28">
                  <c:v>0.17537113418593711</c:v>
                </c:pt>
                <c:pt idx="29">
                  <c:v>0.19295742460257786</c:v>
                </c:pt>
                <c:pt idx="30">
                  <c:v>0.21160129374331518</c:v>
                </c:pt>
                <c:pt idx="31">
                  <c:v>0.23132393635640697</c:v>
                </c:pt>
                <c:pt idx="32">
                  <c:v>0.25214580943030535</c:v>
                </c:pt>
                <c:pt idx="33">
                  <c:v>0.27408664611012157</c:v>
                </c:pt>
                <c:pt idx="34">
                  <c:v>0.29716546939812627</c:v>
                </c:pt>
                <c:pt idx="35">
                  <c:v>0.32140060564134304</c:v>
                </c:pt>
                <c:pt idx="36">
                  <c:v>0.34680969780924586</c:v>
                </c:pt>
                <c:pt idx="37">
                  <c:v>0.37340971856454569</c:v>
                </c:pt>
                <c:pt idx="38">
                  <c:v>0.40121698312999765</c:v>
                </c:pt>
                <c:pt idx="39">
                  <c:v>0.43024716195412716</c:v>
                </c:pt>
                <c:pt idx="40">
                  <c:v>0.46051529317873102</c:v>
                </c:pt>
                <c:pt idx="41">
                  <c:v>0.49203579491098115</c:v>
                </c:pt>
                <c:pt idx="42">
                  <c:v>0.52482247730289744</c:v>
                </c:pt>
                <c:pt idx="43">
                  <c:v>0.5588885544409441</c:v>
                </c:pt>
                <c:pt idx="44">
                  <c:v>0.59424665604846327</c:v>
                </c:pt>
                <c:pt idx="45">
                  <c:v>0.63090883900358596</c:v>
                </c:pt>
                <c:pt idx="46">
                  <c:v>0.66888659867529388</c:v>
                </c:pt>
                <c:pt idx="47">
                  <c:v>0.70819088008020181</c:v>
                </c:pt>
                <c:pt idx="48">
                  <c:v>0.74883208886263108</c:v>
                </c:pt>
                <c:pt idx="49">
                  <c:v>0.79082010210050457</c:v>
                </c:pt>
                <c:pt idx="50">
                  <c:v>0.83416427893956235</c:v>
                </c:pt>
                <c:pt idx="51">
                  <c:v>0.87887347105833891</c:v>
                </c:pt>
                <c:pt idx="52">
                  <c:v>0.92495603296635942</c:v>
                </c:pt>
                <c:pt idx="53">
                  <c:v>0.97241983213791106</c:v>
                </c:pt>
                <c:pt idx="54">
                  <c:v>1.0212722589837857</c:v>
                </c:pt>
                <c:pt idx="55">
                  <c:v>1.0715202366633054</c:v>
                </c:pt>
                <c:pt idx="56">
                  <c:v>1.1231702307389244</c:v>
                </c:pt>
                <c:pt idx="57">
                  <c:v>1.176228258675686</c:v>
                </c:pt>
                <c:pt idx="58">
                  <c:v>1.2306998991877718</c:v>
                </c:pt>
                <c:pt idx="59">
                  <c:v>1.2865903014343147</c:v>
                </c:pt>
                <c:pt idx="60">
                  <c:v>1.343904194066716</c:v>
                </c:pt>
                <c:pt idx="61">
                  <c:v>1.4026458941295432</c:v>
                </c:pt>
                <c:pt idx="62">
                  <c:v>1.4628193158171579</c:v>
                </c:pt>
                <c:pt idx="63">
                  <c:v>1.5244279790881745</c:v>
                </c:pt>
                <c:pt idx="64">
                  <c:v>1.587475018139777</c:v>
                </c:pt>
                <c:pt idx="65">
                  <c:v>1.6519631897439422</c:v>
                </c:pt>
                <c:pt idx="66">
                  <c:v>1.7178948814475761</c:v>
                </c:pt>
                <c:pt idx="67">
                  <c:v>1.7852721196385259</c:v>
                </c:pt>
                <c:pt idx="68">
                  <c:v>1.854096577479422</c:v>
                </c:pt>
                <c:pt idx="69">
                  <c:v>1.9243695827112854</c:v>
                </c:pt>
                <c:pt idx="70">
                  <c:v>1.9960921253287776</c:v>
                </c:pt>
                <c:pt idx="71">
                  <c:v>2.0692648651289542</c:v>
                </c:pt>
                <c:pt idx="72">
                  <c:v>2.1438881391354103</c:v>
                </c:pt>
                <c:pt idx="73">
                  <c:v>2.2199619688995957</c:v>
                </c:pt>
                <c:pt idx="74">
                  <c:v>2.2974860676810884</c:v>
                </c:pt>
                <c:pt idx="75">
                  <c:v>2.37645984750865</c:v>
                </c:pt>
                <c:pt idx="76">
                  <c:v>2.4568824261237392</c:v>
                </c:pt>
                <c:pt idx="77">
                  <c:v>2.5387526338082598</c:v>
                </c:pt>
                <c:pt idx="78">
                  <c:v>2.6220690200981962</c:v>
                </c:pt>
                <c:pt idx="79">
                  <c:v>2.7068298603848753</c:v>
                </c:pt>
                <c:pt idx="80">
                  <c:v>2.7930331624053983</c:v>
                </c:pt>
                <c:pt idx="81">
                  <c:v>2.8806766726240038</c:v>
                </c:pt>
                <c:pt idx="82">
                  <c:v>2.9697578825058577</c:v>
                </c:pt>
                <c:pt idx="83">
                  <c:v>3.0602740346849182</c:v>
                </c:pt>
                <c:pt idx="84">
                  <c:v>3.1522221290273933</c:v>
                </c:pt>
                <c:pt idx="85">
                  <c:v>3.245598928592405</c:v>
                </c:pt>
                <c:pt idx="86">
                  <c:v>3.3404009654912583</c:v>
                </c:pt>
                <c:pt idx="87">
                  <c:v>3.4366245466469594</c:v>
                </c:pt>
                <c:pt idx="88">
                  <c:v>3.5342657594553346</c:v>
                </c:pt>
                <c:pt idx="89">
                  <c:v>3.6333204773492791</c:v>
                </c:pt>
                <c:pt idx="90">
                  <c:v>3.7337843652675535</c:v>
                </c:pt>
                <c:pt idx="91">
                  <c:v>3.8356528850295617</c:v>
                </c:pt>
                <c:pt idx="92">
                  <c:v>3.9389213006174426</c:v>
                </c:pt>
                <c:pt idx="93">
                  <c:v>4.0435846833669586</c:v>
                </c:pt>
                <c:pt idx="94">
                  <c:v>4.149637917068473</c:v>
                </c:pt>
                <c:pt idx="95">
                  <c:v>4.2570757029793187</c:v>
                </c:pt>
                <c:pt idx="96">
                  <c:v>4.3658925647490125</c:v>
                </c:pt>
                <c:pt idx="97">
                  <c:v>4.4760828532584638</c:v>
                </c:pt>
                <c:pt idx="98">
                  <c:v>4.5876407513745976</c:v>
                </c:pt>
                <c:pt idx="99">
                  <c:v>4.7005602786215333</c:v>
                </c:pt>
                <c:pt idx="100">
                  <c:v>4.8148352957696918</c:v>
                </c:pt>
                <c:pt idx="101">
                  <c:v>4.9304595093439723</c:v>
                </c:pt>
                <c:pt idx="102">
                  <c:v>5.0474264760522605</c:v>
                </c:pt>
                <c:pt idx="103">
                  <c:v>5.1657296071354564</c:v>
                </c:pt>
                <c:pt idx="104">
                  <c:v>5.2853621726401947</c:v>
                </c:pt>
                <c:pt idx="105">
                  <c:v>5.4063173056154223</c:v>
                </c:pt>
                <c:pt idx="106">
                  <c:v>5.5285880062340107</c:v>
                </c:pt>
                <c:pt idx="107">
                  <c:v>5.6521671458405169</c:v>
                </c:pt>
                <c:pt idx="108">
                  <c:v>5.7770474709261794</c:v>
                </c:pt>
                <c:pt idx="109">
                  <c:v>5.9032216070323038</c:v>
                </c:pt>
                <c:pt idx="110">
                  <c:v>6.0306820625831072</c:v>
                </c:pt>
                <c:pt idx="111">
                  <c:v>6.1594212326490734</c:v>
                </c:pt>
                <c:pt idx="112">
                  <c:v>6.2894314026418838</c:v>
                </c:pt>
                <c:pt idx="113">
                  <c:v>6.4207047519420053</c:v>
                </c:pt>
                <c:pt idx="114">
                  <c:v>6.5532333574598631</c:v>
                </c:pt>
                <c:pt idx="115">
                  <c:v>6.6870091971317445</c:v>
                </c:pt>
                <c:pt idx="116">
                  <c:v>6.8220241533513359</c:v>
                </c:pt>
                <c:pt idx="117">
                  <c:v>6.9582700163378606</c:v>
                </c:pt>
                <c:pt idx="118">
                  <c:v>7.0957384874419063</c:v>
                </c:pt>
                <c:pt idx="119">
                  <c:v>7.2344211823897746</c:v>
                </c:pt>
                <c:pt idx="120">
                  <c:v>7.3743096344673678</c:v>
                </c:pt>
                <c:pt idx="121">
                  <c:v>7.5153952976444769</c:v>
                </c:pt>
                <c:pt idx="122">
                  <c:v>7.6576695496405094</c:v>
                </c:pt>
                <c:pt idx="123">
                  <c:v>7.8011236949324054</c:v>
                </c:pt>
                <c:pt idx="124">
                  <c:v>7.9457489677057547</c:v>
                </c:pt>
                <c:pt idx="125">
                  <c:v>8.0915365347499435</c:v>
                </c:pt>
                <c:pt idx="126">
                  <c:v>8.2384774982981739</c:v>
                </c:pt>
                <c:pt idx="127">
                  <c:v>8.3865628988132812</c:v>
                </c:pt>
                <c:pt idx="128">
                  <c:v>8.535783717720145</c:v>
                </c:pt>
                <c:pt idx="129">
                  <c:v>8.6861308800854697</c:v>
                </c:pt>
                <c:pt idx="130">
                  <c:v>8.8375952572459102</c:v>
                </c:pt>
                <c:pt idx="131">
                  <c:v>8.9901676693851371</c:v>
                </c:pt>
                <c:pt idx="132">
                  <c:v>9.1438388880608628</c:v>
                </c:pt>
                <c:pt idx="133">
                  <c:v>9.2985996386824148</c:v>
                </c:pt>
                <c:pt idx="134">
                  <c:v>9.4544406029397763</c:v>
                </c:pt>
                <c:pt idx="135">
                  <c:v>9.6113524211846979</c:v>
                </c:pt>
                <c:pt idx="136">
                  <c:v>9.7693256947648877</c:v>
                </c:pt>
                <c:pt idx="137">
                  <c:v>9.9283509883116974</c:v>
                </c:pt>
                <c:pt idx="138">
                  <c:v>10.088418831982281</c:v>
                </c:pt>
                <c:pt idx="139">
                  <c:v>10.249519723656872</c:v>
                </c:pt>
                <c:pt idx="140">
                  <c:v>10.41164413109183</c:v>
                </c:pt>
                <c:pt idx="141">
                  <c:v>10.574782494029222</c:v>
                </c:pt>
                <c:pt idx="142">
                  <c:v>10.73892522626363</c:v>
                </c:pt>
                <c:pt idx="143">
                  <c:v>10.904062717666822</c:v>
                </c:pt>
                <c:pt idx="144">
                  <c:v>11.070185336170969</c:v>
                </c:pt>
                <c:pt idx="145">
                  <c:v>11.237283429711121</c:v>
                </c:pt>
                <c:pt idx="146">
                  <c:v>11.40534732812749</c:v>
                </c:pt>
                <c:pt idx="147">
                  <c:v>11.574367345028266</c:v>
                </c:pt>
                <c:pt idx="148">
                  <c:v>11.744333779613566</c:v>
                </c:pt>
                <c:pt idx="149">
                  <c:v>11.915236918461199</c:v>
                </c:pt>
                <c:pt idx="150">
                  <c:v>12.08706703727467</c:v>
                </c:pt>
                <c:pt idx="151">
                  <c:v>12.259814402594316</c:v>
                </c:pt>
                <c:pt idx="152">
                  <c:v>12.43346927347193</c:v>
                </c:pt>
                <c:pt idx="153">
                  <c:v>12.608021903109561</c:v>
                </c:pt>
                <c:pt idx="154">
                  <c:v>12.783462540463075</c:v>
                </c:pt>
                <c:pt idx="155">
                  <c:v>12.959781431811036</c:v>
                </c:pt>
                <c:pt idx="156">
                  <c:v>13.136968822289402</c:v>
                </c:pt>
                <c:pt idx="157">
                  <c:v>13.315014957392767</c:v>
                </c:pt>
                <c:pt idx="158">
                  <c:v>13.493910084442467</c:v>
                </c:pt>
                <c:pt idx="159">
                  <c:v>13.673644454022279</c:v>
                </c:pt>
                <c:pt idx="160">
                  <c:v>13.854208321382108</c:v>
                </c:pt>
                <c:pt idx="161">
                  <c:v>14.035591947810332</c:v>
                </c:pt>
                <c:pt idx="162">
                  <c:v>14.217785601975118</c:v>
                </c:pt>
                <c:pt idx="163">
                  <c:v>14.400779561235423</c:v>
                </c:pt>
                <c:pt idx="164">
                  <c:v>14.584564112922065</c:v>
                </c:pt>
                <c:pt idx="165">
                  <c:v>14.769129555589402</c:v>
                </c:pt>
                <c:pt idx="166">
                  <c:v>14.954466200238011</c:v>
                </c:pt>
                <c:pt idx="167">
                  <c:v>15.140564371508987</c:v>
                </c:pt>
                <c:pt idx="168">
                  <c:v>15.3274144088503</c:v>
                </c:pt>
                <c:pt idx="169">
                  <c:v>15.515006667655552</c:v>
                </c:pt>
                <c:pt idx="170">
                  <c:v>15.70333152037577</c:v>
                </c:pt>
                <c:pt idx="171">
                  <c:v>15.89237935760452</c:v>
                </c:pt>
                <c:pt idx="172">
                  <c:v>16.08214058913693</c:v>
                </c:pt>
                <c:pt idx="173">
                  <c:v>16.272605645003011</c:v>
                </c:pt>
                <c:pt idx="174">
                  <c:v>16.463764976475609</c:v>
                </c:pt>
                <c:pt idx="175">
                  <c:v>16.655609057053578</c:v>
                </c:pt>
                <c:pt idx="176">
                  <c:v>16.84812838342053</c:v>
                </c:pt>
                <c:pt idx="177">
                  <c:v>17.041313476379504</c:v>
                </c:pt>
                <c:pt idx="178">
                  <c:v>17.235154881763957</c:v>
                </c:pt>
                <c:pt idx="179">
                  <c:v>17.4296431713258</c:v>
                </c:pt>
                <c:pt idx="180">
                  <c:v>17.62476894360028</c:v>
                </c:pt>
                <c:pt idx="181">
                  <c:v>17.820522824748689</c:v>
                </c:pt>
                <c:pt idx="182">
                  <c:v>18.016895469378877</c:v>
                </c:pt>
                <c:pt idx="183">
                  <c:v>18.213877561344159</c:v>
                </c:pt>
                <c:pt idx="184">
                  <c:v>18.411459814520917</c:v>
                </c:pt>
                <c:pt idx="185">
                  <c:v>18.609632973565351</c:v>
                </c:pt>
                <c:pt idx="186">
                  <c:v>18.808387814649443</c:v>
                </c:pt>
                <c:pt idx="187">
                  <c:v>19.007715146176967</c:v>
                </c:pt>
                <c:pt idx="188">
                  <c:v>19.207605809479496</c:v>
                </c:pt>
                <c:pt idx="189">
                  <c:v>19.40805067949292</c:v>
                </c:pt>
                <c:pt idx="190">
                  <c:v>19.609040665414746</c:v>
                </c:pt>
                <c:pt idx="191">
                  <c:v>19.810566711342741</c:v>
                </c:pt>
                <c:pt idx="192">
                  <c:v>20.012619796894764</c:v>
                </c:pt>
                <c:pt idx="193">
                  <c:v>20.215190937810778</c:v>
                </c:pt>
                <c:pt idx="194">
                  <c:v>20.418271186536586</c:v>
                </c:pt>
                <c:pt idx="195">
                  <c:v>20.621851632790491</c:v>
                </c:pt>
                <c:pt idx="196">
                  <c:v>20.825923404112231</c:v>
                </c:pt>
                <c:pt idx="197">
                  <c:v>21.030477666395434</c:v>
                </c:pt>
                <c:pt idx="198">
                  <c:v>21.235505624403107</c:v>
                </c:pt>
                <c:pt idx="199">
                  <c:v>21.440998522266952</c:v>
                </c:pt>
                <c:pt idx="200">
                  <c:v>21.646947643970702</c:v>
                </c:pt>
                <c:pt idx="201">
                  <c:v>21.853344313817516</c:v>
                </c:pt>
                <c:pt idx="202">
                  <c:v>22.060179896882083</c:v>
                </c:pt>
                <c:pt idx="203">
                  <c:v>22.267445799447479</c:v>
                </c:pt>
                <c:pt idx="204">
                  <c:v>22.475133469427057</c:v>
                </c:pt>
                <c:pt idx="205">
                  <c:v>22.68323439677188</c:v>
                </c:pt>
                <c:pt idx="206">
                  <c:v>22.891740113863492</c:v>
                </c:pt>
                <c:pt idx="207">
                  <c:v>23.100642195892867</c:v>
                </c:pt>
                <c:pt idx="208">
                  <c:v>23.309932261225381</c:v>
                </c:pt>
                <c:pt idx="209">
                  <c:v>23.519601971752081</c:v>
                </c:pt>
                <c:pt idx="210">
                  <c:v>23.729643033227898</c:v>
                </c:pt>
                <c:pt idx="211">
                  <c:v>23.940047195596488</c:v>
                </c:pt>
                <c:pt idx="212">
                  <c:v>24.150806253302314</c:v>
                </c:pt>
                <c:pt idx="213">
                  <c:v>24.361912045590181</c:v>
                </c:pt>
                <c:pt idx="214">
                  <c:v>24.573356456792311</c:v>
                </c:pt>
                <c:pt idx="215">
                  <c:v>24.785131416603353</c:v>
                </c:pt>
                <c:pt idx="216">
                  <c:v>24.997228900343327</c:v>
                </c:pt>
                <c:pt idx="217">
                  <c:v>25.209640929209105</c:v>
                </c:pt>
                <c:pt idx="218">
                  <c:v>25.4223595705142</c:v>
                </c:pt>
                <c:pt idx="219">
                  <c:v>25.635376937917517</c:v>
                </c:pt>
                <c:pt idx="220">
                  <c:v>25.848685191640854</c:v>
                </c:pt>
                <c:pt idx="221">
                  <c:v>26.062276538675707</c:v>
                </c:pt>
                <c:pt idx="222">
                  <c:v>26.276143232979578</c:v>
                </c:pt>
                <c:pt idx="223">
                  <c:v>26.490277575661562</c:v>
                </c:pt>
                <c:pt idx="224">
                  <c:v>26.704671915157995</c:v>
                </c:pt>
                <c:pt idx="225">
                  <c:v>26.919318647398036</c:v>
                </c:pt>
                <c:pt idx="226">
                  <c:v>27.134210215959346</c:v>
                </c:pt>
                <c:pt idx="227">
                  <c:v>27.349339112214277</c:v>
                </c:pt>
                <c:pt idx="228">
                  <c:v>27.564697875466507</c:v>
                </c:pt>
                <c:pt idx="229">
                  <c:v>27.780279093078605</c:v>
                </c:pt>
                <c:pt idx="230">
                  <c:v>27.996075400590268</c:v>
                </c:pt>
                <c:pt idx="231">
                  <c:v>28.212079481827988</c:v>
                </c:pt>
                <c:pt idx="232">
                  <c:v>28.428284069005858</c:v>
                </c:pt>
                <c:pt idx="233">
                  <c:v>28.644681942817769</c:v>
                </c:pt>
                <c:pt idx="234">
                  <c:v>28.861265932521501</c:v>
                </c:pt>
                <c:pt idx="235">
                  <c:v>29.078028916014389</c:v>
                </c:pt>
                <c:pt idx="236">
                  <c:v>29.294963819901177</c:v>
                </c:pt>
                <c:pt idx="237">
                  <c:v>29.512063619553807</c:v>
                </c:pt>
                <c:pt idx="238">
                  <c:v>29.729321339163842</c:v>
                </c:pt>
                <c:pt idx="239">
                  <c:v>29.946730051786854</c:v>
                </c:pt>
                <c:pt idx="240">
                  <c:v>30.164282879380085</c:v>
                </c:pt>
                <c:pt idx="241">
                  <c:v>30.381972992832342</c:v>
                </c:pt>
                <c:pt idx="242">
                  <c:v>30.599793611987074</c:v>
                </c:pt>
                <c:pt idx="243">
                  <c:v>30.817738005658576</c:v>
                </c:pt>
                <c:pt idx="244">
                  <c:v>31.035799491641296</c:v>
                </c:pt>
                <c:pt idx="245">
                  <c:v>31.253971436712572</c:v>
                </c:pt>
                <c:pt idx="246">
                  <c:v>31.472247256628854</c:v>
                </c:pt>
                <c:pt idx="247">
                  <c:v>31.69062041611576</c:v>
                </c:pt>
                <c:pt idx="248">
                  <c:v>31.909084428851621</c:v>
                </c:pt>
                <c:pt idx="249">
                  <c:v>32.127632857445185</c:v>
                </c:pt>
                <c:pt idx="250">
                  <c:v>32.346259313407394</c:v>
                </c:pt>
                <c:pt idx="251">
                  <c:v>32.564957457117195</c:v>
                </c:pt>
                <c:pt idx="252">
                  <c:v>32.78372099778182</c:v>
                </c:pt>
                <c:pt idx="253">
                  <c:v>33.002543693391466</c:v>
                </c:pt>
                <c:pt idx="254">
                  <c:v>33.221419350668526</c:v>
                </c:pt>
                <c:pt idx="255">
                  <c:v>33.440341825011586</c:v>
                </c:pt>
                <c:pt idx="256">
                  <c:v>33.65930502043426</c:v>
                </c:pt>
                <c:pt idx="257">
                  <c:v>33.878302889498748</c:v>
                </c:pt>
                <c:pt idx="258">
                  <c:v>34.097329433244759</c:v>
                </c:pt>
                <c:pt idx="259">
                  <c:v>34.316378701113486</c:v>
                </c:pt>
                <c:pt idx="260">
                  <c:v>34.535444790866663</c:v>
                </c:pt>
                <c:pt idx="261">
                  <c:v>34.754521848501462</c:v>
                </c:pt>
                <c:pt idx="262">
                  <c:v>34.973604068160284</c:v>
                </c:pt>
                <c:pt idx="263">
                  <c:v>35.192685692036868</c:v>
                </c:pt>
                <c:pt idx="264">
                  <c:v>35.41176101027753</c:v>
                </c:pt>
                <c:pt idx="265">
                  <c:v>35.630824360878535</c:v>
                </c:pt>
                <c:pt idx="266">
                  <c:v>35.849870129579251</c:v>
                </c:pt>
                <c:pt idx="267">
                  <c:v>36.068892749751491</c:v>
                </c:pt>
                <c:pt idx="268">
                  <c:v>36.28788670228483</c:v>
                </c:pt>
                <c:pt idx="269">
                  <c:v>36.506846515468069</c:v>
                </c:pt>
                <c:pt idx="270">
                  <c:v>36.725766764867366</c:v>
                </c:pt>
                <c:pt idx="271">
                  <c:v>36.944642073200392</c:v>
                </c:pt>
                <c:pt idx="272">
                  <c:v>37.163467110207137</c:v>
                </c:pt>
                <c:pt idx="273">
                  <c:v>37.382236592517444</c:v>
                </c:pt>
                <c:pt idx="274">
                  <c:v>37.600945283514946</c:v>
                </c:pt>
                <c:pt idx="275">
                  <c:v>37.819587993197999</c:v>
                </c:pt>
                <c:pt idx="276">
                  <c:v>38.038159578037472</c:v>
                </c:pt>
                <c:pt idx="277">
                  <c:v>38.256654940831311</c:v>
                </c:pt>
                <c:pt idx="278">
                  <c:v>38.475069030556199</c:v>
                </c:pt>
                <c:pt idx="279">
                  <c:v>38.693396842216387</c:v>
                </c:pt>
                <c:pt idx="280">
                  <c:v>38.911633416689789</c:v>
                </c:pt>
                <c:pt idx="281">
                  <c:v>39.129773840570969</c:v>
                </c:pt>
                <c:pt idx="282">
                  <c:v>39.347813246011967</c:v>
                </c:pt>
                <c:pt idx="283">
                  <c:v>39.565746810560206</c:v>
                </c:pt>
                <c:pt idx="284">
                  <c:v>39.783569756993927</c:v>
                </c:pt>
                <c:pt idx="285">
                  <c:v>40.001277353155402</c:v>
                </c:pt>
                <c:pt idx="286">
                  <c:v>40.218864911781495</c:v>
                </c:pt>
                <c:pt idx="287">
                  <c:v>40.436327790332221</c:v>
                </c:pt>
                <c:pt idx="288">
                  <c:v>40.653661390816815</c:v>
                </c:pt>
                <c:pt idx="289">
                  <c:v>40.870861159617938</c:v>
                </c:pt>
                <c:pt idx="290">
                  <c:v>41.087922587313464</c:v>
                </c:pt>
                <c:pt idx="291">
                  <c:v>41.304841208496562</c:v>
                </c:pt>
                <c:pt idx="292">
                  <c:v>41.521612601593716</c:v>
                </c:pt>
                <c:pt idx="293">
                  <c:v>41.738232388680728</c:v>
                </c:pt>
                <c:pt idx="294">
                  <c:v>41.954696235297085</c:v>
                </c:pt>
                <c:pt idx="295">
                  <c:v>42.170999850258504</c:v>
                </c:pt>
                <c:pt idx="296">
                  <c:v>42.387138985467679</c:v>
                </c:pt>
                <c:pt idx="297">
                  <c:v>42.603109435723518</c:v>
                </c:pt>
                <c:pt idx="298">
                  <c:v>42.818907038528828</c:v>
                </c:pt>
                <c:pt idx="299">
                  <c:v>0</c:v>
                </c:pt>
                <c:pt idx="300">
                  <c:v>8.5544570688236461E-6</c:v>
                </c:pt>
                <c:pt idx="301">
                  <c:v>6.8008465527976102E-5</c:v>
                </c:pt>
                <c:pt idx="302">
                  <c:v>2.2809679712868013E-4</c:v>
                </c:pt>
                <c:pt idx="303">
                  <c:v>5.3730357085554029E-4</c:v>
                </c:pt>
                <c:pt idx="304">
                  <c:v>1.0428839694930018E-3</c:v>
                </c:pt>
                <c:pt idx="305">
                  <c:v>1.7908856308893263E-3</c:v>
                </c:pt>
                <c:pt idx="306">
                  <c:v>2.8261697184418129E-3</c:v>
                </c:pt>
                <c:pt idx="307">
                  <c:v>4.192431675266812E-3</c:v>
                </c:pt>
                <c:pt idx="308">
                  <c:v>5.9322216664580707E-3</c:v>
                </c:pt>
                <c:pt idx="309">
                  <c:v>8.0869647137791836E-3</c:v>
                </c:pt>
                <c:pt idx="310">
                  <c:v>1.0696980527076586E-2</c:v>
                </c:pt>
                <c:pt idx="311">
                  <c:v>1.3801503036642727E-2</c:v>
                </c:pt>
                <c:pt idx="312">
                  <c:v>1.7438699630704126E-2</c:v>
                </c:pt>
                <c:pt idx="313">
                  <c:v>2.1645690102150235E-2</c:v>
                </c:pt>
                <c:pt idx="314">
                  <c:v>2.6458565308565586E-2</c:v>
                </c:pt>
                <c:pt idx="315">
                  <c:v>3.1912405549575328E-2</c:v>
                </c:pt>
                <c:pt idx="316">
                  <c:v>3.8041298665456996E-2</c:v>
                </c:pt>
                <c:pt idx="317">
                  <c:v>4.4878357860917865E-2</c:v>
                </c:pt>
                <c:pt idx="318">
                  <c:v>5.2455739257894637E-2</c:v>
                </c:pt>
                <c:pt idx="319">
                  <c:v>6.080465918116422E-2</c:v>
                </c:pt>
                <c:pt idx="320">
                  <c:v>6.9955411180516527E-2</c:v>
                </c:pt>
                <c:pt idx="321">
                  <c:v>7.9937382793190237E-2</c:v>
                </c:pt>
                <c:pt idx="322">
                  <c:v>9.0779072050210241E-2</c:v>
                </c:pt>
                <c:pt idx="323">
                  <c:v>0.10250810373022921</c:v>
                </c:pt>
                <c:pt idx="324">
                  <c:v>0.11515124536442721</c:v>
                </c:pt>
                <c:pt idx="325">
                  <c:v>0.12873442299596394</c:v>
                </c:pt>
                <c:pt idx="326">
                  <c:v>0.14328273669744057</c:v>
                </c:pt>
                <c:pt idx="327">
                  <c:v>0.15882047584978901</c:v>
                </c:pt>
                <c:pt idx="328">
                  <c:v>0.17537113418593711</c:v>
                </c:pt>
                <c:pt idx="329">
                  <c:v>0.19295742460257786</c:v>
                </c:pt>
                <c:pt idx="330">
                  <c:v>0.2116012937433146</c:v>
                </c:pt>
                <c:pt idx="331">
                  <c:v>0.23132393635640758</c:v>
                </c:pt>
                <c:pt idx="332">
                  <c:v>0.25214580943030535</c:v>
                </c:pt>
                <c:pt idx="333">
                  <c:v>0.27408664611012157</c:v>
                </c:pt>
                <c:pt idx="334">
                  <c:v>0.29716546939812699</c:v>
                </c:pt>
                <c:pt idx="335">
                  <c:v>0.32140060564134304</c:v>
                </c:pt>
                <c:pt idx="336">
                  <c:v>0.34680969780924509</c:v>
                </c:pt>
                <c:pt idx="337">
                  <c:v>0.37340971856454569</c:v>
                </c:pt>
                <c:pt idx="338">
                  <c:v>0.40121698312999765</c:v>
                </c:pt>
                <c:pt idx="339">
                  <c:v>0.43024716195412632</c:v>
                </c:pt>
                <c:pt idx="340">
                  <c:v>0.46051529317873102</c:v>
                </c:pt>
                <c:pt idx="341">
                  <c:v>0.49203579491098115</c:v>
                </c:pt>
                <c:pt idx="342">
                  <c:v>0.52482247730289633</c:v>
                </c:pt>
                <c:pt idx="343">
                  <c:v>0.55888855444094521</c:v>
                </c:pt>
                <c:pt idx="344">
                  <c:v>0.59424665604846327</c:v>
                </c:pt>
                <c:pt idx="345">
                  <c:v>0.63090883900358485</c:v>
                </c:pt>
                <c:pt idx="346">
                  <c:v>0.66888659867529521</c:v>
                </c:pt>
                <c:pt idx="347">
                  <c:v>0.70819088008020181</c:v>
                </c:pt>
                <c:pt idx="348">
                  <c:v>0.74883208886262975</c:v>
                </c:pt>
                <c:pt idx="349">
                  <c:v>0.79082010210050457</c:v>
                </c:pt>
                <c:pt idx="350">
                  <c:v>0.83416427893956235</c:v>
                </c:pt>
                <c:pt idx="351">
                  <c:v>0.87887347105833891</c:v>
                </c:pt>
                <c:pt idx="352">
                  <c:v>0.92495603296635942</c:v>
                </c:pt>
                <c:pt idx="353">
                  <c:v>0.97241983213791106</c:v>
                </c:pt>
                <c:pt idx="354">
                  <c:v>1.0212722589837857</c:v>
                </c:pt>
                <c:pt idx="355">
                  <c:v>1.0715202366633054</c:v>
                </c:pt>
                <c:pt idx="356">
                  <c:v>1.1231702307389244</c:v>
                </c:pt>
                <c:pt idx="357">
                  <c:v>1.176228258675686</c:v>
                </c:pt>
                <c:pt idx="358">
                  <c:v>1.2306998991877718</c:v>
                </c:pt>
                <c:pt idx="359">
                  <c:v>1.2865903014343147</c:v>
                </c:pt>
                <c:pt idx="360">
                  <c:v>1.343904194066716</c:v>
                </c:pt>
                <c:pt idx="361">
                  <c:v>1.4026458941295432</c:v>
                </c:pt>
                <c:pt idx="362">
                  <c:v>1.4628193158171579</c:v>
                </c:pt>
                <c:pt idx="363">
                  <c:v>1.5244279790881745</c:v>
                </c:pt>
                <c:pt idx="364">
                  <c:v>1.587475018139777</c:v>
                </c:pt>
                <c:pt idx="365">
                  <c:v>1.6519631897439422</c:v>
                </c:pt>
                <c:pt idx="366">
                  <c:v>1.7178948814475761</c:v>
                </c:pt>
                <c:pt idx="367">
                  <c:v>1.7852721196385259</c:v>
                </c:pt>
                <c:pt idx="368">
                  <c:v>1.854096577479422</c:v>
                </c:pt>
                <c:pt idx="369">
                  <c:v>1.9243695827112854</c:v>
                </c:pt>
                <c:pt idx="370">
                  <c:v>1.9960921253287776</c:v>
                </c:pt>
                <c:pt idx="371">
                  <c:v>2.0692648651289542</c:v>
                </c:pt>
                <c:pt idx="372">
                  <c:v>2.1438881391354103</c:v>
                </c:pt>
                <c:pt idx="373">
                  <c:v>2.2199619688995957</c:v>
                </c:pt>
                <c:pt idx="374">
                  <c:v>2.2974860676810884</c:v>
                </c:pt>
                <c:pt idx="375">
                  <c:v>2.37645984750865</c:v>
                </c:pt>
                <c:pt idx="376">
                  <c:v>2.4568824261237423</c:v>
                </c:pt>
                <c:pt idx="377">
                  <c:v>2.5387526338082598</c:v>
                </c:pt>
                <c:pt idx="378">
                  <c:v>2.6220690200981962</c:v>
                </c:pt>
                <c:pt idx="379">
                  <c:v>2.7068298603848753</c:v>
                </c:pt>
                <c:pt idx="380">
                  <c:v>2.7930331624053983</c:v>
                </c:pt>
                <c:pt idx="381">
                  <c:v>2.8806766726240038</c:v>
                </c:pt>
                <c:pt idx="382">
                  <c:v>2.9697578825058617</c:v>
                </c:pt>
                <c:pt idx="383">
                  <c:v>3.0602740346849182</c:v>
                </c:pt>
                <c:pt idx="384">
                  <c:v>3.1522221290273973</c:v>
                </c:pt>
                <c:pt idx="385">
                  <c:v>3.2455989285924014</c:v>
                </c:pt>
                <c:pt idx="386">
                  <c:v>3.3404009654912583</c:v>
                </c:pt>
                <c:pt idx="387">
                  <c:v>3.4366245466469634</c:v>
                </c:pt>
                <c:pt idx="388">
                  <c:v>3.5342657594553306</c:v>
                </c:pt>
                <c:pt idx="389">
                  <c:v>3.6333204773492791</c:v>
                </c:pt>
                <c:pt idx="390">
                  <c:v>3.7337843652675575</c:v>
                </c:pt>
                <c:pt idx="391">
                  <c:v>3.8356528850295573</c:v>
                </c:pt>
                <c:pt idx="392">
                  <c:v>3.9389213006174426</c:v>
                </c:pt>
                <c:pt idx="393">
                  <c:v>4.0435846833669631</c:v>
                </c:pt>
                <c:pt idx="394">
                  <c:v>4.1496379170684694</c:v>
                </c:pt>
                <c:pt idx="395">
                  <c:v>4.2570757029793187</c:v>
                </c:pt>
                <c:pt idx="396">
                  <c:v>4.3658925647490125</c:v>
                </c:pt>
                <c:pt idx="397">
                  <c:v>4.4760828532584638</c:v>
                </c:pt>
                <c:pt idx="398">
                  <c:v>4.5876407513745976</c:v>
                </c:pt>
                <c:pt idx="399">
                  <c:v>4.7005602786215377</c:v>
                </c:pt>
                <c:pt idx="400">
                  <c:v>4.8148352957696883</c:v>
                </c:pt>
                <c:pt idx="401">
                  <c:v>4.9304595093439723</c:v>
                </c:pt>
                <c:pt idx="402">
                  <c:v>5.0474264760522649</c:v>
                </c:pt>
                <c:pt idx="403">
                  <c:v>5.1657296071354564</c:v>
                </c:pt>
                <c:pt idx="404">
                  <c:v>5.2853621726401947</c:v>
                </c:pt>
                <c:pt idx="405">
                  <c:v>5.4063173056154223</c:v>
                </c:pt>
                <c:pt idx="406">
                  <c:v>5.5285880062340054</c:v>
                </c:pt>
                <c:pt idx="407">
                  <c:v>5.6521671458405169</c:v>
                </c:pt>
                <c:pt idx="408">
                  <c:v>5.7770474709261848</c:v>
                </c:pt>
                <c:pt idx="409">
                  <c:v>5.9032216070322994</c:v>
                </c:pt>
                <c:pt idx="410">
                  <c:v>6.0306820625831072</c:v>
                </c:pt>
                <c:pt idx="411">
                  <c:v>6.1594212326490734</c:v>
                </c:pt>
                <c:pt idx="412">
                  <c:v>6.2894314026418838</c:v>
                </c:pt>
                <c:pt idx="413">
                  <c:v>6.4207047519420053</c:v>
                </c:pt>
                <c:pt idx="414">
                  <c:v>6.5532333574598631</c:v>
                </c:pt>
                <c:pt idx="415">
                  <c:v>6.6870091971317445</c:v>
                </c:pt>
                <c:pt idx="416">
                  <c:v>6.8220241533513359</c:v>
                </c:pt>
                <c:pt idx="417">
                  <c:v>6.9582700163378606</c:v>
                </c:pt>
                <c:pt idx="418">
                  <c:v>7.0957384874419001</c:v>
                </c:pt>
                <c:pt idx="419">
                  <c:v>7.2344211823897746</c:v>
                </c:pt>
                <c:pt idx="420">
                  <c:v>7.3743096344673678</c:v>
                </c:pt>
                <c:pt idx="421">
                  <c:v>7.5153952976444698</c:v>
                </c:pt>
                <c:pt idx="422">
                  <c:v>7.6576695496405094</c:v>
                </c:pt>
                <c:pt idx="423">
                  <c:v>7.8011236949324116</c:v>
                </c:pt>
                <c:pt idx="424">
                  <c:v>7.9457489677057547</c:v>
                </c:pt>
                <c:pt idx="425">
                  <c:v>8.0915365347499435</c:v>
                </c:pt>
                <c:pt idx="426">
                  <c:v>8.2384774982981739</c:v>
                </c:pt>
                <c:pt idx="427">
                  <c:v>8.3865628988132741</c:v>
                </c:pt>
                <c:pt idx="428">
                  <c:v>8.535783717720145</c:v>
                </c:pt>
                <c:pt idx="429">
                  <c:v>8.6861308800854697</c:v>
                </c:pt>
                <c:pt idx="430">
                  <c:v>8.8375952572459013</c:v>
                </c:pt>
                <c:pt idx="431">
                  <c:v>8.9901676693851371</c:v>
                </c:pt>
                <c:pt idx="432">
                  <c:v>9.1438388880608628</c:v>
                </c:pt>
                <c:pt idx="433">
                  <c:v>9.2985996386824148</c:v>
                </c:pt>
                <c:pt idx="434">
                  <c:v>9.4544406029397763</c:v>
                </c:pt>
                <c:pt idx="435">
                  <c:v>9.6113524211847032</c:v>
                </c:pt>
                <c:pt idx="436">
                  <c:v>9.7693256947648806</c:v>
                </c:pt>
                <c:pt idx="437">
                  <c:v>9.9283509883116974</c:v>
                </c:pt>
                <c:pt idx="438">
                  <c:v>10.088418831982287</c:v>
                </c:pt>
                <c:pt idx="439">
                  <c:v>10.249519723656872</c:v>
                </c:pt>
                <c:pt idx="440">
                  <c:v>10.41164413109183</c:v>
                </c:pt>
                <c:pt idx="441">
                  <c:v>10.574782494029229</c:v>
                </c:pt>
                <c:pt idx="442">
                  <c:v>10.73892522626363</c:v>
                </c:pt>
                <c:pt idx="443">
                  <c:v>10.904062717666822</c:v>
                </c:pt>
                <c:pt idx="444">
                  <c:v>11.070185336170978</c:v>
                </c:pt>
                <c:pt idx="445">
                  <c:v>11.237283429711121</c:v>
                </c:pt>
                <c:pt idx="446">
                  <c:v>11.40534732812749</c:v>
                </c:pt>
                <c:pt idx="447">
                  <c:v>11.574367345028266</c:v>
                </c:pt>
                <c:pt idx="448">
                  <c:v>11.744333779613566</c:v>
                </c:pt>
                <c:pt idx="449">
                  <c:v>11.915236918461199</c:v>
                </c:pt>
                <c:pt idx="450">
                  <c:v>12.08706703727467</c:v>
                </c:pt>
                <c:pt idx="451">
                  <c:v>12.259814402594305</c:v>
                </c:pt>
                <c:pt idx="452">
                  <c:v>12.43346927347193</c:v>
                </c:pt>
                <c:pt idx="453">
                  <c:v>12.60802190310957</c:v>
                </c:pt>
                <c:pt idx="454">
                  <c:v>12.783462540463075</c:v>
                </c:pt>
                <c:pt idx="455">
                  <c:v>12.959781431811036</c:v>
                </c:pt>
                <c:pt idx="456">
                  <c:v>13.136968822289402</c:v>
                </c:pt>
                <c:pt idx="457">
                  <c:v>13.315014957392757</c:v>
                </c:pt>
                <c:pt idx="458">
                  <c:v>13.493910084442467</c:v>
                </c:pt>
                <c:pt idx="459">
                  <c:v>13.673644454022288</c:v>
                </c:pt>
                <c:pt idx="460">
                  <c:v>13.854208321382108</c:v>
                </c:pt>
                <c:pt idx="461">
                  <c:v>14.035591947810332</c:v>
                </c:pt>
                <c:pt idx="462">
                  <c:v>14.217785601975118</c:v>
                </c:pt>
                <c:pt idx="463">
                  <c:v>14.400779561235412</c:v>
                </c:pt>
                <c:pt idx="464">
                  <c:v>14.584564112922065</c:v>
                </c:pt>
                <c:pt idx="465">
                  <c:v>14.769129555589412</c:v>
                </c:pt>
                <c:pt idx="466">
                  <c:v>14.954466200238011</c:v>
                </c:pt>
                <c:pt idx="467">
                  <c:v>15.140564371508987</c:v>
                </c:pt>
                <c:pt idx="468">
                  <c:v>15.327414408850311</c:v>
                </c:pt>
                <c:pt idx="469">
                  <c:v>15.515006667655552</c:v>
                </c:pt>
                <c:pt idx="470">
                  <c:v>15.70333152037577</c:v>
                </c:pt>
                <c:pt idx="471">
                  <c:v>15.89237935760452</c:v>
                </c:pt>
                <c:pt idx="472">
                  <c:v>16.08214058913693</c:v>
                </c:pt>
                <c:pt idx="473">
                  <c:v>16.272605645003011</c:v>
                </c:pt>
                <c:pt idx="474">
                  <c:v>16.463764976475609</c:v>
                </c:pt>
                <c:pt idx="475">
                  <c:v>16.655609057053567</c:v>
                </c:pt>
                <c:pt idx="476">
                  <c:v>16.84812838342053</c:v>
                </c:pt>
                <c:pt idx="477">
                  <c:v>17.041313476379504</c:v>
                </c:pt>
                <c:pt idx="478">
                  <c:v>17.235154881763943</c:v>
                </c:pt>
                <c:pt idx="479">
                  <c:v>17.4296431713258</c:v>
                </c:pt>
              </c:numCache>
            </c:numRef>
          </c:yVal>
          <c:smooth val="0"/>
          <c:extLst>
            <c:ext xmlns:c16="http://schemas.microsoft.com/office/drawing/2014/chart" uri="{C3380CC4-5D6E-409C-BE32-E72D297353CC}">
              <c16:uniqueId val="{00000000-B837-4051-A32B-8525E6326EF3}"/>
            </c:ext>
          </c:extLst>
        </c:ser>
        <c:ser>
          <c:idx val="0"/>
          <c:order val="1"/>
          <c:tx>
            <c:strRef>
              <c:f>'Figures B1-B3'!$C$21</c:f>
              <c:strCache>
                <c:ptCount val="1"/>
                <c:pt idx="0">
                  <c:v>modified stock</c:v>
                </c:pt>
              </c:strCache>
            </c:strRef>
          </c:tx>
          <c:spPr>
            <a:ln w="19050" cap="rnd">
              <a:solidFill>
                <a:srgbClr val="2171B5"/>
              </a:solidFill>
              <a:prstDash val="solid"/>
              <a:round/>
            </a:ln>
            <a:effectLst/>
          </c:spPr>
          <c:marker>
            <c:symbol val="none"/>
          </c:marker>
          <c:xVal>
            <c:numRef>
              <c:f>'Figures B1-B3'!$E$7:$RP$7</c:f>
              <c:numCache>
                <c:formatCode>#,##0.00</c:formatCode>
                <c:ptCount val="480"/>
                <c:pt idx="0">
                  <c:v>8.3333333333333329E-2</c:v>
                </c:pt>
                <c:pt idx="1">
                  <c:v>0.16666666666666666</c:v>
                </c:pt>
                <c:pt idx="2">
                  <c:v>0.25</c:v>
                </c:pt>
                <c:pt idx="3">
                  <c:v>0.33333333333333331</c:v>
                </c:pt>
                <c:pt idx="4">
                  <c:v>0.41666666666666669</c:v>
                </c:pt>
                <c:pt idx="5">
                  <c:v>0.5</c:v>
                </c:pt>
                <c:pt idx="6">
                  <c:v>0.58333333333333337</c:v>
                </c:pt>
                <c:pt idx="7">
                  <c:v>0.66666666666666663</c:v>
                </c:pt>
                <c:pt idx="8">
                  <c:v>0.75</c:v>
                </c:pt>
                <c:pt idx="9">
                  <c:v>0.83333333333333337</c:v>
                </c:pt>
                <c:pt idx="10">
                  <c:v>0.91666666666666663</c:v>
                </c:pt>
                <c:pt idx="11">
                  <c:v>1</c:v>
                </c:pt>
                <c:pt idx="12">
                  <c:v>1.0833333333333333</c:v>
                </c:pt>
                <c:pt idx="13">
                  <c:v>1.1666666666666667</c:v>
                </c:pt>
                <c:pt idx="14">
                  <c:v>1.25</c:v>
                </c:pt>
                <c:pt idx="15">
                  <c:v>1.3333333333333333</c:v>
                </c:pt>
                <c:pt idx="16">
                  <c:v>1.4166666666666667</c:v>
                </c:pt>
                <c:pt idx="17">
                  <c:v>1.5</c:v>
                </c:pt>
                <c:pt idx="18">
                  <c:v>1.5833333333333333</c:v>
                </c:pt>
                <c:pt idx="19">
                  <c:v>1.6666666666666667</c:v>
                </c:pt>
                <c:pt idx="20">
                  <c:v>1.75</c:v>
                </c:pt>
                <c:pt idx="21">
                  <c:v>1.8333333333333333</c:v>
                </c:pt>
                <c:pt idx="22">
                  <c:v>1.9166666666666667</c:v>
                </c:pt>
                <c:pt idx="23">
                  <c:v>2</c:v>
                </c:pt>
                <c:pt idx="24">
                  <c:v>2.0833333333333335</c:v>
                </c:pt>
                <c:pt idx="25">
                  <c:v>2.1666666666666665</c:v>
                </c:pt>
                <c:pt idx="26">
                  <c:v>2.25</c:v>
                </c:pt>
                <c:pt idx="27">
                  <c:v>2.3333333333333335</c:v>
                </c:pt>
                <c:pt idx="28">
                  <c:v>2.4166666666666665</c:v>
                </c:pt>
                <c:pt idx="29">
                  <c:v>2.5</c:v>
                </c:pt>
                <c:pt idx="30">
                  <c:v>2.5833333333333335</c:v>
                </c:pt>
                <c:pt idx="31">
                  <c:v>2.6666666666666665</c:v>
                </c:pt>
                <c:pt idx="32">
                  <c:v>2.75</c:v>
                </c:pt>
                <c:pt idx="33">
                  <c:v>2.8333333333333335</c:v>
                </c:pt>
                <c:pt idx="34">
                  <c:v>2.9166666666666665</c:v>
                </c:pt>
                <c:pt idx="35">
                  <c:v>3</c:v>
                </c:pt>
                <c:pt idx="36">
                  <c:v>3.0833333333333335</c:v>
                </c:pt>
                <c:pt idx="37">
                  <c:v>3.1666666666666665</c:v>
                </c:pt>
                <c:pt idx="38">
                  <c:v>3.25</c:v>
                </c:pt>
                <c:pt idx="39">
                  <c:v>3.3333333333333335</c:v>
                </c:pt>
                <c:pt idx="40">
                  <c:v>3.4166666666666665</c:v>
                </c:pt>
                <c:pt idx="41">
                  <c:v>3.5</c:v>
                </c:pt>
                <c:pt idx="42">
                  <c:v>3.5833333333333335</c:v>
                </c:pt>
                <c:pt idx="43">
                  <c:v>3.6666666666666665</c:v>
                </c:pt>
                <c:pt idx="44">
                  <c:v>3.75</c:v>
                </c:pt>
                <c:pt idx="45">
                  <c:v>3.8333333333333335</c:v>
                </c:pt>
                <c:pt idx="46">
                  <c:v>3.9166666666666665</c:v>
                </c:pt>
                <c:pt idx="47">
                  <c:v>4</c:v>
                </c:pt>
                <c:pt idx="48">
                  <c:v>4.083333333333333</c:v>
                </c:pt>
                <c:pt idx="49">
                  <c:v>4.166666666666667</c:v>
                </c:pt>
                <c:pt idx="50">
                  <c:v>4.25</c:v>
                </c:pt>
                <c:pt idx="51">
                  <c:v>4.333333333333333</c:v>
                </c:pt>
                <c:pt idx="52">
                  <c:v>4.416666666666667</c:v>
                </c:pt>
                <c:pt idx="53">
                  <c:v>4.5</c:v>
                </c:pt>
                <c:pt idx="54">
                  <c:v>4.583333333333333</c:v>
                </c:pt>
                <c:pt idx="55">
                  <c:v>4.666666666666667</c:v>
                </c:pt>
                <c:pt idx="56">
                  <c:v>4.75</c:v>
                </c:pt>
                <c:pt idx="57">
                  <c:v>4.833333333333333</c:v>
                </c:pt>
                <c:pt idx="58">
                  <c:v>4.916666666666667</c:v>
                </c:pt>
                <c:pt idx="59">
                  <c:v>5</c:v>
                </c:pt>
                <c:pt idx="60">
                  <c:v>5.083333333333333</c:v>
                </c:pt>
                <c:pt idx="61">
                  <c:v>5.166666666666667</c:v>
                </c:pt>
                <c:pt idx="62">
                  <c:v>5.25</c:v>
                </c:pt>
                <c:pt idx="63">
                  <c:v>5.333333333333333</c:v>
                </c:pt>
                <c:pt idx="64">
                  <c:v>5.416666666666667</c:v>
                </c:pt>
                <c:pt idx="65">
                  <c:v>5.5</c:v>
                </c:pt>
                <c:pt idx="66">
                  <c:v>5.583333333333333</c:v>
                </c:pt>
                <c:pt idx="67">
                  <c:v>5.666666666666667</c:v>
                </c:pt>
                <c:pt idx="68">
                  <c:v>5.75</c:v>
                </c:pt>
                <c:pt idx="69">
                  <c:v>5.833333333333333</c:v>
                </c:pt>
                <c:pt idx="70">
                  <c:v>5.916666666666667</c:v>
                </c:pt>
                <c:pt idx="71">
                  <c:v>6</c:v>
                </c:pt>
                <c:pt idx="72">
                  <c:v>6.083333333333333</c:v>
                </c:pt>
                <c:pt idx="73">
                  <c:v>6.166666666666667</c:v>
                </c:pt>
                <c:pt idx="74">
                  <c:v>6.25</c:v>
                </c:pt>
                <c:pt idx="75">
                  <c:v>6.333333333333333</c:v>
                </c:pt>
                <c:pt idx="76">
                  <c:v>6.416666666666667</c:v>
                </c:pt>
                <c:pt idx="77">
                  <c:v>6.5</c:v>
                </c:pt>
                <c:pt idx="78">
                  <c:v>6.583333333333333</c:v>
                </c:pt>
                <c:pt idx="79">
                  <c:v>6.666666666666667</c:v>
                </c:pt>
                <c:pt idx="80">
                  <c:v>6.75</c:v>
                </c:pt>
                <c:pt idx="81">
                  <c:v>6.833333333333333</c:v>
                </c:pt>
                <c:pt idx="82">
                  <c:v>6.916666666666667</c:v>
                </c:pt>
                <c:pt idx="83">
                  <c:v>7</c:v>
                </c:pt>
                <c:pt idx="84">
                  <c:v>7.083333333333333</c:v>
                </c:pt>
                <c:pt idx="85">
                  <c:v>7.166666666666667</c:v>
                </c:pt>
                <c:pt idx="86">
                  <c:v>7.25</c:v>
                </c:pt>
                <c:pt idx="87">
                  <c:v>7.333333333333333</c:v>
                </c:pt>
                <c:pt idx="88">
                  <c:v>7.416666666666667</c:v>
                </c:pt>
                <c:pt idx="89">
                  <c:v>7.5</c:v>
                </c:pt>
                <c:pt idx="90">
                  <c:v>7.583333333333333</c:v>
                </c:pt>
                <c:pt idx="91">
                  <c:v>7.666666666666667</c:v>
                </c:pt>
                <c:pt idx="92">
                  <c:v>7.75</c:v>
                </c:pt>
                <c:pt idx="93">
                  <c:v>7.833333333333333</c:v>
                </c:pt>
                <c:pt idx="94">
                  <c:v>7.916666666666667</c:v>
                </c:pt>
                <c:pt idx="95">
                  <c:v>8</c:v>
                </c:pt>
                <c:pt idx="96">
                  <c:v>8.0833333333333339</c:v>
                </c:pt>
                <c:pt idx="97">
                  <c:v>8.1666666666666661</c:v>
                </c:pt>
                <c:pt idx="98">
                  <c:v>8.25</c:v>
                </c:pt>
                <c:pt idx="99">
                  <c:v>8.3333333333333339</c:v>
                </c:pt>
                <c:pt idx="100">
                  <c:v>8.4166666666666661</c:v>
                </c:pt>
                <c:pt idx="101">
                  <c:v>8.5</c:v>
                </c:pt>
                <c:pt idx="102">
                  <c:v>8.5833333333333339</c:v>
                </c:pt>
                <c:pt idx="103">
                  <c:v>8.6666666666666661</c:v>
                </c:pt>
                <c:pt idx="104">
                  <c:v>8.75</c:v>
                </c:pt>
                <c:pt idx="105">
                  <c:v>8.8333333333333339</c:v>
                </c:pt>
                <c:pt idx="106">
                  <c:v>8.9166666666666661</c:v>
                </c:pt>
                <c:pt idx="107">
                  <c:v>9</c:v>
                </c:pt>
                <c:pt idx="108">
                  <c:v>9.0833333333333339</c:v>
                </c:pt>
                <c:pt idx="109">
                  <c:v>9.1666666666666661</c:v>
                </c:pt>
                <c:pt idx="110">
                  <c:v>9.25</c:v>
                </c:pt>
                <c:pt idx="111">
                  <c:v>9.3333333333333339</c:v>
                </c:pt>
                <c:pt idx="112">
                  <c:v>9.4166666666666661</c:v>
                </c:pt>
                <c:pt idx="113">
                  <c:v>9.5</c:v>
                </c:pt>
                <c:pt idx="114">
                  <c:v>9.5833333333333339</c:v>
                </c:pt>
                <c:pt idx="115">
                  <c:v>9.6666666666666661</c:v>
                </c:pt>
                <c:pt idx="116">
                  <c:v>9.75</c:v>
                </c:pt>
                <c:pt idx="117">
                  <c:v>9.8333333333333339</c:v>
                </c:pt>
                <c:pt idx="118">
                  <c:v>9.9166666666666661</c:v>
                </c:pt>
                <c:pt idx="119">
                  <c:v>10</c:v>
                </c:pt>
                <c:pt idx="120">
                  <c:v>10.083333333333334</c:v>
                </c:pt>
                <c:pt idx="121">
                  <c:v>10.166666666666666</c:v>
                </c:pt>
                <c:pt idx="122">
                  <c:v>10.25</c:v>
                </c:pt>
                <c:pt idx="123">
                  <c:v>10.333333333333334</c:v>
                </c:pt>
                <c:pt idx="124">
                  <c:v>10.416666666666666</c:v>
                </c:pt>
                <c:pt idx="125">
                  <c:v>10.5</c:v>
                </c:pt>
                <c:pt idx="126">
                  <c:v>10.583333333333334</c:v>
                </c:pt>
                <c:pt idx="127">
                  <c:v>10.666666666666666</c:v>
                </c:pt>
                <c:pt idx="128">
                  <c:v>10.75</c:v>
                </c:pt>
                <c:pt idx="129">
                  <c:v>10.833333333333334</c:v>
                </c:pt>
                <c:pt idx="130">
                  <c:v>10.916666666666666</c:v>
                </c:pt>
                <c:pt idx="131">
                  <c:v>11</c:v>
                </c:pt>
                <c:pt idx="132">
                  <c:v>11.083333333333334</c:v>
                </c:pt>
                <c:pt idx="133">
                  <c:v>11.166666666666666</c:v>
                </c:pt>
                <c:pt idx="134">
                  <c:v>11.25</c:v>
                </c:pt>
                <c:pt idx="135">
                  <c:v>11.333333333333334</c:v>
                </c:pt>
                <c:pt idx="136">
                  <c:v>11.416666666666666</c:v>
                </c:pt>
                <c:pt idx="137">
                  <c:v>11.5</c:v>
                </c:pt>
                <c:pt idx="138">
                  <c:v>11.583333333333334</c:v>
                </c:pt>
                <c:pt idx="139">
                  <c:v>11.666666666666666</c:v>
                </c:pt>
                <c:pt idx="140">
                  <c:v>11.75</c:v>
                </c:pt>
                <c:pt idx="141">
                  <c:v>11.833333333333334</c:v>
                </c:pt>
                <c:pt idx="142">
                  <c:v>11.916666666666666</c:v>
                </c:pt>
                <c:pt idx="143">
                  <c:v>12</c:v>
                </c:pt>
                <c:pt idx="144">
                  <c:v>12.083333333333334</c:v>
                </c:pt>
                <c:pt idx="145">
                  <c:v>12.166666666666666</c:v>
                </c:pt>
                <c:pt idx="146">
                  <c:v>12.25</c:v>
                </c:pt>
                <c:pt idx="147">
                  <c:v>12.333333333333334</c:v>
                </c:pt>
                <c:pt idx="148">
                  <c:v>12.416666666666666</c:v>
                </c:pt>
                <c:pt idx="149">
                  <c:v>12.5</c:v>
                </c:pt>
                <c:pt idx="150">
                  <c:v>12.583333333333334</c:v>
                </c:pt>
                <c:pt idx="151">
                  <c:v>12.666666666666666</c:v>
                </c:pt>
                <c:pt idx="152">
                  <c:v>12.75</c:v>
                </c:pt>
                <c:pt idx="153">
                  <c:v>12.833333333333334</c:v>
                </c:pt>
                <c:pt idx="154">
                  <c:v>12.916666666666666</c:v>
                </c:pt>
                <c:pt idx="155">
                  <c:v>13</c:v>
                </c:pt>
                <c:pt idx="156">
                  <c:v>13.083333333333334</c:v>
                </c:pt>
                <c:pt idx="157">
                  <c:v>13.166666666666666</c:v>
                </c:pt>
                <c:pt idx="158">
                  <c:v>13.25</c:v>
                </c:pt>
                <c:pt idx="159">
                  <c:v>13.333333333333334</c:v>
                </c:pt>
                <c:pt idx="160">
                  <c:v>13.416666666666666</c:v>
                </c:pt>
                <c:pt idx="161">
                  <c:v>13.5</c:v>
                </c:pt>
                <c:pt idx="162">
                  <c:v>13.583333333333334</c:v>
                </c:pt>
                <c:pt idx="163">
                  <c:v>13.666666666666666</c:v>
                </c:pt>
                <c:pt idx="164">
                  <c:v>13.75</c:v>
                </c:pt>
                <c:pt idx="165">
                  <c:v>13.833333333333334</c:v>
                </c:pt>
                <c:pt idx="166">
                  <c:v>13.916666666666666</c:v>
                </c:pt>
                <c:pt idx="167">
                  <c:v>14</c:v>
                </c:pt>
                <c:pt idx="168">
                  <c:v>14.083333333333334</c:v>
                </c:pt>
                <c:pt idx="169">
                  <c:v>14.166666666666666</c:v>
                </c:pt>
                <c:pt idx="170">
                  <c:v>14.25</c:v>
                </c:pt>
                <c:pt idx="171">
                  <c:v>14.333333333333334</c:v>
                </c:pt>
                <c:pt idx="172">
                  <c:v>14.416666666666666</c:v>
                </c:pt>
                <c:pt idx="173">
                  <c:v>14.5</c:v>
                </c:pt>
                <c:pt idx="174">
                  <c:v>14.583333333333334</c:v>
                </c:pt>
                <c:pt idx="175">
                  <c:v>14.666666666666666</c:v>
                </c:pt>
                <c:pt idx="176">
                  <c:v>14.75</c:v>
                </c:pt>
                <c:pt idx="177">
                  <c:v>14.833333333333334</c:v>
                </c:pt>
                <c:pt idx="178">
                  <c:v>14.916666666666666</c:v>
                </c:pt>
                <c:pt idx="179">
                  <c:v>15</c:v>
                </c:pt>
                <c:pt idx="180">
                  <c:v>15.083333333333334</c:v>
                </c:pt>
                <c:pt idx="181">
                  <c:v>15.166666666666666</c:v>
                </c:pt>
                <c:pt idx="182">
                  <c:v>15.25</c:v>
                </c:pt>
                <c:pt idx="183">
                  <c:v>15.333333333333334</c:v>
                </c:pt>
                <c:pt idx="184">
                  <c:v>15.416666666666666</c:v>
                </c:pt>
                <c:pt idx="185">
                  <c:v>15.5</c:v>
                </c:pt>
                <c:pt idx="186">
                  <c:v>15.583333333333334</c:v>
                </c:pt>
                <c:pt idx="187">
                  <c:v>15.666666666666666</c:v>
                </c:pt>
                <c:pt idx="188">
                  <c:v>15.75</c:v>
                </c:pt>
                <c:pt idx="189">
                  <c:v>15.833333333333334</c:v>
                </c:pt>
                <c:pt idx="190">
                  <c:v>15.916666666666666</c:v>
                </c:pt>
                <c:pt idx="191">
                  <c:v>16</c:v>
                </c:pt>
                <c:pt idx="192">
                  <c:v>16.083333333333332</c:v>
                </c:pt>
                <c:pt idx="193">
                  <c:v>16.166666666666668</c:v>
                </c:pt>
                <c:pt idx="194">
                  <c:v>16.25</c:v>
                </c:pt>
                <c:pt idx="195">
                  <c:v>16.333333333333332</c:v>
                </c:pt>
                <c:pt idx="196">
                  <c:v>16.416666666666668</c:v>
                </c:pt>
                <c:pt idx="197">
                  <c:v>16.5</c:v>
                </c:pt>
                <c:pt idx="198">
                  <c:v>16.583333333333332</c:v>
                </c:pt>
                <c:pt idx="199">
                  <c:v>16.666666666666668</c:v>
                </c:pt>
                <c:pt idx="200">
                  <c:v>16.75</c:v>
                </c:pt>
                <c:pt idx="201">
                  <c:v>16.833333333333332</c:v>
                </c:pt>
                <c:pt idx="202">
                  <c:v>16.916666666666668</c:v>
                </c:pt>
                <c:pt idx="203">
                  <c:v>17</c:v>
                </c:pt>
                <c:pt idx="204">
                  <c:v>17.083333333333332</c:v>
                </c:pt>
                <c:pt idx="205">
                  <c:v>17.166666666666668</c:v>
                </c:pt>
                <c:pt idx="206">
                  <c:v>17.25</c:v>
                </c:pt>
                <c:pt idx="207">
                  <c:v>17.333333333333332</c:v>
                </c:pt>
                <c:pt idx="208">
                  <c:v>17.416666666666668</c:v>
                </c:pt>
                <c:pt idx="209">
                  <c:v>17.5</c:v>
                </c:pt>
                <c:pt idx="210">
                  <c:v>17.583333333333332</c:v>
                </c:pt>
                <c:pt idx="211">
                  <c:v>17.666666666666668</c:v>
                </c:pt>
                <c:pt idx="212">
                  <c:v>17.75</c:v>
                </c:pt>
                <c:pt idx="213">
                  <c:v>17.833333333333332</c:v>
                </c:pt>
                <c:pt idx="214">
                  <c:v>17.916666666666668</c:v>
                </c:pt>
                <c:pt idx="215">
                  <c:v>18</c:v>
                </c:pt>
                <c:pt idx="216">
                  <c:v>18.083333333333332</c:v>
                </c:pt>
                <c:pt idx="217">
                  <c:v>18.166666666666668</c:v>
                </c:pt>
                <c:pt idx="218">
                  <c:v>18.25</c:v>
                </c:pt>
                <c:pt idx="219">
                  <c:v>18.333333333333332</c:v>
                </c:pt>
                <c:pt idx="220">
                  <c:v>18.416666666666668</c:v>
                </c:pt>
                <c:pt idx="221">
                  <c:v>18.5</c:v>
                </c:pt>
                <c:pt idx="222">
                  <c:v>18.583333333333332</c:v>
                </c:pt>
                <c:pt idx="223">
                  <c:v>18.666666666666668</c:v>
                </c:pt>
                <c:pt idx="224">
                  <c:v>18.75</c:v>
                </c:pt>
                <c:pt idx="225">
                  <c:v>18.833333333333332</c:v>
                </c:pt>
                <c:pt idx="226">
                  <c:v>18.916666666666668</c:v>
                </c:pt>
                <c:pt idx="227">
                  <c:v>19</c:v>
                </c:pt>
                <c:pt idx="228">
                  <c:v>19.083333333333332</c:v>
                </c:pt>
                <c:pt idx="229">
                  <c:v>19.166666666666668</c:v>
                </c:pt>
                <c:pt idx="230">
                  <c:v>19.25</c:v>
                </c:pt>
                <c:pt idx="231">
                  <c:v>19.333333333333332</c:v>
                </c:pt>
                <c:pt idx="232">
                  <c:v>19.416666666666668</c:v>
                </c:pt>
                <c:pt idx="233">
                  <c:v>19.5</c:v>
                </c:pt>
                <c:pt idx="234">
                  <c:v>19.583333333333332</c:v>
                </c:pt>
                <c:pt idx="235">
                  <c:v>19.666666666666668</c:v>
                </c:pt>
                <c:pt idx="236">
                  <c:v>19.75</c:v>
                </c:pt>
                <c:pt idx="237">
                  <c:v>19.833333333333332</c:v>
                </c:pt>
                <c:pt idx="238">
                  <c:v>19.916666666666668</c:v>
                </c:pt>
                <c:pt idx="239">
                  <c:v>20</c:v>
                </c:pt>
                <c:pt idx="240">
                  <c:v>20.083333333333332</c:v>
                </c:pt>
                <c:pt idx="241">
                  <c:v>20.166666666666668</c:v>
                </c:pt>
                <c:pt idx="242">
                  <c:v>20.25</c:v>
                </c:pt>
                <c:pt idx="243">
                  <c:v>20.333333333333332</c:v>
                </c:pt>
                <c:pt idx="244">
                  <c:v>20.416666666666668</c:v>
                </c:pt>
                <c:pt idx="245">
                  <c:v>20.5</c:v>
                </c:pt>
                <c:pt idx="246">
                  <c:v>20.583333333333332</c:v>
                </c:pt>
                <c:pt idx="247">
                  <c:v>20.666666666666668</c:v>
                </c:pt>
                <c:pt idx="248">
                  <c:v>20.75</c:v>
                </c:pt>
                <c:pt idx="249">
                  <c:v>20.833333333333332</c:v>
                </c:pt>
                <c:pt idx="250">
                  <c:v>20.916666666666668</c:v>
                </c:pt>
                <c:pt idx="251">
                  <c:v>21</c:v>
                </c:pt>
                <c:pt idx="252">
                  <c:v>21.083333333333332</c:v>
                </c:pt>
                <c:pt idx="253">
                  <c:v>21.166666666666668</c:v>
                </c:pt>
                <c:pt idx="254">
                  <c:v>21.25</c:v>
                </c:pt>
                <c:pt idx="255">
                  <c:v>21.333333333333332</c:v>
                </c:pt>
                <c:pt idx="256">
                  <c:v>21.416666666666668</c:v>
                </c:pt>
                <c:pt idx="257">
                  <c:v>21.5</c:v>
                </c:pt>
                <c:pt idx="258">
                  <c:v>21.583333333333332</c:v>
                </c:pt>
                <c:pt idx="259">
                  <c:v>21.666666666666668</c:v>
                </c:pt>
                <c:pt idx="260">
                  <c:v>21.75</c:v>
                </c:pt>
                <c:pt idx="261">
                  <c:v>21.833333333333332</c:v>
                </c:pt>
                <c:pt idx="262">
                  <c:v>21.916666666666668</c:v>
                </c:pt>
                <c:pt idx="263">
                  <c:v>22</c:v>
                </c:pt>
                <c:pt idx="264">
                  <c:v>22.083333333333332</c:v>
                </c:pt>
                <c:pt idx="265">
                  <c:v>22.166666666666668</c:v>
                </c:pt>
                <c:pt idx="266">
                  <c:v>22.25</c:v>
                </c:pt>
                <c:pt idx="267">
                  <c:v>22.333333333333332</c:v>
                </c:pt>
                <c:pt idx="268">
                  <c:v>22.416666666666668</c:v>
                </c:pt>
                <c:pt idx="269">
                  <c:v>22.5</c:v>
                </c:pt>
                <c:pt idx="270">
                  <c:v>22.583333333333332</c:v>
                </c:pt>
                <c:pt idx="271">
                  <c:v>22.666666666666668</c:v>
                </c:pt>
                <c:pt idx="272">
                  <c:v>22.75</c:v>
                </c:pt>
                <c:pt idx="273">
                  <c:v>22.833333333333332</c:v>
                </c:pt>
                <c:pt idx="274">
                  <c:v>22.916666666666668</c:v>
                </c:pt>
                <c:pt idx="275">
                  <c:v>23</c:v>
                </c:pt>
                <c:pt idx="276">
                  <c:v>23.083333333333332</c:v>
                </c:pt>
                <c:pt idx="277">
                  <c:v>23.166666666666668</c:v>
                </c:pt>
                <c:pt idx="278">
                  <c:v>23.25</c:v>
                </c:pt>
                <c:pt idx="279">
                  <c:v>23.333333333333332</c:v>
                </c:pt>
                <c:pt idx="280">
                  <c:v>23.416666666666668</c:v>
                </c:pt>
                <c:pt idx="281">
                  <c:v>23.5</c:v>
                </c:pt>
                <c:pt idx="282">
                  <c:v>23.583333333333332</c:v>
                </c:pt>
                <c:pt idx="283">
                  <c:v>23.666666666666668</c:v>
                </c:pt>
                <c:pt idx="284">
                  <c:v>23.75</c:v>
                </c:pt>
                <c:pt idx="285">
                  <c:v>23.833333333333332</c:v>
                </c:pt>
                <c:pt idx="286">
                  <c:v>23.916666666666668</c:v>
                </c:pt>
                <c:pt idx="287">
                  <c:v>24</c:v>
                </c:pt>
                <c:pt idx="288">
                  <c:v>24.083333333333332</c:v>
                </c:pt>
                <c:pt idx="289">
                  <c:v>24.166666666666668</c:v>
                </c:pt>
                <c:pt idx="290">
                  <c:v>24.25</c:v>
                </c:pt>
                <c:pt idx="291">
                  <c:v>24.333333333333332</c:v>
                </c:pt>
                <c:pt idx="292">
                  <c:v>24.416666666666668</c:v>
                </c:pt>
                <c:pt idx="293">
                  <c:v>24.5</c:v>
                </c:pt>
                <c:pt idx="294">
                  <c:v>24.583333333333332</c:v>
                </c:pt>
                <c:pt idx="295">
                  <c:v>24.666666666666668</c:v>
                </c:pt>
                <c:pt idx="296">
                  <c:v>24.75</c:v>
                </c:pt>
                <c:pt idx="297">
                  <c:v>24.833333333333332</c:v>
                </c:pt>
                <c:pt idx="298">
                  <c:v>24.916666666666668</c:v>
                </c:pt>
                <c:pt idx="299">
                  <c:v>25</c:v>
                </c:pt>
                <c:pt idx="300">
                  <c:v>25.083333333333332</c:v>
                </c:pt>
                <c:pt idx="301">
                  <c:v>25.166666666666668</c:v>
                </c:pt>
                <c:pt idx="302">
                  <c:v>25.25</c:v>
                </c:pt>
                <c:pt idx="303">
                  <c:v>25.333333333333332</c:v>
                </c:pt>
                <c:pt idx="304">
                  <c:v>25.416666666666668</c:v>
                </c:pt>
                <c:pt idx="305">
                  <c:v>25.5</c:v>
                </c:pt>
                <c:pt idx="306">
                  <c:v>25.583333333333332</c:v>
                </c:pt>
                <c:pt idx="307">
                  <c:v>25.666666666666668</c:v>
                </c:pt>
                <c:pt idx="308">
                  <c:v>25.75</c:v>
                </c:pt>
                <c:pt idx="309">
                  <c:v>25.833333333333332</c:v>
                </c:pt>
                <c:pt idx="310">
                  <c:v>25.916666666666668</c:v>
                </c:pt>
                <c:pt idx="311">
                  <c:v>26</c:v>
                </c:pt>
                <c:pt idx="312">
                  <c:v>26.083333333333332</c:v>
                </c:pt>
                <c:pt idx="313">
                  <c:v>26.166666666666668</c:v>
                </c:pt>
                <c:pt idx="314">
                  <c:v>26.25</c:v>
                </c:pt>
                <c:pt idx="315">
                  <c:v>26.333333333333332</c:v>
                </c:pt>
                <c:pt idx="316">
                  <c:v>26.416666666666668</c:v>
                </c:pt>
                <c:pt idx="317">
                  <c:v>26.5</c:v>
                </c:pt>
                <c:pt idx="318">
                  <c:v>26.583333333333332</c:v>
                </c:pt>
                <c:pt idx="319">
                  <c:v>26.666666666666668</c:v>
                </c:pt>
                <c:pt idx="320">
                  <c:v>26.75</c:v>
                </c:pt>
                <c:pt idx="321">
                  <c:v>26.833333333333332</c:v>
                </c:pt>
                <c:pt idx="322">
                  <c:v>26.916666666666668</c:v>
                </c:pt>
                <c:pt idx="323">
                  <c:v>27</c:v>
                </c:pt>
                <c:pt idx="324">
                  <c:v>27.083333333333332</c:v>
                </c:pt>
                <c:pt idx="325">
                  <c:v>27.166666666666668</c:v>
                </c:pt>
                <c:pt idx="326">
                  <c:v>27.25</c:v>
                </c:pt>
                <c:pt idx="327">
                  <c:v>27.333333333333332</c:v>
                </c:pt>
                <c:pt idx="328">
                  <c:v>27.416666666666668</c:v>
                </c:pt>
                <c:pt idx="329">
                  <c:v>27.5</c:v>
                </c:pt>
                <c:pt idx="330">
                  <c:v>27.583333333333332</c:v>
                </c:pt>
                <c:pt idx="331">
                  <c:v>27.666666666666668</c:v>
                </c:pt>
                <c:pt idx="332">
                  <c:v>27.75</c:v>
                </c:pt>
                <c:pt idx="333">
                  <c:v>27.833333333333332</c:v>
                </c:pt>
                <c:pt idx="334">
                  <c:v>27.916666666666668</c:v>
                </c:pt>
                <c:pt idx="335">
                  <c:v>28</c:v>
                </c:pt>
                <c:pt idx="336">
                  <c:v>28.083333333333332</c:v>
                </c:pt>
                <c:pt idx="337">
                  <c:v>28.166666666666668</c:v>
                </c:pt>
                <c:pt idx="338">
                  <c:v>28.25</c:v>
                </c:pt>
                <c:pt idx="339">
                  <c:v>28.333333333333332</c:v>
                </c:pt>
                <c:pt idx="340">
                  <c:v>28.416666666666668</c:v>
                </c:pt>
                <c:pt idx="341">
                  <c:v>28.5</c:v>
                </c:pt>
                <c:pt idx="342">
                  <c:v>28.583333333333332</c:v>
                </c:pt>
                <c:pt idx="343">
                  <c:v>28.666666666666668</c:v>
                </c:pt>
                <c:pt idx="344">
                  <c:v>28.75</c:v>
                </c:pt>
                <c:pt idx="345">
                  <c:v>28.833333333333332</c:v>
                </c:pt>
                <c:pt idx="346">
                  <c:v>28.916666666666668</c:v>
                </c:pt>
                <c:pt idx="347">
                  <c:v>29</c:v>
                </c:pt>
                <c:pt idx="348">
                  <c:v>29.083333333333332</c:v>
                </c:pt>
                <c:pt idx="349">
                  <c:v>29.166666666666668</c:v>
                </c:pt>
                <c:pt idx="350">
                  <c:v>29.25</c:v>
                </c:pt>
                <c:pt idx="351">
                  <c:v>29.333333333333332</c:v>
                </c:pt>
                <c:pt idx="352">
                  <c:v>29.416666666666668</c:v>
                </c:pt>
                <c:pt idx="353">
                  <c:v>29.5</c:v>
                </c:pt>
                <c:pt idx="354">
                  <c:v>29.583333333333332</c:v>
                </c:pt>
                <c:pt idx="355">
                  <c:v>29.666666666666668</c:v>
                </c:pt>
                <c:pt idx="356">
                  <c:v>29.75</c:v>
                </c:pt>
                <c:pt idx="357">
                  <c:v>29.833333333333332</c:v>
                </c:pt>
                <c:pt idx="358">
                  <c:v>29.916666666666668</c:v>
                </c:pt>
                <c:pt idx="359">
                  <c:v>30</c:v>
                </c:pt>
                <c:pt idx="360">
                  <c:v>30.083333333333332</c:v>
                </c:pt>
                <c:pt idx="361">
                  <c:v>30.166666666666668</c:v>
                </c:pt>
                <c:pt idx="362">
                  <c:v>30.25</c:v>
                </c:pt>
                <c:pt idx="363">
                  <c:v>30.333333333333332</c:v>
                </c:pt>
                <c:pt idx="364">
                  <c:v>30.416666666666668</c:v>
                </c:pt>
                <c:pt idx="365">
                  <c:v>30.5</c:v>
                </c:pt>
                <c:pt idx="366">
                  <c:v>30.583333333333332</c:v>
                </c:pt>
                <c:pt idx="367">
                  <c:v>30.666666666666668</c:v>
                </c:pt>
                <c:pt idx="368">
                  <c:v>30.75</c:v>
                </c:pt>
                <c:pt idx="369">
                  <c:v>30.833333333333332</c:v>
                </c:pt>
                <c:pt idx="370">
                  <c:v>30.916666666666668</c:v>
                </c:pt>
                <c:pt idx="371">
                  <c:v>31</c:v>
                </c:pt>
                <c:pt idx="372">
                  <c:v>31.083333333333332</c:v>
                </c:pt>
                <c:pt idx="373">
                  <c:v>31.166666666666668</c:v>
                </c:pt>
                <c:pt idx="374">
                  <c:v>31.25</c:v>
                </c:pt>
                <c:pt idx="375">
                  <c:v>31.333333333333332</c:v>
                </c:pt>
                <c:pt idx="376">
                  <c:v>31.416666666666668</c:v>
                </c:pt>
                <c:pt idx="377">
                  <c:v>31.5</c:v>
                </c:pt>
                <c:pt idx="378">
                  <c:v>31.583333333333332</c:v>
                </c:pt>
                <c:pt idx="379">
                  <c:v>31.666666666666668</c:v>
                </c:pt>
                <c:pt idx="380">
                  <c:v>31.75</c:v>
                </c:pt>
                <c:pt idx="381">
                  <c:v>31.833333333333332</c:v>
                </c:pt>
                <c:pt idx="382">
                  <c:v>31.916666666666668</c:v>
                </c:pt>
                <c:pt idx="383">
                  <c:v>32</c:v>
                </c:pt>
                <c:pt idx="384">
                  <c:v>32.083333333333336</c:v>
                </c:pt>
                <c:pt idx="385">
                  <c:v>32.166666666666664</c:v>
                </c:pt>
                <c:pt idx="386">
                  <c:v>32.25</c:v>
                </c:pt>
                <c:pt idx="387">
                  <c:v>32.333333333333336</c:v>
                </c:pt>
                <c:pt idx="388">
                  <c:v>32.416666666666664</c:v>
                </c:pt>
                <c:pt idx="389">
                  <c:v>32.5</c:v>
                </c:pt>
                <c:pt idx="390">
                  <c:v>32.583333333333336</c:v>
                </c:pt>
                <c:pt idx="391">
                  <c:v>32.666666666666664</c:v>
                </c:pt>
                <c:pt idx="392">
                  <c:v>32.75</c:v>
                </c:pt>
                <c:pt idx="393">
                  <c:v>32.833333333333336</c:v>
                </c:pt>
                <c:pt idx="394">
                  <c:v>32.916666666666664</c:v>
                </c:pt>
                <c:pt idx="395">
                  <c:v>33</c:v>
                </c:pt>
                <c:pt idx="396">
                  <c:v>33.083333333333336</c:v>
                </c:pt>
                <c:pt idx="397">
                  <c:v>33.166666666666664</c:v>
                </c:pt>
                <c:pt idx="398">
                  <c:v>33.25</c:v>
                </c:pt>
                <c:pt idx="399">
                  <c:v>33.333333333333336</c:v>
                </c:pt>
                <c:pt idx="400">
                  <c:v>33.416666666666664</c:v>
                </c:pt>
                <c:pt idx="401">
                  <c:v>33.5</c:v>
                </c:pt>
                <c:pt idx="402">
                  <c:v>33.583333333333336</c:v>
                </c:pt>
                <c:pt idx="403">
                  <c:v>33.666666666666664</c:v>
                </c:pt>
                <c:pt idx="404">
                  <c:v>33.75</c:v>
                </c:pt>
                <c:pt idx="405">
                  <c:v>33.833333333333336</c:v>
                </c:pt>
                <c:pt idx="406">
                  <c:v>33.916666666666664</c:v>
                </c:pt>
                <c:pt idx="407">
                  <c:v>34</c:v>
                </c:pt>
                <c:pt idx="408">
                  <c:v>34.083333333333336</c:v>
                </c:pt>
                <c:pt idx="409">
                  <c:v>34.166666666666664</c:v>
                </c:pt>
                <c:pt idx="410">
                  <c:v>34.25</c:v>
                </c:pt>
                <c:pt idx="411">
                  <c:v>34.333333333333336</c:v>
                </c:pt>
                <c:pt idx="412">
                  <c:v>34.416666666666664</c:v>
                </c:pt>
                <c:pt idx="413">
                  <c:v>34.5</c:v>
                </c:pt>
                <c:pt idx="414">
                  <c:v>34.583333333333336</c:v>
                </c:pt>
                <c:pt idx="415">
                  <c:v>34.666666666666664</c:v>
                </c:pt>
                <c:pt idx="416">
                  <c:v>34.75</c:v>
                </c:pt>
                <c:pt idx="417">
                  <c:v>34.833333333333336</c:v>
                </c:pt>
                <c:pt idx="418">
                  <c:v>34.916666666666664</c:v>
                </c:pt>
                <c:pt idx="419">
                  <c:v>35</c:v>
                </c:pt>
                <c:pt idx="420">
                  <c:v>35.083333333333336</c:v>
                </c:pt>
                <c:pt idx="421">
                  <c:v>35.166666666666664</c:v>
                </c:pt>
                <c:pt idx="422">
                  <c:v>35.25</c:v>
                </c:pt>
                <c:pt idx="423">
                  <c:v>35.333333333333336</c:v>
                </c:pt>
                <c:pt idx="424">
                  <c:v>35.416666666666664</c:v>
                </c:pt>
                <c:pt idx="425">
                  <c:v>35.5</c:v>
                </c:pt>
                <c:pt idx="426">
                  <c:v>35.583333333333336</c:v>
                </c:pt>
                <c:pt idx="427">
                  <c:v>35.666666666666664</c:v>
                </c:pt>
                <c:pt idx="428">
                  <c:v>35.75</c:v>
                </c:pt>
                <c:pt idx="429">
                  <c:v>35.833333333333336</c:v>
                </c:pt>
                <c:pt idx="430">
                  <c:v>35.916666666666664</c:v>
                </c:pt>
                <c:pt idx="431">
                  <c:v>36</c:v>
                </c:pt>
                <c:pt idx="432">
                  <c:v>36.083333333333336</c:v>
                </c:pt>
                <c:pt idx="433">
                  <c:v>36.166666666666664</c:v>
                </c:pt>
                <c:pt idx="434">
                  <c:v>36.25</c:v>
                </c:pt>
                <c:pt idx="435">
                  <c:v>36.333333333333336</c:v>
                </c:pt>
                <c:pt idx="436">
                  <c:v>36.416666666666664</c:v>
                </c:pt>
                <c:pt idx="437">
                  <c:v>36.5</c:v>
                </c:pt>
                <c:pt idx="438">
                  <c:v>36.583333333333336</c:v>
                </c:pt>
                <c:pt idx="439">
                  <c:v>36.666666666666664</c:v>
                </c:pt>
                <c:pt idx="440">
                  <c:v>36.75</c:v>
                </c:pt>
                <c:pt idx="441">
                  <c:v>36.833333333333336</c:v>
                </c:pt>
                <c:pt idx="442">
                  <c:v>36.916666666666664</c:v>
                </c:pt>
                <c:pt idx="443">
                  <c:v>37</c:v>
                </c:pt>
                <c:pt idx="444">
                  <c:v>37.083333333333336</c:v>
                </c:pt>
                <c:pt idx="445">
                  <c:v>37.166666666666664</c:v>
                </c:pt>
                <c:pt idx="446">
                  <c:v>37.25</c:v>
                </c:pt>
                <c:pt idx="447">
                  <c:v>37.333333333333336</c:v>
                </c:pt>
                <c:pt idx="448">
                  <c:v>37.416666666666664</c:v>
                </c:pt>
                <c:pt idx="449">
                  <c:v>37.5</c:v>
                </c:pt>
                <c:pt idx="450">
                  <c:v>37.583333333333336</c:v>
                </c:pt>
                <c:pt idx="451">
                  <c:v>37.666666666666664</c:v>
                </c:pt>
                <c:pt idx="452">
                  <c:v>37.75</c:v>
                </c:pt>
                <c:pt idx="453">
                  <c:v>37.833333333333336</c:v>
                </c:pt>
                <c:pt idx="454">
                  <c:v>37.916666666666664</c:v>
                </c:pt>
                <c:pt idx="455">
                  <c:v>38</c:v>
                </c:pt>
                <c:pt idx="456">
                  <c:v>38.083333333333336</c:v>
                </c:pt>
                <c:pt idx="457">
                  <c:v>38.166666666666664</c:v>
                </c:pt>
                <c:pt idx="458">
                  <c:v>38.25</c:v>
                </c:pt>
                <c:pt idx="459">
                  <c:v>38.333333333333336</c:v>
                </c:pt>
                <c:pt idx="460">
                  <c:v>38.416666666666664</c:v>
                </c:pt>
                <c:pt idx="461">
                  <c:v>38.5</c:v>
                </c:pt>
                <c:pt idx="462">
                  <c:v>38.583333333333336</c:v>
                </c:pt>
                <c:pt idx="463">
                  <c:v>38.666666666666664</c:v>
                </c:pt>
                <c:pt idx="464">
                  <c:v>38.75</c:v>
                </c:pt>
                <c:pt idx="465">
                  <c:v>38.833333333333336</c:v>
                </c:pt>
                <c:pt idx="466">
                  <c:v>38.916666666666664</c:v>
                </c:pt>
                <c:pt idx="467">
                  <c:v>39</c:v>
                </c:pt>
                <c:pt idx="468">
                  <c:v>39.083333333333336</c:v>
                </c:pt>
                <c:pt idx="469">
                  <c:v>39.166666666666664</c:v>
                </c:pt>
                <c:pt idx="470">
                  <c:v>39.25</c:v>
                </c:pt>
                <c:pt idx="471">
                  <c:v>39.333333333333336</c:v>
                </c:pt>
                <c:pt idx="472">
                  <c:v>39.416666666666664</c:v>
                </c:pt>
                <c:pt idx="473">
                  <c:v>39.5</c:v>
                </c:pt>
                <c:pt idx="474">
                  <c:v>39.583333333333336</c:v>
                </c:pt>
                <c:pt idx="475">
                  <c:v>39.666666666666664</c:v>
                </c:pt>
                <c:pt idx="476">
                  <c:v>39.75</c:v>
                </c:pt>
                <c:pt idx="477">
                  <c:v>39.833333333333336</c:v>
                </c:pt>
                <c:pt idx="478">
                  <c:v>39.916666666666664</c:v>
                </c:pt>
                <c:pt idx="479">
                  <c:v>40</c:v>
                </c:pt>
              </c:numCache>
            </c:numRef>
          </c:xVal>
          <c:yVal>
            <c:numRef>
              <c:f>'Figures B1-B3'!$E$21:$RP$21</c:f>
              <c:numCache>
                <c:formatCode>#,##0.0</c:formatCode>
                <c:ptCount val="480"/>
                <c:pt idx="0">
                  <c:v>8.5544570688243271E-6</c:v>
                </c:pt>
                <c:pt idx="1">
                  <c:v>6.8008465527976102E-5</c:v>
                </c:pt>
                <c:pt idx="2">
                  <c:v>2.2809679712868013E-4</c:v>
                </c:pt>
                <c:pt idx="3">
                  <c:v>5.3730357085554029E-4</c:v>
                </c:pt>
                <c:pt idx="4">
                  <c:v>1.0428839694930018E-3</c:v>
                </c:pt>
                <c:pt idx="5">
                  <c:v>1.7908856308893263E-3</c:v>
                </c:pt>
                <c:pt idx="6">
                  <c:v>2.8261697184418129E-3</c:v>
                </c:pt>
                <c:pt idx="7">
                  <c:v>4.192431675266812E-3</c:v>
                </c:pt>
                <c:pt idx="8">
                  <c:v>5.9322216664580707E-3</c:v>
                </c:pt>
                <c:pt idx="9">
                  <c:v>8.0869647137792496E-3</c:v>
                </c:pt>
                <c:pt idx="10">
                  <c:v>1.0696980527076586E-2</c:v>
                </c:pt>
                <c:pt idx="11">
                  <c:v>1.3801503036642727E-2</c:v>
                </c:pt>
                <c:pt idx="12">
                  <c:v>1.7438699630704126E-2</c:v>
                </c:pt>
                <c:pt idx="13">
                  <c:v>2.1645690102150235E-2</c:v>
                </c:pt>
                <c:pt idx="14">
                  <c:v>2.6458565308565586E-2</c:v>
                </c:pt>
                <c:pt idx="15">
                  <c:v>3.1912405549575487E-2</c:v>
                </c:pt>
                <c:pt idx="16">
                  <c:v>3.8041298665456802E-2</c:v>
                </c:pt>
                <c:pt idx="17">
                  <c:v>4.4878357860917865E-2</c:v>
                </c:pt>
                <c:pt idx="18">
                  <c:v>5.2455739257894866E-2</c:v>
                </c:pt>
                <c:pt idx="19">
                  <c:v>6.080465918116422E-2</c:v>
                </c:pt>
                <c:pt idx="20">
                  <c:v>6.9955411180516527E-2</c:v>
                </c:pt>
                <c:pt idx="21">
                  <c:v>7.9937382793190237E-2</c:v>
                </c:pt>
                <c:pt idx="22">
                  <c:v>9.0779072050210241E-2</c:v>
                </c:pt>
                <c:pt idx="23">
                  <c:v>0.10250810373022921</c:v>
                </c:pt>
                <c:pt idx="24">
                  <c:v>0.1151512453644276</c:v>
                </c:pt>
                <c:pt idx="25">
                  <c:v>0.12873442299596394</c:v>
                </c:pt>
                <c:pt idx="26">
                  <c:v>0.14328273669744057</c:v>
                </c:pt>
                <c:pt idx="27">
                  <c:v>0.15882047584978901</c:v>
                </c:pt>
                <c:pt idx="28">
                  <c:v>0.17537113418593711</c:v>
                </c:pt>
                <c:pt idx="29">
                  <c:v>0.19295742460257786</c:v>
                </c:pt>
                <c:pt idx="30">
                  <c:v>0.21160129374331518</c:v>
                </c:pt>
                <c:pt idx="31">
                  <c:v>0.23132393635640697</c:v>
                </c:pt>
                <c:pt idx="32">
                  <c:v>0.25214580943030535</c:v>
                </c:pt>
                <c:pt idx="33">
                  <c:v>0.27408664611012157</c:v>
                </c:pt>
                <c:pt idx="34">
                  <c:v>0.29716546939812627</c:v>
                </c:pt>
                <c:pt idx="35">
                  <c:v>0.32140060564134304</c:v>
                </c:pt>
                <c:pt idx="36">
                  <c:v>0.34680969780924586</c:v>
                </c:pt>
                <c:pt idx="37">
                  <c:v>0.37340971856454569</c:v>
                </c:pt>
                <c:pt idx="38">
                  <c:v>0.40121698312999765</c:v>
                </c:pt>
                <c:pt idx="39">
                  <c:v>0.43024716195412716</c:v>
                </c:pt>
                <c:pt idx="40">
                  <c:v>0.46051529317873102</c:v>
                </c:pt>
                <c:pt idx="41">
                  <c:v>0.49203579491098115</c:v>
                </c:pt>
                <c:pt idx="42">
                  <c:v>0.52482247730289744</c:v>
                </c:pt>
                <c:pt idx="43">
                  <c:v>0.5588885544409441</c:v>
                </c:pt>
                <c:pt idx="44">
                  <c:v>0.59424665604846327</c:v>
                </c:pt>
                <c:pt idx="45">
                  <c:v>0.63090883900358596</c:v>
                </c:pt>
                <c:pt idx="46">
                  <c:v>0.66888659867529388</c:v>
                </c:pt>
                <c:pt idx="47">
                  <c:v>0.70819088008020181</c:v>
                </c:pt>
                <c:pt idx="48">
                  <c:v>0.74883208886263108</c:v>
                </c:pt>
                <c:pt idx="49">
                  <c:v>0.79082010210050457</c:v>
                </c:pt>
                <c:pt idx="50">
                  <c:v>0.83416427893956235</c:v>
                </c:pt>
                <c:pt idx="51">
                  <c:v>0.87887347105833891</c:v>
                </c:pt>
                <c:pt idx="52">
                  <c:v>0.92495603296635942</c:v>
                </c:pt>
                <c:pt idx="53">
                  <c:v>0.97241983213791106</c:v>
                </c:pt>
                <c:pt idx="54">
                  <c:v>1.0212722589837857</c:v>
                </c:pt>
                <c:pt idx="55">
                  <c:v>1.0715202366633054</c:v>
                </c:pt>
                <c:pt idx="56">
                  <c:v>1.1231702307389244</c:v>
                </c:pt>
                <c:pt idx="57">
                  <c:v>1.176228258675686</c:v>
                </c:pt>
                <c:pt idx="58">
                  <c:v>1.2306998991877718</c:v>
                </c:pt>
                <c:pt idx="59">
                  <c:v>1.2865903014343147</c:v>
                </c:pt>
                <c:pt idx="60">
                  <c:v>1.343904194066716</c:v>
                </c:pt>
                <c:pt idx="61">
                  <c:v>1.4026458941295432</c:v>
                </c:pt>
                <c:pt idx="62">
                  <c:v>1.4628193158171579</c:v>
                </c:pt>
                <c:pt idx="63">
                  <c:v>1.5244279790881745</c:v>
                </c:pt>
                <c:pt idx="64">
                  <c:v>1.587475018139777</c:v>
                </c:pt>
                <c:pt idx="65">
                  <c:v>1.6519631897439422</c:v>
                </c:pt>
                <c:pt idx="66">
                  <c:v>1.7178948814475761</c:v>
                </c:pt>
                <c:pt idx="67">
                  <c:v>1.7852721196385259</c:v>
                </c:pt>
                <c:pt idx="68">
                  <c:v>1.854096577479422</c:v>
                </c:pt>
                <c:pt idx="69">
                  <c:v>1.9243695827112854</c:v>
                </c:pt>
                <c:pt idx="70">
                  <c:v>1.9960921253287776</c:v>
                </c:pt>
                <c:pt idx="71">
                  <c:v>2.0692648651289542</c:v>
                </c:pt>
                <c:pt idx="72">
                  <c:v>2.1438881391354103</c:v>
                </c:pt>
                <c:pt idx="73">
                  <c:v>2.2199619688995957</c:v>
                </c:pt>
                <c:pt idx="74">
                  <c:v>2.2974860676810884</c:v>
                </c:pt>
                <c:pt idx="75">
                  <c:v>2.37645984750865</c:v>
                </c:pt>
                <c:pt idx="76">
                  <c:v>2.4568824261237392</c:v>
                </c:pt>
                <c:pt idx="77">
                  <c:v>2.5387526338082598</c:v>
                </c:pt>
                <c:pt idx="78">
                  <c:v>2.6220690200981962</c:v>
                </c:pt>
                <c:pt idx="79">
                  <c:v>2.7068298603848753</c:v>
                </c:pt>
                <c:pt idx="80">
                  <c:v>2.7930331624053983</c:v>
                </c:pt>
                <c:pt idx="81">
                  <c:v>2.8806766726240038</c:v>
                </c:pt>
                <c:pt idx="82">
                  <c:v>2.9697578825058577</c:v>
                </c:pt>
                <c:pt idx="83">
                  <c:v>3.0602740346849182</c:v>
                </c:pt>
                <c:pt idx="84">
                  <c:v>3.1522221290273933</c:v>
                </c:pt>
                <c:pt idx="85">
                  <c:v>3.245598928592405</c:v>
                </c:pt>
                <c:pt idx="86">
                  <c:v>3.3404009654912583</c:v>
                </c:pt>
                <c:pt idx="87">
                  <c:v>3.4366245466469594</c:v>
                </c:pt>
                <c:pt idx="88">
                  <c:v>3.5342657594553346</c:v>
                </c:pt>
                <c:pt idx="89">
                  <c:v>3.6333204773492791</c:v>
                </c:pt>
                <c:pt idx="90">
                  <c:v>3.7337843652675535</c:v>
                </c:pt>
                <c:pt idx="91">
                  <c:v>3.8356528850295617</c:v>
                </c:pt>
                <c:pt idx="92">
                  <c:v>3.9389213006174426</c:v>
                </c:pt>
                <c:pt idx="93">
                  <c:v>4.0435846833669586</c:v>
                </c:pt>
                <c:pt idx="94">
                  <c:v>4.149637917068473</c:v>
                </c:pt>
                <c:pt idx="95">
                  <c:v>4.2570757029793187</c:v>
                </c:pt>
                <c:pt idx="96">
                  <c:v>4.3658925647490125</c:v>
                </c:pt>
                <c:pt idx="97">
                  <c:v>4.4760828532584638</c:v>
                </c:pt>
                <c:pt idx="98">
                  <c:v>4.5876407513745976</c:v>
                </c:pt>
                <c:pt idx="99">
                  <c:v>4.7005602786215333</c:v>
                </c:pt>
                <c:pt idx="100">
                  <c:v>4.8148352957696918</c:v>
                </c:pt>
                <c:pt idx="101">
                  <c:v>4.9304595093439723</c:v>
                </c:pt>
                <c:pt idx="102">
                  <c:v>5.0474264760522605</c:v>
                </c:pt>
                <c:pt idx="103">
                  <c:v>5.1657296071354564</c:v>
                </c:pt>
                <c:pt idx="104">
                  <c:v>5.2853621726401947</c:v>
                </c:pt>
                <c:pt idx="105">
                  <c:v>5.4063173056154223</c:v>
                </c:pt>
                <c:pt idx="106">
                  <c:v>5.5285880062340107</c:v>
                </c:pt>
                <c:pt idx="107">
                  <c:v>5.6521671458405169</c:v>
                </c:pt>
                <c:pt idx="108">
                  <c:v>5.7770474709261794</c:v>
                </c:pt>
                <c:pt idx="109">
                  <c:v>5.9032216070323038</c:v>
                </c:pt>
                <c:pt idx="110">
                  <c:v>6.0306820625831072</c:v>
                </c:pt>
                <c:pt idx="111">
                  <c:v>6.1594212326490734</c:v>
                </c:pt>
                <c:pt idx="112">
                  <c:v>6.2894314026418838</c:v>
                </c:pt>
                <c:pt idx="113">
                  <c:v>6.4207047519420053</c:v>
                </c:pt>
                <c:pt idx="114">
                  <c:v>6.5532333574598631</c:v>
                </c:pt>
                <c:pt idx="115">
                  <c:v>6.6870091971317445</c:v>
                </c:pt>
                <c:pt idx="116">
                  <c:v>6.8220241533513359</c:v>
                </c:pt>
                <c:pt idx="117">
                  <c:v>6.9582700163378606</c:v>
                </c:pt>
                <c:pt idx="118">
                  <c:v>7.0957384874419063</c:v>
                </c:pt>
                <c:pt idx="119">
                  <c:v>7.2344211823897746</c:v>
                </c:pt>
                <c:pt idx="120">
                  <c:v>7.3743096344673678</c:v>
                </c:pt>
                <c:pt idx="121">
                  <c:v>7.5153952976444769</c:v>
                </c:pt>
                <c:pt idx="122">
                  <c:v>7.6576695496405094</c:v>
                </c:pt>
                <c:pt idx="123">
                  <c:v>7.8011236949324054</c:v>
                </c:pt>
                <c:pt idx="124">
                  <c:v>7.9457489677057547</c:v>
                </c:pt>
                <c:pt idx="125">
                  <c:v>8.0915365347499435</c:v>
                </c:pt>
                <c:pt idx="126">
                  <c:v>8.2384774982981739</c:v>
                </c:pt>
                <c:pt idx="127">
                  <c:v>8.3865628988132812</c:v>
                </c:pt>
                <c:pt idx="128">
                  <c:v>8.535783717720145</c:v>
                </c:pt>
                <c:pt idx="129">
                  <c:v>8.6861308800854697</c:v>
                </c:pt>
                <c:pt idx="130">
                  <c:v>8.8375952572459102</c:v>
                </c:pt>
                <c:pt idx="131">
                  <c:v>8.9901676693851371</c:v>
                </c:pt>
                <c:pt idx="132">
                  <c:v>9.1438388880608628</c:v>
                </c:pt>
                <c:pt idx="133">
                  <c:v>9.2985996386824148</c:v>
                </c:pt>
                <c:pt idx="134">
                  <c:v>9.4544406029397763</c:v>
                </c:pt>
                <c:pt idx="135">
                  <c:v>9.6113524211846979</c:v>
                </c:pt>
                <c:pt idx="136">
                  <c:v>9.7693256947648877</c:v>
                </c:pt>
                <c:pt idx="137">
                  <c:v>9.9283509883116974</c:v>
                </c:pt>
                <c:pt idx="138">
                  <c:v>10.088418831982281</c:v>
                </c:pt>
                <c:pt idx="139">
                  <c:v>10.249519723656872</c:v>
                </c:pt>
                <c:pt idx="140">
                  <c:v>10.41164413109183</c:v>
                </c:pt>
                <c:pt idx="141">
                  <c:v>10.574782494029222</c:v>
                </c:pt>
                <c:pt idx="142">
                  <c:v>10.73892522626363</c:v>
                </c:pt>
                <c:pt idx="143">
                  <c:v>10.904062717666822</c:v>
                </c:pt>
                <c:pt idx="144">
                  <c:v>11.070185336170969</c:v>
                </c:pt>
                <c:pt idx="145">
                  <c:v>11.237283429711121</c:v>
                </c:pt>
                <c:pt idx="146">
                  <c:v>11.40534732812749</c:v>
                </c:pt>
                <c:pt idx="147">
                  <c:v>11.574367345028266</c:v>
                </c:pt>
                <c:pt idx="148">
                  <c:v>11.744333779613566</c:v>
                </c:pt>
                <c:pt idx="149">
                  <c:v>11.915236918461199</c:v>
                </c:pt>
                <c:pt idx="150">
                  <c:v>12.08706703727467</c:v>
                </c:pt>
                <c:pt idx="151">
                  <c:v>12.259814402594316</c:v>
                </c:pt>
                <c:pt idx="152">
                  <c:v>12.43346927347193</c:v>
                </c:pt>
                <c:pt idx="153">
                  <c:v>12.608021903109561</c:v>
                </c:pt>
                <c:pt idx="154">
                  <c:v>12.783462540463075</c:v>
                </c:pt>
                <c:pt idx="155">
                  <c:v>12.959781431811036</c:v>
                </c:pt>
                <c:pt idx="156">
                  <c:v>13.136968822289402</c:v>
                </c:pt>
                <c:pt idx="157">
                  <c:v>13.315014957392767</c:v>
                </c:pt>
                <c:pt idx="158">
                  <c:v>13.493910084442467</c:v>
                </c:pt>
                <c:pt idx="159">
                  <c:v>13.673644454022279</c:v>
                </c:pt>
                <c:pt idx="160">
                  <c:v>13.854208321382108</c:v>
                </c:pt>
                <c:pt idx="161">
                  <c:v>14.035591947810332</c:v>
                </c:pt>
                <c:pt idx="162">
                  <c:v>14.217785601975118</c:v>
                </c:pt>
                <c:pt idx="163">
                  <c:v>14.400779561235423</c:v>
                </c:pt>
                <c:pt idx="164">
                  <c:v>14.584564112922065</c:v>
                </c:pt>
                <c:pt idx="165">
                  <c:v>14.769129555589402</c:v>
                </c:pt>
                <c:pt idx="166">
                  <c:v>14.954466200238011</c:v>
                </c:pt>
                <c:pt idx="167">
                  <c:v>15.140564371508987</c:v>
                </c:pt>
                <c:pt idx="168">
                  <c:v>15.3274144088503</c:v>
                </c:pt>
                <c:pt idx="169">
                  <c:v>15.515006667655552</c:v>
                </c:pt>
                <c:pt idx="170">
                  <c:v>15.70333152037577</c:v>
                </c:pt>
                <c:pt idx="171">
                  <c:v>15.89237935760452</c:v>
                </c:pt>
                <c:pt idx="172">
                  <c:v>16.08214058913693</c:v>
                </c:pt>
                <c:pt idx="173">
                  <c:v>16.272605645003011</c:v>
                </c:pt>
                <c:pt idx="174">
                  <c:v>16.463764976475609</c:v>
                </c:pt>
                <c:pt idx="175">
                  <c:v>16.655609057053578</c:v>
                </c:pt>
                <c:pt idx="176">
                  <c:v>16.84812838342053</c:v>
                </c:pt>
                <c:pt idx="177">
                  <c:v>17.041313476379504</c:v>
                </c:pt>
                <c:pt idx="178">
                  <c:v>17.235154881763957</c:v>
                </c:pt>
                <c:pt idx="179">
                  <c:v>17.4296431713258</c:v>
                </c:pt>
                <c:pt idx="180">
                  <c:v>11.615667376929403</c:v>
                </c:pt>
                <c:pt idx="181">
                  <c:v>11.796607487876278</c:v>
                </c:pt>
                <c:pt idx="182">
                  <c:v>11.978651133791631</c:v>
                </c:pt>
                <c:pt idx="183">
                  <c:v>12.161786662202429</c:v>
                </c:pt>
                <c:pt idx="184">
                  <c:v>12.34600237723278</c:v>
                </c:pt>
                <c:pt idx="185">
                  <c:v>12.531286542600673</c:v>
                </c:pt>
                <c:pt idx="186">
                  <c:v>12.71762738456297</c:v>
                </c:pt>
                <c:pt idx="187">
                  <c:v>12.905013094809332</c:v>
                </c:pt>
                <c:pt idx="188">
                  <c:v>13.093431833305134</c:v>
                </c:pt>
                <c:pt idx="189">
                  <c:v>13.282871731083707</c:v>
                </c:pt>
                <c:pt idx="190">
                  <c:v>13.473320892988328</c:v>
                </c:pt>
                <c:pt idx="191">
                  <c:v>13.66476740036437</c:v>
                </c:pt>
                <c:pt idx="192">
                  <c:v>13.857199313701649</c:v>
                </c:pt>
                <c:pt idx="193">
                  <c:v>14.050604675227856</c:v>
                </c:pt>
                <c:pt idx="194">
                  <c:v>14.244971511452855</c:v>
                </c:pt>
                <c:pt idx="195">
                  <c:v>14.440287835664867</c:v>
                </c:pt>
                <c:pt idx="196">
                  <c:v>14.636541650378318</c:v>
                </c:pt>
                <c:pt idx="197">
                  <c:v>14.83372094973431</c:v>
                </c:pt>
                <c:pt idx="198">
                  <c:v>15.031813721853725</c:v>
                </c:pt>
                <c:pt idx="199">
                  <c:v>15.230807951143602</c:v>
                </c:pt>
                <c:pt idx="200">
                  <c:v>15.4306916205572</c:v>
                </c:pt>
                <c:pt idx="201">
                  <c:v>15.631452713808056</c:v>
                </c:pt>
                <c:pt idx="202">
                  <c:v>15.833079217538634</c:v>
                </c:pt>
                <c:pt idx="203">
                  <c:v>16.035559123443939</c:v>
                </c:pt>
                <c:pt idx="204">
                  <c:v>16.238880430350513</c:v>
                </c:pt>
                <c:pt idx="205">
                  <c:v>16.44303114625145</c:v>
                </c:pt>
                <c:pt idx="206">
                  <c:v>16.64799929029753</c:v>
                </c:pt>
                <c:pt idx="207">
                  <c:v>16.853772894745401</c:v>
                </c:pt>
                <c:pt idx="208">
                  <c:v>17.060340006862948</c:v>
                </c:pt>
                <c:pt idx="209">
                  <c:v>17.267688690792308</c:v>
                </c:pt>
                <c:pt idx="210">
                  <c:v>17.475807029371374</c:v>
                </c:pt>
                <c:pt idx="211">
                  <c:v>17.684683125913782</c:v>
                </c:pt>
                <c:pt idx="212">
                  <c:v>17.894305105948149</c:v>
                </c:pt>
                <c:pt idx="213">
                  <c:v>18.104661118917036</c:v>
                </c:pt>
                <c:pt idx="214">
                  <c:v>18.315739339836025</c:v>
                </c:pt>
                <c:pt idx="215">
                  <c:v>18.527527970913457</c:v>
                </c:pt>
                <c:pt idx="216">
                  <c:v>18.740015243131197</c:v>
                </c:pt>
                <c:pt idx="217">
                  <c:v>18.953189417787204</c:v>
                </c:pt>
                <c:pt idx="218">
                  <c:v>19.167038787999967</c:v>
                </c:pt>
                <c:pt idx="219">
                  <c:v>19.381551680175743</c:v>
                </c:pt>
                <c:pt idx="220">
                  <c:v>19.59671645543866</c:v>
                </c:pt>
                <c:pt idx="221">
                  <c:v>19.812521511024485</c:v>
                </c:pt>
                <c:pt idx="222">
                  <c:v>20.028955281638538</c:v>
                </c:pt>
                <c:pt idx="223">
                  <c:v>20.24600624077782</c:v>
                </c:pt>
                <c:pt idx="224">
                  <c:v>20.463662902018452</c:v>
                </c:pt>
                <c:pt idx="225">
                  <c:v>20.681913820268491</c:v>
                </c:pt>
                <c:pt idx="226">
                  <c:v>20.900747592986644</c:v>
                </c:pt>
                <c:pt idx="227">
                  <c:v>21.120152861367568</c:v>
                </c:pt>
                <c:pt idx="228">
                  <c:v>21.340118311493992</c:v>
                </c:pt>
                <c:pt idx="229">
                  <c:v>21.560632675456336</c:v>
                </c:pt>
                <c:pt idx="230">
                  <c:v>21.781684732440052</c:v>
                </c:pt>
                <c:pt idx="231">
                  <c:v>22.003263309781527</c:v>
                </c:pt>
                <c:pt idx="232">
                  <c:v>22.225357283992672</c:v>
                </c:pt>
                <c:pt idx="233">
                  <c:v>22.447955581754748</c:v>
                </c:pt>
                <c:pt idx="234">
                  <c:v>22.671047180882127</c:v>
                </c:pt>
                <c:pt idx="235">
                  <c:v>22.894621111256082</c:v>
                </c:pt>
                <c:pt idx="236">
                  <c:v>23.118666455729386</c:v>
                </c:pt>
                <c:pt idx="237">
                  <c:v>23.343172351001911</c:v>
                </c:pt>
                <c:pt idx="238">
                  <c:v>23.568127988468021</c:v>
                </c:pt>
                <c:pt idx="239">
                  <c:v>23.793522615035624</c:v>
                </c:pt>
                <c:pt idx="240">
                  <c:v>24.019345533918209</c:v>
                </c:pt>
                <c:pt idx="241">
                  <c:v>24.245586105399372</c:v>
                </c:pt>
                <c:pt idx="242">
                  <c:v>24.472233747570893</c:v>
                </c:pt>
                <c:pt idx="243">
                  <c:v>24.699277937044677</c:v>
                </c:pt>
                <c:pt idx="244">
                  <c:v>24.9267082096388</c:v>
                </c:pt>
                <c:pt idx="245">
                  <c:v>25.154514161038275</c:v>
                </c:pt>
                <c:pt idx="246">
                  <c:v>25.382685447430894</c:v>
                </c:pt>
                <c:pt idx="247">
                  <c:v>25.611211786118737</c:v>
                </c:pt>
                <c:pt idx="248">
                  <c:v>25.840082956105306</c:v>
                </c:pt>
                <c:pt idx="249">
                  <c:v>26.069288798659311</c:v>
                </c:pt>
                <c:pt idx="250">
                  <c:v>26.298819217855101</c:v>
                </c:pt>
                <c:pt idx="251">
                  <c:v>26.528664181090228</c:v>
                </c:pt>
                <c:pt idx="252">
                  <c:v>26.758813719580651</c:v>
                </c:pt>
                <c:pt idx="253">
                  <c:v>26.989257928833901</c:v>
                </c:pt>
                <c:pt idx="254">
                  <c:v>27.219986969100571</c:v>
                </c:pt>
                <c:pt idx="255">
                  <c:v>27.450991065804665</c:v>
                </c:pt>
                <c:pt idx="256">
                  <c:v>27.682260509953064</c:v>
                </c:pt>
                <c:pt idx="257">
                  <c:v>27.913785658524393</c:v>
                </c:pt>
                <c:pt idx="258">
                  <c:v>28.145556934838027</c:v>
                </c:pt>
                <c:pt idx="259">
                  <c:v>28.377564828903314</c:v>
                </c:pt>
                <c:pt idx="260">
                  <c:v>28.60979989774928</c:v>
                </c:pt>
                <c:pt idx="261">
                  <c:v>28.84225276573574</c:v>
                </c:pt>
                <c:pt idx="262">
                  <c:v>29.074914124845304</c:v>
                </c:pt>
                <c:pt idx="263">
                  <c:v>29.3077747349577</c:v>
                </c:pt>
                <c:pt idx="264">
                  <c:v>29.540825424105762</c:v>
                </c:pt>
                <c:pt idx="265">
                  <c:v>29.774057088714081</c:v>
                </c:pt>
                <c:pt idx="266">
                  <c:v>30.007460693820391</c:v>
                </c:pt>
                <c:pt idx="267">
                  <c:v>30.241027273280245</c:v>
                </c:pt>
                <c:pt idx="268">
                  <c:v>30.474747929955004</c:v>
                </c:pt>
                <c:pt idx="269">
                  <c:v>30.708613835883643</c:v>
                </c:pt>
                <c:pt idx="270">
                  <c:v>30.942616232438986</c:v>
                </c:pt>
                <c:pt idx="271">
                  <c:v>31.176746430468103</c:v>
                </c:pt>
                <c:pt idx="272">
                  <c:v>31.410995810417621</c:v>
                </c:pt>
                <c:pt idx="273">
                  <c:v>31.64535582244428</c:v>
                </c:pt>
                <c:pt idx="274">
                  <c:v>31.879817986510695</c:v>
                </c:pt>
                <c:pt idx="275">
                  <c:v>32.114373892467036</c:v>
                </c:pt>
                <c:pt idx="276">
                  <c:v>32.349015200118771</c:v>
                </c:pt>
                <c:pt idx="277">
                  <c:v>32.583733639280638</c:v>
                </c:pt>
                <c:pt idx="278">
                  <c:v>32.818521009817267</c:v>
                </c:pt>
                <c:pt idx="279">
                  <c:v>33.053369181670874</c:v>
                </c:pt>
                <c:pt idx="280">
                  <c:v>33.288270094876225</c:v>
                </c:pt>
                <c:pt idx="281">
                  <c:v>33.523215759562753</c:v>
                </c:pt>
                <c:pt idx="282">
                  <c:v>33.758198255944997</c:v>
                </c:pt>
                <c:pt idx="283">
                  <c:v>33.993209734300727</c:v>
                </c:pt>
                <c:pt idx="284">
                  <c:v>34.228242414937526</c:v>
                </c:pt>
                <c:pt idx="285">
                  <c:v>34.463288588148131</c:v>
                </c:pt>
                <c:pt idx="286">
                  <c:v>34.698340614154439</c:v>
                </c:pt>
                <c:pt idx="287">
                  <c:v>34.933390923040839</c:v>
                </c:pt>
                <c:pt idx="288">
                  <c:v>35.168432014676853</c:v>
                </c:pt>
                <c:pt idx="289">
                  <c:v>35.40345645862952</c:v>
                </c:pt>
                <c:pt idx="290">
                  <c:v>35.638456894065548</c:v>
                </c:pt>
                <c:pt idx="291">
                  <c:v>35.873426029643802</c:v>
                </c:pt>
                <c:pt idx="292">
                  <c:v>36.108356643398125</c:v>
                </c:pt>
                <c:pt idx="293">
                  <c:v>36.343241582610723</c:v>
                </c:pt>
                <c:pt idx="294">
                  <c:v>36.578073763676528</c:v>
                </c:pt>
                <c:pt idx="295">
                  <c:v>36.812846171958675</c:v>
                </c:pt>
                <c:pt idx="296">
                  <c:v>37.047551861635192</c:v>
                </c:pt>
                <c:pt idx="297">
                  <c:v>37.28218395553742</c:v>
                </c:pt>
                <c:pt idx="298">
                  <c:v>37.516735644980187</c:v>
                </c:pt>
                <c:pt idx="299">
                  <c:v>37.751200189583706</c:v>
                </c:pt>
                <c:pt idx="300">
                  <c:v>37.985570917088232</c:v>
                </c:pt>
                <c:pt idx="301">
                  <c:v>38.219841223160664</c:v>
                </c:pt>
                <c:pt idx="302">
                  <c:v>38.454004571193906</c:v>
                </c:pt>
                <c:pt idx="303">
                  <c:v>38.688054492099276</c:v>
                </c:pt>
                <c:pt idx="304">
                  <c:v>38.92198458409176</c:v>
                </c:pt>
                <c:pt idx="305">
                  <c:v>39.155788512468355</c:v>
                </c:pt>
                <c:pt idx="306">
                  <c:v>39.389460009380386</c:v>
                </c:pt>
                <c:pt idx="307">
                  <c:v>39.622992873598776</c:v>
                </c:pt>
                <c:pt idx="308">
                  <c:v>39.856380970273584</c:v>
                </c:pt>
                <c:pt idx="309">
                  <c:v>40.089618230687471</c:v>
                </c:pt>
                <c:pt idx="310">
                  <c:v>40.322698652003133</c:v>
                </c:pt>
                <c:pt idx="311">
                  <c:v>40.555616297005301</c:v>
                </c:pt>
                <c:pt idx="312">
                  <c:v>8.5544570688236461E-6</c:v>
                </c:pt>
                <c:pt idx="313">
                  <c:v>6.8008465527976102E-5</c:v>
                </c:pt>
                <c:pt idx="314">
                  <c:v>2.2809679712868013E-4</c:v>
                </c:pt>
                <c:pt idx="315">
                  <c:v>5.3730357085554029E-4</c:v>
                </c:pt>
                <c:pt idx="316">
                  <c:v>1.0428839694930018E-3</c:v>
                </c:pt>
                <c:pt idx="317">
                  <c:v>1.7908856308893263E-3</c:v>
                </c:pt>
                <c:pt idx="318">
                  <c:v>2.8261697184418129E-3</c:v>
                </c:pt>
                <c:pt idx="319">
                  <c:v>4.192431675266812E-3</c:v>
                </c:pt>
                <c:pt idx="320">
                  <c:v>5.9322216664580707E-3</c:v>
                </c:pt>
                <c:pt idx="321">
                  <c:v>8.0869647137791836E-3</c:v>
                </c:pt>
                <c:pt idx="322">
                  <c:v>1.0696980527076586E-2</c:v>
                </c:pt>
                <c:pt idx="323">
                  <c:v>1.3801503036642727E-2</c:v>
                </c:pt>
                <c:pt idx="324">
                  <c:v>1.7438699630704126E-2</c:v>
                </c:pt>
                <c:pt idx="325">
                  <c:v>2.1645690102150235E-2</c:v>
                </c:pt>
                <c:pt idx="326">
                  <c:v>2.6458565308565586E-2</c:v>
                </c:pt>
                <c:pt idx="327">
                  <c:v>3.1912405549575328E-2</c:v>
                </c:pt>
                <c:pt idx="328">
                  <c:v>3.8041298665456996E-2</c:v>
                </c:pt>
                <c:pt idx="329">
                  <c:v>4.4878357860917865E-2</c:v>
                </c:pt>
                <c:pt idx="330">
                  <c:v>5.2455739257894637E-2</c:v>
                </c:pt>
                <c:pt idx="331">
                  <c:v>6.080465918116422E-2</c:v>
                </c:pt>
                <c:pt idx="332">
                  <c:v>6.9955411180516527E-2</c:v>
                </c:pt>
                <c:pt idx="333">
                  <c:v>7.9937382793190237E-2</c:v>
                </c:pt>
                <c:pt idx="334">
                  <c:v>9.0779072050210241E-2</c:v>
                </c:pt>
                <c:pt idx="335">
                  <c:v>0.10250810373022921</c:v>
                </c:pt>
                <c:pt idx="336">
                  <c:v>0.11515124536442721</c:v>
                </c:pt>
                <c:pt idx="337">
                  <c:v>0.12873442299596394</c:v>
                </c:pt>
                <c:pt idx="338">
                  <c:v>0.14328273669744057</c:v>
                </c:pt>
                <c:pt idx="339">
                  <c:v>0.15882047584978901</c:v>
                </c:pt>
                <c:pt idx="340">
                  <c:v>0.17537113418593711</c:v>
                </c:pt>
                <c:pt idx="341">
                  <c:v>0.19295742460257786</c:v>
                </c:pt>
                <c:pt idx="342">
                  <c:v>0.2116012937433146</c:v>
                </c:pt>
                <c:pt idx="343">
                  <c:v>0.23132393635640758</c:v>
                </c:pt>
                <c:pt idx="344">
                  <c:v>0.25214580943030535</c:v>
                </c:pt>
                <c:pt idx="345">
                  <c:v>0.27408664611012157</c:v>
                </c:pt>
                <c:pt idx="346">
                  <c:v>0.29716546939812699</c:v>
                </c:pt>
                <c:pt idx="347">
                  <c:v>0.32140060564134304</c:v>
                </c:pt>
                <c:pt idx="348">
                  <c:v>0.34680969780924509</c:v>
                </c:pt>
                <c:pt idx="349">
                  <c:v>0.37340971856454569</c:v>
                </c:pt>
                <c:pt idx="350">
                  <c:v>0.40121698312999765</c:v>
                </c:pt>
                <c:pt idx="351">
                  <c:v>0.43024716195412632</c:v>
                </c:pt>
                <c:pt idx="352">
                  <c:v>0.46051529317873102</c:v>
                </c:pt>
                <c:pt idx="353">
                  <c:v>0.49203579491098115</c:v>
                </c:pt>
                <c:pt idx="354">
                  <c:v>0.52482247730289633</c:v>
                </c:pt>
                <c:pt idx="355">
                  <c:v>0.55888855444094521</c:v>
                </c:pt>
                <c:pt idx="356">
                  <c:v>0.59424665604846327</c:v>
                </c:pt>
                <c:pt idx="357">
                  <c:v>0.63090883900358485</c:v>
                </c:pt>
                <c:pt idx="358">
                  <c:v>0.66888659867529521</c:v>
                </c:pt>
                <c:pt idx="359">
                  <c:v>0.70819088008020181</c:v>
                </c:pt>
                <c:pt idx="360">
                  <c:v>0.74883208886262975</c:v>
                </c:pt>
                <c:pt idx="361">
                  <c:v>0.79082010210050457</c:v>
                </c:pt>
                <c:pt idx="362">
                  <c:v>0.83416427893956235</c:v>
                </c:pt>
                <c:pt idx="363">
                  <c:v>0.87887347105833891</c:v>
                </c:pt>
                <c:pt idx="364">
                  <c:v>0.92495603296635942</c:v>
                </c:pt>
                <c:pt idx="365">
                  <c:v>0.97241983213791106</c:v>
                </c:pt>
                <c:pt idx="366">
                  <c:v>1.0212722589837857</c:v>
                </c:pt>
                <c:pt idx="367">
                  <c:v>1.0715202366633054</c:v>
                </c:pt>
                <c:pt idx="368">
                  <c:v>1.1231702307389244</c:v>
                </c:pt>
                <c:pt idx="369">
                  <c:v>1.176228258675686</c:v>
                </c:pt>
                <c:pt idx="370">
                  <c:v>1.2306998991877718</c:v>
                </c:pt>
                <c:pt idx="371">
                  <c:v>1.2865903014343147</c:v>
                </c:pt>
                <c:pt idx="372">
                  <c:v>1.343904194066716</c:v>
                </c:pt>
                <c:pt idx="373">
                  <c:v>1.4026458941295432</c:v>
                </c:pt>
                <c:pt idx="374">
                  <c:v>1.4628193158171579</c:v>
                </c:pt>
                <c:pt idx="375">
                  <c:v>1.5244279790881745</c:v>
                </c:pt>
                <c:pt idx="376">
                  <c:v>1.587475018139777</c:v>
                </c:pt>
                <c:pt idx="377">
                  <c:v>1.6519631897439422</c:v>
                </c:pt>
                <c:pt idx="378">
                  <c:v>1.7178948814475761</c:v>
                </c:pt>
                <c:pt idx="379">
                  <c:v>1.7852721196385259</c:v>
                </c:pt>
                <c:pt idx="380">
                  <c:v>1.854096577479422</c:v>
                </c:pt>
                <c:pt idx="381">
                  <c:v>1.9243695827112854</c:v>
                </c:pt>
                <c:pt idx="382">
                  <c:v>1.9960921253287776</c:v>
                </c:pt>
                <c:pt idx="383">
                  <c:v>2.0692648651289542</c:v>
                </c:pt>
                <c:pt idx="384">
                  <c:v>2.143888139135413</c:v>
                </c:pt>
                <c:pt idx="385">
                  <c:v>2.2199619688995931</c:v>
                </c:pt>
                <c:pt idx="386">
                  <c:v>2.2974860676810884</c:v>
                </c:pt>
                <c:pt idx="387">
                  <c:v>2.3764598475086522</c:v>
                </c:pt>
                <c:pt idx="388">
                  <c:v>2.4568824261237365</c:v>
                </c:pt>
                <c:pt idx="389">
                  <c:v>2.5387526338082598</c:v>
                </c:pt>
                <c:pt idx="390">
                  <c:v>2.6220690200981993</c:v>
                </c:pt>
                <c:pt idx="391">
                  <c:v>2.7068298603848722</c:v>
                </c:pt>
                <c:pt idx="392">
                  <c:v>2.7930331624053983</c:v>
                </c:pt>
                <c:pt idx="393">
                  <c:v>2.880676672624007</c:v>
                </c:pt>
                <c:pt idx="394">
                  <c:v>2.9697578825058542</c:v>
                </c:pt>
                <c:pt idx="395">
                  <c:v>3.0602740346849182</c:v>
                </c:pt>
                <c:pt idx="396">
                  <c:v>3.1522221290273973</c:v>
                </c:pt>
                <c:pt idx="397">
                  <c:v>3.2455989285924014</c:v>
                </c:pt>
                <c:pt idx="398">
                  <c:v>3.3404009654912583</c:v>
                </c:pt>
                <c:pt idx="399">
                  <c:v>3.4366245466469634</c:v>
                </c:pt>
                <c:pt idx="400">
                  <c:v>3.5342657594553306</c:v>
                </c:pt>
                <c:pt idx="401">
                  <c:v>3.6333204773492791</c:v>
                </c:pt>
                <c:pt idx="402">
                  <c:v>3.7337843652675575</c:v>
                </c:pt>
                <c:pt idx="403">
                  <c:v>3.8356528850295573</c:v>
                </c:pt>
                <c:pt idx="404">
                  <c:v>3.9389213006174426</c:v>
                </c:pt>
                <c:pt idx="405">
                  <c:v>4.0435846833669631</c:v>
                </c:pt>
                <c:pt idx="406">
                  <c:v>4.1496379170684694</c:v>
                </c:pt>
                <c:pt idx="407">
                  <c:v>4.2570757029793187</c:v>
                </c:pt>
                <c:pt idx="408">
                  <c:v>4.3658925647490125</c:v>
                </c:pt>
                <c:pt idx="409">
                  <c:v>4.4760828532584638</c:v>
                </c:pt>
                <c:pt idx="410">
                  <c:v>4.5876407513745976</c:v>
                </c:pt>
                <c:pt idx="411">
                  <c:v>4.7005602786215377</c:v>
                </c:pt>
                <c:pt idx="412">
                  <c:v>4.8148352957696883</c:v>
                </c:pt>
                <c:pt idx="413">
                  <c:v>4.9304595093439723</c:v>
                </c:pt>
                <c:pt idx="414">
                  <c:v>5.0474264760522649</c:v>
                </c:pt>
                <c:pt idx="415">
                  <c:v>5.1657296071354564</c:v>
                </c:pt>
                <c:pt idx="416">
                  <c:v>5.2853621726401947</c:v>
                </c:pt>
                <c:pt idx="417">
                  <c:v>5.4063173056154223</c:v>
                </c:pt>
                <c:pt idx="418">
                  <c:v>5.5285880062340054</c:v>
                </c:pt>
                <c:pt idx="419">
                  <c:v>5.6521671458405169</c:v>
                </c:pt>
                <c:pt idx="420">
                  <c:v>5.7770474709261848</c:v>
                </c:pt>
                <c:pt idx="421">
                  <c:v>5.9032216070322994</c:v>
                </c:pt>
                <c:pt idx="422">
                  <c:v>6.0306820625831072</c:v>
                </c:pt>
                <c:pt idx="423">
                  <c:v>6.1594212326490734</c:v>
                </c:pt>
                <c:pt idx="424">
                  <c:v>6.2894314026418838</c:v>
                </c:pt>
                <c:pt idx="425">
                  <c:v>6.4207047519420053</c:v>
                </c:pt>
                <c:pt idx="426">
                  <c:v>6.5532333574598631</c:v>
                </c:pt>
                <c:pt idx="427">
                  <c:v>6.6870091971317445</c:v>
                </c:pt>
                <c:pt idx="428">
                  <c:v>6.8220241533513359</c:v>
                </c:pt>
                <c:pt idx="429">
                  <c:v>6.9582700163378606</c:v>
                </c:pt>
                <c:pt idx="430">
                  <c:v>7.0957384874419001</c:v>
                </c:pt>
                <c:pt idx="431">
                  <c:v>7.2344211823897746</c:v>
                </c:pt>
                <c:pt idx="432">
                  <c:v>7.3743096344673678</c:v>
                </c:pt>
                <c:pt idx="433">
                  <c:v>7.5153952976444698</c:v>
                </c:pt>
                <c:pt idx="434">
                  <c:v>7.6576695496405094</c:v>
                </c:pt>
                <c:pt idx="435">
                  <c:v>7.8011236949324116</c:v>
                </c:pt>
                <c:pt idx="436">
                  <c:v>7.9457489677057547</c:v>
                </c:pt>
                <c:pt idx="437">
                  <c:v>8.0915365347499435</c:v>
                </c:pt>
                <c:pt idx="438">
                  <c:v>8.2384774982981739</c:v>
                </c:pt>
                <c:pt idx="439">
                  <c:v>8.3865628988132741</c:v>
                </c:pt>
                <c:pt idx="440">
                  <c:v>8.535783717720145</c:v>
                </c:pt>
                <c:pt idx="441">
                  <c:v>8.6861308800854697</c:v>
                </c:pt>
                <c:pt idx="442">
                  <c:v>8.8375952572459013</c:v>
                </c:pt>
                <c:pt idx="443">
                  <c:v>8.9901676693851371</c:v>
                </c:pt>
                <c:pt idx="444">
                  <c:v>9.1438388880608628</c:v>
                </c:pt>
                <c:pt idx="445">
                  <c:v>9.2985996386824148</c:v>
                </c:pt>
                <c:pt idx="446">
                  <c:v>9.4544406029397763</c:v>
                </c:pt>
                <c:pt idx="447">
                  <c:v>9.6113524211847032</c:v>
                </c:pt>
                <c:pt idx="448">
                  <c:v>9.7693256947648806</c:v>
                </c:pt>
                <c:pt idx="449">
                  <c:v>9.9283509883116974</c:v>
                </c:pt>
                <c:pt idx="450">
                  <c:v>10.088418831982287</c:v>
                </c:pt>
                <c:pt idx="451">
                  <c:v>10.249519723656872</c:v>
                </c:pt>
                <c:pt idx="452">
                  <c:v>10.41164413109183</c:v>
                </c:pt>
                <c:pt idx="453">
                  <c:v>10.574782494029229</c:v>
                </c:pt>
                <c:pt idx="454">
                  <c:v>10.73892522626363</c:v>
                </c:pt>
                <c:pt idx="455">
                  <c:v>10.904062717666822</c:v>
                </c:pt>
                <c:pt idx="456">
                  <c:v>11.070185336170978</c:v>
                </c:pt>
                <c:pt idx="457">
                  <c:v>11.237283429711121</c:v>
                </c:pt>
                <c:pt idx="458">
                  <c:v>11.40534732812749</c:v>
                </c:pt>
                <c:pt idx="459">
                  <c:v>11.574367345028266</c:v>
                </c:pt>
                <c:pt idx="460">
                  <c:v>11.744333779613566</c:v>
                </c:pt>
                <c:pt idx="461">
                  <c:v>11.915236918461199</c:v>
                </c:pt>
                <c:pt idx="462">
                  <c:v>12.08706703727467</c:v>
                </c:pt>
                <c:pt idx="463">
                  <c:v>12.259814402594305</c:v>
                </c:pt>
                <c:pt idx="464">
                  <c:v>12.43346927347193</c:v>
                </c:pt>
                <c:pt idx="465">
                  <c:v>12.60802190310957</c:v>
                </c:pt>
                <c:pt idx="466">
                  <c:v>12.783462540463075</c:v>
                </c:pt>
                <c:pt idx="467">
                  <c:v>12.959781431811036</c:v>
                </c:pt>
                <c:pt idx="468">
                  <c:v>13.136968822289402</c:v>
                </c:pt>
                <c:pt idx="469">
                  <c:v>13.315014957392757</c:v>
                </c:pt>
                <c:pt idx="470">
                  <c:v>13.493910084442467</c:v>
                </c:pt>
                <c:pt idx="471">
                  <c:v>13.673644454022288</c:v>
                </c:pt>
                <c:pt idx="472">
                  <c:v>13.854208321382108</c:v>
                </c:pt>
                <c:pt idx="473">
                  <c:v>14.035591947810332</c:v>
                </c:pt>
                <c:pt idx="474">
                  <c:v>14.217785601975118</c:v>
                </c:pt>
                <c:pt idx="475">
                  <c:v>14.400779561235412</c:v>
                </c:pt>
                <c:pt idx="476">
                  <c:v>14.584564112922065</c:v>
                </c:pt>
                <c:pt idx="477">
                  <c:v>14.769129555589412</c:v>
                </c:pt>
                <c:pt idx="478">
                  <c:v>14.954466200238011</c:v>
                </c:pt>
                <c:pt idx="479">
                  <c:v>15.140564371508987</c:v>
                </c:pt>
              </c:numCache>
            </c:numRef>
          </c:yVal>
          <c:smooth val="0"/>
          <c:extLst>
            <c:ext xmlns:c16="http://schemas.microsoft.com/office/drawing/2014/chart" uri="{C3380CC4-5D6E-409C-BE32-E72D297353CC}">
              <c16:uniqueId val="{00000001-B837-4051-A32B-8525E6326EF3}"/>
            </c:ext>
          </c:extLst>
        </c:ser>
        <c:dLbls>
          <c:showLegendKey val="0"/>
          <c:showVal val="0"/>
          <c:showCatName val="0"/>
          <c:showSerName val="0"/>
          <c:showPercent val="0"/>
          <c:showBubbleSize val="0"/>
        </c:dLbls>
        <c:axId val="571412608"/>
        <c:axId val="917020512"/>
      </c:scatterChart>
      <c:scatterChart>
        <c:scatterStyle val="lineMarker"/>
        <c:varyColors val="0"/>
        <c:ser>
          <c:idx val="1"/>
          <c:order val="2"/>
          <c:tx>
            <c:strRef>
              <c:f>'Figures B1-B3'!$B$10</c:f>
              <c:strCache>
                <c:ptCount val="1"/>
                <c:pt idx="0">
                  <c:v>index of suppression</c:v>
                </c:pt>
              </c:strCache>
            </c:strRef>
          </c:tx>
          <c:spPr>
            <a:ln w="15875" cap="rnd">
              <a:solidFill>
                <a:srgbClr val="FD8D3C"/>
              </a:solidFill>
              <a:prstDash val="sysDash"/>
              <a:round/>
            </a:ln>
            <a:effectLst/>
          </c:spPr>
          <c:marker>
            <c:symbol val="none"/>
          </c:marker>
          <c:xVal>
            <c:numRef>
              <c:f>'Figures B1-B3'!$E$7:$RP$7</c:f>
              <c:numCache>
                <c:formatCode>#,##0.00</c:formatCode>
                <c:ptCount val="480"/>
                <c:pt idx="0">
                  <c:v>8.3333333333333329E-2</c:v>
                </c:pt>
                <c:pt idx="1">
                  <c:v>0.16666666666666666</c:v>
                </c:pt>
                <c:pt idx="2">
                  <c:v>0.25</c:v>
                </c:pt>
                <c:pt idx="3">
                  <c:v>0.33333333333333331</c:v>
                </c:pt>
                <c:pt idx="4">
                  <c:v>0.41666666666666669</c:v>
                </c:pt>
                <c:pt idx="5">
                  <c:v>0.5</c:v>
                </c:pt>
                <c:pt idx="6">
                  <c:v>0.58333333333333337</c:v>
                </c:pt>
                <c:pt idx="7">
                  <c:v>0.66666666666666663</c:v>
                </c:pt>
                <c:pt idx="8">
                  <c:v>0.75</c:v>
                </c:pt>
                <c:pt idx="9">
                  <c:v>0.83333333333333337</c:v>
                </c:pt>
                <c:pt idx="10">
                  <c:v>0.91666666666666663</c:v>
                </c:pt>
                <c:pt idx="11">
                  <c:v>1</c:v>
                </c:pt>
                <c:pt idx="12">
                  <c:v>1.0833333333333333</c:v>
                </c:pt>
                <c:pt idx="13">
                  <c:v>1.1666666666666667</c:v>
                </c:pt>
                <c:pt idx="14">
                  <c:v>1.25</c:v>
                </c:pt>
                <c:pt idx="15">
                  <c:v>1.3333333333333333</c:v>
                </c:pt>
                <c:pt idx="16">
                  <c:v>1.4166666666666667</c:v>
                </c:pt>
                <c:pt idx="17">
                  <c:v>1.5</c:v>
                </c:pt>
                <c:pt idx="18">
                  <c:v>1.5833333333333333</c:v>
                </c:pt>
                <c:pt idx="19">
                  <c:v>1.6666666666666667</c:v>
                </c:pt>
                <c:pt idx="20">
                  <c:v>1.75</c:v>
                </c:pt>
                <c:pt idx="21">
                  <c:v>1.8333333333333333</c:v>
                </c:pt>
                <c:pt idx="22">
                  <c:v>1.9166666666666667</c:v>
                </c:pt>
                <c:pt idx="23">
                  <c:v>2</c:v>
                </c:pt>
                <c:pt idx="24">
                  <c:v>2.0833333333333335</c:v>
                </c:pt>
                <c:pt idx="25">
                  <c:v>2.1666666666666665</c:v>
                </c:pt>
                <c:pt idx="26">
                  <c:v>2.25</c:v>
                </c:pt>
                <c:pt idx="27">
                  <c:v>2.3333333333333335</c:v>
                </c:pt>
                <c:pt idx="28">
                  <c:v>2.4166666666666665</c:v>
                </c:pt>
                <c:pt idx="29">
                  <c:v>2.5</c:v>
                </c:pt>
                <c:pt idx="30">
                  <c:v>2.5833333333333335</c:v>
                </c:pt>
                <c:pt idx="31">
                  <c:v>2.6666666666666665</c:v>
                </c:pt>
                <c:pt idx="32">
                  <c:v>2.75</c:v>
                </c:pt>
                <c:pt idx="33">
                  <c:v>2.8333333333333335</c:v>
                </c:pt>
                <c:pt idx="34">
                  <c:v>2.9166666666666665</c:v>
                </c:pt>
                <c:pt idx="35">
                  <c:v>3</c:v>
                </c:pt>
                <c:pt idx="36">
                  <c:v>3.0833333333333335</c:v>
                </c:pt>
                <c:pt idx="37">
                  <c:v>3.1666666666666665</c:v>
                </c:pt>
                <c:pt idx="38">
                  <c:v>3.25</c:v>
                </c:pt>
                <c:pt idx="39">
                  <c:v>3.3333333333333335</c:v>
                </c:pt>
                <c:pt idx="40">
                  <c:v>3.4166666666666665</c:v>
                </c:pt>
                <c:pt idx="41">
                  <c:v>3.5</c:v>
                </c:pt>
                <c:pt idx="42">
                  <c:v>3.5833333333333335</c:v>
                </c:pt>
                <c:pt idx="43">
                  <c:v>3.6666666666666665</c:v>
                </c:pt>
                <c:pt idx="44">
                  <c:v>3.75</c:v>
                </c:pt>
                <c:pt idx="45">
                  <c:v>3.8333333333333335</c:v>
                </c:pt>
                <c:pt idx="46">
                  <c:v>3.9166666666666665</c:v>
                </c:pt>
                <c:pt idx="47">
                  <c:v>4</c:v>
                </c:pt>
                <c:pt idx="48">
                  <c:v>4.083333333333333</c:v>
                </c:pt>
                <c:pt idx="49">
                  <c:v>4.166666666666667</c:v>
                </c:pt>
                <c:pt idx="50">
                  <c:v>4.25</c:v>
                </c:pt>
                <c:pt idx="51">
                  <c:v>4.333333333333333</c:v>
                </c:pt>
                <c:pt idx="52">
                  <c:v>4.416666666666667</c:v>
                </c:pt>
                <c:pt idx="53">
                  <c:v>4.5</c:v>
                </c:pt>
                <c:pt idx="54">
                  <c:v>4.583333333333333</c:v>
                </c:pt>
                <c:pt idx="55">
                  <c:v>4.666666666666667</c:v>
                </c:pt>
                <c:pt idx="56">
                  <c:v>4.75</c:v>
                </c:pt>
                <c:pt idx="57">
                  <c:v>4.833333333333333</c:v>
                </c:pt>
                <c:pt idx="58">
                  <c:v>4.916666666666667</c:v>
                </c:pt>
                <c:pt idx="59">
                  <c:v>5</c:v>
                </c:pt>
                <c:pt idx="60">
                  <c:v>5.083333333333333</c:v>
                </c:pt>
                <c:pt idx="61">
                  <c:v>5.166666666666667</c:v>
                </c:pt>
                <c:pt idx="62">
                  <c:v>5.25</c:v>
                </c:pt>
                <c:pt idx="63">
                  <c:v>5.333333333333333</c:v>
                </c:pt>
                <c:pt idx="64">
                  <c:v>5.416666666666667</c:v>
                </c:pt>
                <c:pt idx="65">
                  <c:v>5.5</c:v>
                </c:pt>
                <c:pt idx="66">
                  <c:v>5.583333333333333</c:v>
                </c:pt>
                <c:pt idx="67">
                  <c:v>5.666666666666667</c:v>
                </c:pt>
                <c:pt idx="68">
                  <c:v>5.75</c:v>
                </c:pt>
                <c:pt idx="69">
                  <c:v>5.833333333333333</c:v>
                </c:pt>
                <c:pt idx="70">
                  <c:v>5.916666666666667</c:v>
                </c:pt>
                <c:pt idx="71">
                  <c:v>6</c:v>
                </c:pt>
                <c:pt idx="72">
                  <c:v>6.083333333333333</c:v>
                </c:pt>
                <c:pt idx="73">
                  <c:v>6.166666666666667</c:v>
                </c:pt>
                <c:pt idx="74">
                  <c:v>6.25</c:v>
                </c:pt>
                <c:pt idx="75">
                  <c:v>6.333333333333333</c:v>
                </c:pt>
                <c:pt idx="76">
                  <c:v>6.416666666666667</c:v>
                </c:pt>
                <c:pt idx="77">
                  <c:v>6.5</c:v>
                </c:pt>
                <c:pt idx="78">
                  <c:v>6.583333333333333</c:v>
                </c:pt>
                <c:pt idx="79">
                  <c:v>6.666666666666667</c:v>
                </c:pt>
                <c:pt idx="80">
                  <c:v>6.75</c:v>
                </c:pt>
                <c:pt idx="81">
                  <c:v>6.833333333333333</c:v>
                </c:pt>
                <c:pt idx="82">
                  <c:v>6.916666666666667</c:v>
                </c:pt>
                <c:pt idx="83">
                  <c:v>7</c:v>
                </c:pt>
                <c:pt idx="84">
                  <c:v>7.083333333333333</c:v>
                </c:pt>
                <c:pt idx="85">
                  <c:v>7.166666666666667</c:v>
                </c:pt>
                <c:pt idx="86">
                  <c:v>7.25</c:v>
                </c:pt>
                <c:pt idx="87">
                  <c:v>7.333333333333333</c:v>
                </c:pt>
                <c:pt idx="88">
                  <c:v>7.416666666666667</c:v>
                </c:pt>
                <c:pt idx="89">
                  <c:v>7.5</c:v>
                </c:pt>
                <c:pt idx="90">
                  <c:v>7.583333333333333</c:v>
                </c:pt>
                <c:pt idx="91">
                  <c:v>7.666666666666667</c:v>
                </c:pt>
                <c:pt idx="92">
                  <c:v>7.75</c:v>
                </c:pt>
                <c:pt idx="93">
                  <c:v>7.833333333333333</c:v>
                </c:pt>
                <c:pt idx="94">
                  <c:v>7.916666666666667</c:v>
                </c:pt>
                <c:pt idx="95">
                  <c:v>8</c:v>
                </c:pt>
                <c:pt idx="96">
                  <c:v>8.0833333333333339</c:v>
                </c:pt>
                <c:pt idx="97">
                  <c:v>8.1666666666666661</c:v>
                </c:pt>
                <c:pt idx="98">
                  <c:v>8.25</c:v>
                </c:pt>
                <c:pt idx="99">
                  <c:v>8.3333333333333339</c:v>
                </c:pt>
                <c:pt idx="100">
                  <c:v>8.4166666666666661</c:v>
                </c:pt>
                <c:pt idx="101">
                  <c:v>8.5</c:v>
                </c:pt>
                <c:pt idx="102">
                  <c:v>8.5833333333333339</c:v>
                </c:pt>
                <c:pt idx="103">
                  <c:v>8.6666666666666661</c:v>
                </c:pt>
                <c:pt idx="104">
                  <c:v>8.75</c:v>
                </c:pt>
                <c:pt idx="105">
                  <c:v>8.8333333333333339</c:v>
                </c:pt>
                <c:pt idx="106">
                  <c:v>8.9166666666666661</c:v>
                </c:pt>
                <c:pt idx="107">
                  <c:v>9</c:v>
                </c:pt>
                <c:pt idx="108">
                  <c:v>9.0833333333333339</c:v>
                </c:pt>
                <c:pt idx="109">
                  <c:v>9.1666666666666661</c:v>
                </c:pt>
                <c:pt idx="110">
                  <c:v>9.25</c:v>
                </c:pt>
                <c:pt idx="111">
                  <c:v>9.3333333333333339</c:v>
                </c:pt>
                <c:pt idx="112">
                  <c:v>9.4166666666666661</c:v>
                </c:pt>
                <c:pt idx="113">
                  <c:v>9.5</c:v>
                </c:pt>
                <c:pt idx="114">
                  <c:v>9.5833333333333339</c:v>
                </c:pt>
                <c:pt idx="115">
                  <c:v>9.6666666666666661</c:v>
                </c:pt>
                <c:pt idx="116">
                  <c:v>9.75</c:v>
                </c:pt>
                <c:pt idx="117">
                  <c:v>9.8333333333333339</c:v>
                </c:pt>
                <c:pt idx="118">
                  <c:v>9.9166666666666661</c:v>
                </c:pt>
                <c:pt idx="119">
                  <c:v>10</c:v>
                </c:pt>
                <c:pt idx="120">
                  <c:v>10.083333333333334</c:v>
                </c:pt>
                <c:pt idx="121">
                  <c:v>10.166666666666666</c:v>
                </c:pt>
                <c:pt idx="122">
                  <c:v>10.25</c:v>
                </c:pt>
                <c:pt idx="123">
                  <c:v>10.333333333333334</c:v>
                </c:pt>
                <c:pt idx="124">
                  <c:v>10.416666666666666</c:v>
                </c:pt>
                <c:pt idx="125">
                  <c:v>10.5</c:v>
                </c:pt>
                <c:pt idx="126">
                  <c:v>10.583333333333334</c:v>
                </c:pt>
                <c:pt idx="127">
                  <c:v>10.666666666666666</c:v>
                </c:pt>
                <c:pt idx="128">
                  <c:v>10.75</c:v>
                </c:pt>
                <c:pt idx="129">
                  <c:v>10.833333333333334</c:v>
                </c:pt>
                <c:pt idx="130">
                  <c:v>10.916666666666666</c:v>
                </c:pt>
                <c:pt idx="131">
                  <c:v>11</c:v>
                </c:pt>
                <c:pt idx="132">
                  <c:v>11.083333333333334</c:v>
                </c:pt>
                <c:pt idx="133">
                  <c:v>11.166666666666666</c:v>
                </c:pt>
                <c:pt idx="134">
                  <c:v>11.25</c:v>
                </c:pt>
                <c:pt idx="135">
                  <c:v>11.333333333333334</c:v>
                </c:pt>
                <c:pt idx="136">
                  <c:v>11.416666666666666</c:v>
                </c:pt>
                <c:pt idx="137">
                  <c:v>11.5</c:v>
                </c:pt>
                <c:pt idx="138">
                  <c:v>11.583333333333334</c:v>
                </c:pt>
                <c:pt idx="139">
                  <c:v>11.666666666666666</c:v>
                </c:pt>
                <c:pt idx="140">
                  <c:v>11.75</c:v>
                </c:pt>
                <c:pt idx="141">
                  <c:v>11.833333333333334</c:v>
                </c:pt>
                <c:pt idx="142">
                  <c:v>11.916666666666666</c:v>
                </c:pt>
                <c:pt idx="143">
                  <c:v>12</c:v>
                </c:pt>
                <c:pt idx="144">
                  <c:v>12.083333333333334</c:v>
                </c:pt>
                <c:pt idx="145">
                  <c:v>12.166666666666666</c:v>
                </c:pt>
                <c:pt idx="146">
                  <c:v>12.25</c:v>
                </c:pt>
                <c:pt idx="147">
                  <c:v>12.333333333333334</c:v>
                </c:pt>
                <c:pt idx="148">
                  <c:v>12.416666666666666</c:v>
                </c:pt>
                <c:pt idx="149">
                  <c:v>12.5</c:v>
                </c:pt>
                <c:pt idx="150">
                  <c:v>12.583333333333334</c:v>
                </c:pt>
                <c:pt idx="151">
                  <c:v>12.666666666666666</c:v>
                </c:pt>
                <c:pt idx="152">
                  <c:v>12.75</c:v>
                </c:pt>
                <c:pt idx="153">
                  <c:v>12.833333333333334</c:v>
                </c:pt>
                <c:pt idx="154">
                  <c:v>12.916666666666666</c:v>
                </c:pt>
                <c:pt idx="155">
                  <c:v>13</c:v>
                </c:pt>
                <c:pt idx="156">
                  <c:v>13.083333333333334</c:v>
                </c:pt>
                <c:pt idx="157">
                  <c:v>13.166666666666666</c:v>
                </c:pt>
                <c:pt idx="158">
                  <c:v>13.25</c:v>
                </c:pt>
                <c:pt idx="159">
                  <c:v>13.333333333333334</c:v>
                </c:pt>
                <c:pt idx="160">
                  <c:v>13.416666666666666</c:v>
                </c:pt>
                <c:pt idx="161">
                  <c:v>13.5</c:v>
                </c:pt>
                <c:pt idx="162">
                  <c:v>13.583333333333334</c:v>
                </c:pt>
                <c:pt idx="163">
                  <c:v>13.666666666666666</c:v>
                </c:pt>
                <c:pt idx="164">
                  <c:v>13.75</c:v>
                </c:pt>
                <c:pt idx="165">
                  <c:v>13.833333333333334</c:v>
                </c:pt>
                <c:pt idx="166">
                  <c:v>13.916666666666666</c:v>
                </c:pt>
                <c:pt idx="167">
                  <c:v>14</c:v>
                </c:pt>
                <c:pt idx="168">
                  <c:v>14.083333333333334</c:v>
                </c:pt>
                <c:pt idx="169">
                  <c:v>14.166666666666666</c:v>
                </c:pt>
                <c:pt idx="170">
                  <c:v>14.25</c:v>
                </c:pt>
                <c:pt idx="171">
                  <c:v>14.333333333333334</c:v>
                </c:pt>
                <c:pt idx="172">
                  <c:v>14.416666666666666</c:v>
                </c:pt>
                <c:pt idx="173">
                  <c:v>14.5</c:v>
                </c:pt>
                <c:pt idx="174">
                  <c:v>14.583333333333334</c:v>
                </c:pt>
                <c:pt idx="175">
                  <c:v>14.666666666666666</c:v>
                </c:pt>
                <c:pt idx="176">
                  <c:v>14.75</c:v>
                </c:pt>
                <c:pt idx="177">
                  <c:v>14.833333333333334</c:v>
                </c:pt>
                <c:pt idx="178">
                  <c:v>14.916666666666666</c:v>
                </c:pt>
                <c:pt idx="179">
                  <c:v>15</c:v>
                </c:pt>
                <c:pt idx="180">
                  <c:v>15.083333333333334</c:v>
                </c:pt>
                <c:pt idx="181">
                  <c:v>15.166666666666666</c:v>
                </c:pt>
                <c:pt idx="182">
                  <c:v>15.25</c:v>
                </c:pt>
                <c:pt idx="183">
                  <c:v>15.333333333333334</c:v>
                </c:pt>
                <c:pt idx="184">
                  <c:v>15.416666666666666</c:v>
                </c:pt>
                <c:pt idx="185">
                  <c:v>15.5</c:v>
                </c:pt>
                <c:pt idx="186">
                  <c:v>15.583333333333334</c:v>
                </c:pt>
                <c:pt idx="187">
                  <c:v>15.666666666666666</c:v>
                </c:pt>
                <c:pt idx="188">
                  <c:v>15.75</c:v>
                </c:pt>
                <c:pt idx="189">
                  <c:v>15.833333333333334</c:v>
                </c:pt>
                <c:pt idx="190">
                  <c:v>15.916666666666666</c:v>
                </c:pt>
                <c:pt idx="191">
                  <c:v>16</c:v>
                </c:pt>
                <c:pt idx="192">
                  <c:v>16.083333333333332</c:v>
                </c:pt>
                <c:pt idx="193">
                  <c:v>16.166666666666668</c:v>
                </c:pt>
                <c:pt idx="194">
                  <c:v>16.25</c:v>
                </c:pt>
                <c:pt idx="195">
                  <c:v>16.333333333333332</c:v>
                </c:pt>
                <c:pt idx="196">
                  <c:v>16.416666666666668</c:v>
                </c:pt>
                <c:pt idx="197">
                  <c:v>16.5</c:v>
                </c:pt>
                <c:pt idx="198">
                  <c:v>16.583333333333332</c:v>
                </c:pt>
                <c:pt idx="199">
                  <c:v>16.666666666666668</c:v>
                </c:pt>
                <c:pt idx="200">
                  <c:v>16.75</c:v>
                </c:pt>
                <c:pt idx="201">
                  <c:v>16.833333333333332</c:v>
                </c:pt>
                <c:pt idx="202">
                  <c:v>16.916666666666668</c:v>
                </c:pt>
                <c:pt idx="203">
                  <c:v>17</c:v>
                </c:pt>
                <c:pt idx="204">
                  <c:v>17.083333333333332</c:v>
                </c:pt>
                <c:pt idx="205">
                  <c:v>17.166666666666668</c:v>
                </c:pt>
                <c:pt idx="206">
                  <c:v>17.25</c:v>
                </c:pt>
                <c:pt idx="207">
                  <c:v>17.333333333333332</c:v>
                </c:pt>
                <c:pt idx="208">
                  <c:v>17.416666666666668</c:v>
                </c:pt>
                <c:pt idx="209">
                  <c:v>17.5</c:v>
                </c:pt>
                <c:pt idx="210">
                  <c:v>17.583333333333332</c:v>
                </c:pt>
                <c:pt idx="211">
                  <c:v>17.666666666666668</c:v>
                </c:pt>
                <c:pt idx="212">
                  <c:v>17.75</c:v>
                </c:pt>
                <c:pt idx="213">
                  <c:v>17.833333333333332</c:v>
                </c:pt>
                <c:pt idx="214">
                  <c:v>17.916666666666668</c:v>
                </c:pt>
                <c:pt idx="215">
                  <c:v>18</c:v>
                </c:pt>
                <c:pt idx="216">
                  <c:v>18.083333333333332</c:v>
                </c:pt>
                <c:pt idx="217">
                  <c:v>18.166666666666668</c:v>
                </c:pt>
                <c:pt idx="218">
                  <c:v>18.25</c:v>
                </c:pt>
                <c:pt idx="219">
                  <c:v>18.333333333333332</c:v>
                </c:pt>
                <c:pt idx="220">
                  <c:v>18.416666666666668</c:v>
                </c:pt>
                <c:pt idx="221">
                  <c:v>18.5</c:v>
                </c:pt>
                <c:pt idx="222">
                  <c:v>18.583333333333332</c:v>
                </c:pt>
                <c:pt idx="223">
                  <c:v>18.666666666666668</c:v>
                </c:pt>
                <c:pt idx="224">
                  <c:v>18.75</c:v>
                </c:pt>
                <c:pt idx="225">
                  <c:v>18.833333333333332</c:v>
                </c:pt>
                <c:pt idx="226">
                  <c:v>18.916666666666668</c:v>
                </c:pt>
                <c:pt idx="227">
                  <c:v>19</c:v>
                </c:pt>
                <c:pt idx="228">
                  <c:v>19.083333333333332</c:v>
                </c:pt>
                <c:pt idx="229">
                  <c:v>19.166666666666668</c:v>
                </c:pt>
                <c:pt idx="230">
                  <c:v>19.25</c:v>
                </c:pt>
                <c:pt idx="231">
                  <c:v>19.333333333333332</c:v>
                </c:pt>
                <c:pt idx="232">
                  <c:v>19.416666666666668</c:v>
                </c:pt>
                <c:pt idx="233">
                  <c:v>19.5</c:v>
                </c:pt>
                <c:pt idx="234">
                  <c:v>19.583333333333332</c:v>
                </c:pt>
                <c:pt idx="235">
                  <c:v>19.666666666666668</c:v>
                </c:pt>
                <c:pt idx="236">
                  <c:v>19.75</c:v>
                </c:pt>
                <c:pt idx="237">
                  <c:v>19.833333333333332</c:v>
                </c:pt>
                <c:pt idx="238">
                  <c:v>19.916666666666668</c:v>
                </c:pt>
                <c:pt idx="239">
                  <c:v>20</c:v>
                </c:pt>
                <c:pt idx="240">
                  <c:v>20.083333333333332</c:v>
                </c:pt>
                <c:pt idx="241">
                  <c:v>20.166666666666668</c:v>
                </c:pt>
                <c:pt idx="242">
                  <c:v>20.25</c:v>
                </c:pt>
                <c:pt idx="243">
                  <c:v>20.333333333333332</c:v>
                </c:pt>
                <c:pt idx="244">
                  <c:v>20.416666666666668</c:v>
                </c:pt>
                <c:pt idx="245">
                  <c:v>20.5</c:v>
                </c:pt>
                <c:pt idx="246">
                  <c:v>20.583333333333332</c:v>
                </c:pt>
                <c:pt idx="247">
                  <c:v>20.666666666666668</c:v>
                </c:pt>
                <c:pt idx="248">
                  <c:v>20.75</c:v>
                </c:pt>
                <c:pt idx="249">
                  <c:v>20.833333333333332</c:v>
                </c:pt>
                <c:pt idx="250">
                  <c:v>20.916666666666668</c:v>
                </c:pt>
                <c:pt idx="251">
                  <c:v>21</c:v>
                </c:pt>
                <c:pt idx="252">
                  <c:v>21.083333333333332</c:v>
                </c:pt>
                <c:pt idx="253">
                  <c:v>21.166666666666668</c:v>
                </c:pt>
                <c:pt idx="254">
                  <c:v>21.25</c:v>
                </c:pt>
                <c:pt idx="255">
                  <c:v>21.333333333333332</c:v>
                </c:pt>
                <c:pt idx="256">
                  <c:v>21.416666666666668</c:v>
                </c:pt>
                <c:pt idx="257">
                  <c:v>21.5</c:v>
                </c:pt>
                <c:pt idx="258">
                  <c:v>21.583333333333332</c:v>
                </c:pt>
                <c:pt idx="259">
                  <c:v>21.666666666666668</c:v>
                </c:pt>
                <c:pt idx="260">
                  <c:v>21.75</c:v>
                </c:pt>
                <c:pt idx="261">
                  <c:v>21.833333333333332</c:v>
                </c:pt>
                <c:pt idx="262">
                  <c:v>21.916666666666668</c:v>
                </c:pt>
                <c:pt idx="263">
                  <c:v>22</c:v>
                </c:pt>
                <c:pt idx="264">
                  <c:v>22.083333333333332</c:v>
                </c:pt>
                <c:pt idx="265">
                  <c:v>22.166666666666668</c:v>
                </c:pt>
                <c:pt idx="266">
                  <c:v>22.25</c:v>
                </c:pt>
                <c:pt idx="267">
                  <c:v>22.333333333333332</c:v>
                </c:pt>
                <c:pt idx="268">
                  <c:v>22.416666666666668</c:v>
                </c:pt>
                <c:pt idx="269">
                  <c:v>22.5</c:v>
                </c:pt>
                <c:pt idx="270">
                  <c:v>22.583333333333332</c:v>
                </c:pt>
                <c:pt idx="271">
                  <c:v>22.666666666666668</c:v>
                </c:pt>
                <c:pt idx="272">
                  <c:v>22.75</c:v>
                </c:pt>
                <c:pt idx="273">
                  <c:v>22.833333333333332</c:v>
                </c:pt>
                <c:pt idx="274">
                  <c:v>22.916666666666668</c:v>
                </c:pt>
                <c:pt idx="275">
                  <c:v>23</c:v>
                </c:pt>
                <c:pt idx="276">
                  <c:v>23.083333333333332</c:v>
                </c:pt>
                <c:pt idx="277">
                  <c:v>23.166666666666668</c:v>
                </c:pt>
                <c:pt idx="278">
                  <c:v>23.25</c:v>
                </c:pt>
                <c:pt idx="279">
                  <c:v>23.333333333333332</c:v>
                </c:pt>
                <c:pt idx="280">
                  <c:v>23.416666666666668</c:v>
                </c:pt>
                <c:pt idx="281">
                  <c:v>23.5</c:v>
                </c:pt>
                <c:pt idx="282">
                  <c:v>23.583333333333332</c:v>
                </c:pt>
                <c:pt idx="283">
                  <c:v>23.666666666666668</c:v>
                </c:pt>
                <c:pt idx="284">
                  <c:v>23.75</c:v>
                </c:pt>
                <c:pt idx="285">
                  <c:v>23.833333333333332</c:v>
                </c:pt>
                <c:pt idx="286">
                  <c:v>23.916666666666668</c:v>
                </c:pt>
                <c:pt idx="287">
                  <c:v>24</c:v>
                </c:pt>
                <c:pt idx="288">
                  <c:v>24.083333333333332</c:v>
                </c:pt>
                <c:pt idx="289">
                  <c:v>24.166666666666668</c:v>
                </c:pt>
                <c:pt idx="290">
                  <c:v>24.25</c:v>
                </c:pt>
                <c:pt idx="291">
                  <c:v>24.333333333333332</c:v>
                </c:pt>
                <c:pt idx="292">
                  <c:v>24.416666666666668</c:v>
                </c:pt>
                <c:pt idx="293">
                  <c:v>24.5</c:v>
                </c:pt>
                <c:pt idx="294">
                  <c:v>24.583333333333332</c:v>
                </c:pt>
                <c:pt idx="295">
                  <c:v>24.666666666666668</c:v>
                </c:pt>
                <c:pt idx="296">
                  <c:v>24.75</c:v>
                </c:pt>
                <c:pt idx="297">
                  <c:v>24.833333333333332</c:v>
                </c:pt>
                <c:pt idx="298">
                  <c:v>24.916666666666668</c:v>
                </c:pt>
                <c:pt idx="299">
                  <c:v>25</c:v>
                </c:pt>
                <c:pt idx="300">
                  <c:v>25.083333333333332</c:v>
                </c:pt>
                <c:pt idx="301">
                  <c:v>25.166666666666668</c:v>
                </c:pt>
                <c:pt idx="302">
                  <c:v>25.25</c:v>
                </c:pt>
                <c:pt idx="303">
                  <c:v>25.333333333333332</c:v>
                </c:pt>
                <c:pt idx="304">
                  <c:v>25.416666666666668</c:v>
                </c:pt>
                <c:pt idx="305">
                  <c:v>25.5</c:v>
                </c:pt>
                <c:pt idx="306">
                  <c:v>25.583333333333332</c:v>
                </c:pt>
                <c:pt idx="307">
                  <c:v>25.666666666666668</c:v>
                </c:pt>
                <c:pt idx="308">
                  <c:v>25.75</c:v>
                </c:pt>
                <c:pt idx="309">
                  <c:v>25.833333333333332</c:v>
                </c:pt>
                <c:pt idx="310">
                  <c:v>25.916666666666668</c:v>
                </c:pt>
                <c:pt idx="311">
                  <c:v>26</c:v>
                </c:pt>
                <c:pt idx="312">
                  <c:v>26.083333333333332</c:v>
                </c:pt>
                <c:pt idx="313">
                  <c:v>26.166666666666668</c:v>
                </c:pt>
                <c:pt idx="314">
                  <c:v>26.25</c:v>
                </c:pt>
                <c:pt idx="315">
                  <c:v>26.333333333333332</c:v>
                </c:pt>
                <c:pt idx="316">
                  <c:v>26.416666666666668</c:v>
                </c:pt>
                <c:pt idx="317">
                  <c:v>26.5</c:v>
                </c:pt>
                <c:pt idx="318">
                  <c:v>26.583333333333332</c:v>
                </c:pt>
                <c:pt idx="319">
                  <c:v>26.666666666666668</c:v>
                </c:pt>
                <c:pt idx="320">
                  <c:v>26.75</c:v>
                </c:pt>
                <c:pt idx="321">
                  <c:v>26.833333333333332</c:v>
                </c:pt>
                <c:pt idx="322">
                  <c:v>26.916666666666668</c:v>
                </c:pt>
                <c:pt idx="323">
                  <c:v>27</c:v>
                </c:pt>
                <c:pt idx="324">
                  <c:v>27.083333333333332</c:v>
                </c:pt>
                <c:pt idx="325">
                  <c:v>27.166666666666668</c:v>
                </c:pt>
                <c:pt idx="326">
                  <c:v>27.25</c:v>
                </c:pt>
                <c:pt idx="327">
                  <c:v>27.333333333333332</c:v>
                </c:pt>
                <c:pt idx="328">
                  <c:v>27.416666666666668</c:v>
                </c:pt>
                <c:pt idx="329">
                  <c:v>27.5</c:v>
                </c:pt>
                <c:pt idx="330">
                  <c:v>27.583333333333332</c:v>
                </c:pt>
                <c:pt idx="331">
                  <c:v>27.666666666666668</c:v>
                </c:pt>
                <c:pt idx="332">
                  <c:v>27.75</c:v>
                </c:pt>
                <c:pt idx="333">
                  <c:v>27.833333333333332</c:v>
                </c:pt>
                <c:pt idx="334">
                  <c:v>27.916666666666668</c:v>
                </c:pt>
                <c:pt idx="335">
                  <c:v>28</c:v>
                </c:pt>
                <c:pt idx="336">
                  <c:v>28.083333333333332</c:v>
                </c:pt>
                <c:pt idx="337">
                  <c:v>28.166666666666668</c:v>
                </c:pt>
                <c:pt idx="338">
                  <c:v>28.25</c:v>
                </c:pt>
                <c:pt idx="339">
                  <c:v>28.333333333333332</c:v>
                </c:pt>
                <c:pt idx="340">
                  <c:v>28.416666666666668</c:v>
                </c:pt>
                <c:pt idx="341">
                  <c:v>28.5</c:v>
                </c:pt>
                <c:pt idx="342">
                  <c:v>28.583333333333332</c:v>
                </c:pt>
                <c:pt idx="343">
                  <c:v>28.666666666666668</c:v>
                </c:pt>
                <c:pt idx="344">
                  <c:v>28.75</c:v>
                </c:pt>
                <c:pt idx="345">
                  <c:v>28.833333333333332</c:v>
                </c:pt>
                <c:pt idx="346">
                  <c:v>28.916666666666668</c:v>
                </c:pt>
                <c:pt idx="347">
                  <c:v>29</c:v>
                </c:pt>
                <c:pt idx="348">
                  <c:v>29.083333333333332</c:v>
                </c:pt>
                <c:pt idx="349">
                  <c:v>29.166666666666668</c:v>
                </c:pt>
                <c:pt idx="350">
                  <c:v>29.25</c:v>
                </c:pt>
                <c:pt idx="351">
                  <c:v>29.333333333333332</c:v>
                </c:pt>
                <c:pt idx="352">
                  <c:v>29.416666666666668</c:v>
                </c:pt>
                <c:pt idx="353">
                  <c:v>29.5</c:v>
                </c:pt>
                <c:pt idx="354">
                  <c:v>29.583333333333332</c:v>
                </c:pt>
                <c:pt idx="355">
                  <c:v>29.666666666666668</c:v>
                </c:pt>
                <c:pt idx="356">
                  <c:v>29.75</c:v>
                </c:pt>
                <c:pt idx="357">
                  <c:v>29.833333333333332</c:v>
                </c:pt>
                <c:pt idx="358">
                  <c:v>29.916666666666668</c:v>
                </c:pt>
                <c:pt idx="359">
                  <c:v>30</c:v>
                </c:pt>
                <c:pt idx="360">
                  <c:v>30.083333333333332</c:v>
                </c:pt>
                <c:pt idx="361">
                  <c:v>30.166666666666668</c:v>
                </c:pt>
                <c:pt idx="362">
                  <c:v>30.25</c:v>
                </c:pt>
                <c:pt idx="363">
                  <c:v>30.333333333333332</c:v>
                </c:pt>
                <c:pt idx="364">
                  <c:v>30.416666666666668</c:v>
                </c:pt>
                <c:pt idx="365">
                  <c:v>30.5</c:v>
                </c:pt>
                <c:pt idx="366">
                  <c:v>30.583333333333332</c:v>
                </c:pt>
                <c:pt idx="367">
                  <c:v>30.666666666666668</c:v>
                </c:pt>
                <c:pt idx="368">
                  <c:v>30.75</c:v>
                </c:pt>
                <c:pt idx="369">
                  <c:v>30.833333333333332</c:v>
                </c:pt>
                <c:pt idx="370">
                  <c:v>30.916666666666668</c:v>
                </c:pt>
                <c:pt idx="371">
                  <c:v>31</c:v>
                </c:pt>
                <c:pt idx="372">
                  <c:v>31.083333333333332</c:v>
                </c:pt>
                <c:pt idx="373">
                  <c:v>31.166666666666668</c:v>
                </c:pt>
                <c:pt idx="374">
                  <c:v>31.25</c:v>
                </c:pt>
                <c:pt idx="375">
                  <c:v>31.333333333333332</c:v>
                </c:pt>
                <c:pt idx="376">
                  <c:v>31.416666666666668</c:v>
                </c:pt>
                <c:pt idx="377">
                  <c:v>31.5</c:v>
                </c:pt>
                <c:pt idx="378">
                  <c:v>31.583333333333332</c:v>
                </c:pt>
                <c:pt idx="379">
                  <c:v>31.666666666666668</c:v>
                </c:pt>
                <c:pt idx="380">
                  <c:v>31.75</c:v>
                </c:pt>
                <c:pt idx="381">
                  <c:v>31.833333333333332</c:v>
                </c:pt>
                <c:pt idx="382">
                  <c:v>31.916666666666668</c:v>
                </c:pt>
                <c:pt idx="383">
                  <c:v>32</c:v>
                </c:pt>
                <c:pt idx="384">
                  <c:v>32.083333333333336</c:v>
                </c:pt>
                <c:pt idx="385">
                  <c:v>32.166666666666664</c:v>
                </c:pt>
                <c:pt idx="386">
                  <c:v>32.25</c:v>
                </c:pt>
                <c:pt idx="387">
                  <c:v>32.333333333333336</c:v>
                </c:pt>
                <c:pt idx="388">
                  <c:v>32.416666666666664</c:v>
                </c:pt>
                <c:pt idx="389">
                  <c:v>32.5</c:v>
                </c:pt>
                <c:pt idx="390">
                  <c:v>32.583333333333336</c:v>
                </c:pt>
                <c:pt idx="391">
                  <c:v>32.666666666666664</c:v>
                </c:pt>
                <c:pt idx="392">
                  <c:v>32.75</c:v>
                </c:pt>
                <c:pt idx="393">
                  <c:v>32.833333333333336</c:v>
                </c:pt>
                <c:pt idx="394">
                  <c:v>32.916666666666664</c:v>
                </c:pt>
                <c:pt idx="395">
                  <c:v>33</c:v>
                </c:pt>
                <c:pt idx="396">
                  <c:v>33.083333333333336</c:v>
                </c:pt>
                <c:pt idx="397">
                  <c:v>33.166666666666664</c:v>
                </c:pt>
                <c:pt idx="398">
                  <c:v>33.25</c:v>
                </c:pt>
                <c:pt idx="399">
                  <c:v>33.333333333333336</c:v>
                </c:pt>
                <c:pt idx="400">
                  <c:v>33.416666666666664</c:v>
                </c:pt>
                <c:pt idx="401">
                  <c:v>33.5</c:v>
                </c:pt>
                <c:pt idx="402">
                  <c:v>33.583333333333336</c:v>
                </c:pt>
                <c:pt idx="403">
                  <c:v>33.666666666666664</c:v>
                </c:pt>
                <c:pt idx="404">
                  <c:v>33.75</c:v>
                </c:pt>
                <c:pt idx="405">
                  <c:v>33.833333333333336</c:v>
                </c:pt>
                <c:pt idx="406">
                  <c:v>33.916666666666664</c:v>
                </c:pt>
                <c:pt idx="407">
                  <c:v>34</c:v>
                </c:pt>
                <c:pt idx="408">
                  <c:v>34.083333333333336</c:v>
                </c:pt>
                <c:pt idx="409">
                  <c:v>34.166666666666664</c:v>
                </c:pt>
                <c:pt idx="410">
                  <c:v>34.25</c:v>
                </c:pt>
                <c:pt idx="411">
                  <c:v>34.333333333333336</c:v>
                </c:pt>
                <c:pt idx="412">
                  <c:v>34.416666666666664</c:v>
                </c:pt>
                <c:pt idx="413">
                  <c:v>34.5</c:v>
                </c:pt>
                <c:pt idx="414">
                  <c:v>34.583333333333336</c:v>
                </c:pt>
                <c:pt idx="415">
                  <c:v>34.666666666666664</c:v>
                </c:pt>
                <c:pt idx="416">
                  <c:v>34.75</c:v>
                </c:pt>
                <c:pt idx="417">
                  <c:v>34.833333333333336</c:v>
                </c:pt>
                <c:pt idx="418">
                  <c:v>34.916666666666664</c:v>
                </c:pt>
                <c:pt idx="419">
                  <c:v>35</c:v>
                </c:pt>
                <c:pt idx="420">
                  <c:v>35.083333333333336</c:v>
                </c:pt>
                <c:pt idx="421">
                  <c:v>35.166666666666664</c:v>
                </c:pt>
                <c:pt idx="422">
                  <c:v>35.25</c:v>
                </c:pt>
                <c:pt idx="423">
                  <c:v>35.333333333333336</c:v>
                </c:pt>
                <c:pt idx="424">
                  <c:v>35.416666666666664</c:v>
                </c:pt>
                <c:pt idx="425">
                  <c:v>35.5</c:v>
                </c:pt>
                <c:pt idx="426">
                  <c:v>35.583333333333336</c:v>
                </c:pt>
                <c:pt idx="427">
                  <c:v>35.666666666666664</c:v>
                </c:pt>
                <c:pt idx="428">
                  <c:v>35.75</c:v>
                </c:pt>
                <c:pt idx="429">
                  <c:v>35.833333333333336</c:v>
                </c:pt>
                <c:pt idx="430">
                  <c:v>35.916666666666664</c:v>
                </c:pt>
                <c:pt idx="431">
                  <c:v>36</c:v>
                </c:pt>
                <c:pt idx="432">
                  <c:v>36.083333333333336</c:v>
                </c:pt>
                <c:pt idx="433">
                  <c:v>36.166666666666664</c:v>
                </c:pt>
                <c:pt idx="434">
                  <c:v>36.25</c:v>
                </c:pt>
                <c:pt idx="435">
                  <c:v>36.333333333333336</c:v>
                </c:pt>
                <c:pt idx="436">
                  <c:v>36.416666666666664</c:v>
                </c:pt>
                <c:pt idx="437">
                  <c:v>36.5</c:v>
                </c:pt>
                <c:pt idx="438">
                  <c:v>36.583333333333336</c:v>
                </c:pt>
                <c:pt idx="439">
                  <c:v>36.666666666666664</c:v>
                </c:pt>
                <c:pt idx="440">
                  <c:v>36.75</c:v>
                </c:pt>
                <c:pt idx="441">
                  <c:v>36.833333333333336</c:v>
                </c:pt>
                <c:pt idx="442">
                  <c:v>36.916666666666664</c:v>
                </c:pt>
                <c:pt idx="443">
                  <c:v>37</c:v>
                </c:pt>
                <c:pt idx="444">
                  <c:v>37.083333333333336</c:v>
                </c:pt>
                <c:pt idx="445">
                  <c:v>37.166666666666664</c:v>
                </c:pt>
                <c:pt idx="446">
                  <c:v>37.25</c:v>
                </c:pt>
                <c:pt idx="447">
                  <c:v>37.333333333333336</c:v>
                </c:pt>
                <c:pt idx="448">
                  <c:v>37.416666666666664</c:v>
                </c:pt>
                <c:pt idx="449">
                  <c:v>37.5</c:v>
                </c:pt>
                <c:pt idx="450">
                  <c:v>37.583333333333336</c:v>
                </c:pt>
                <c:pt idx="451">
                  <c:v>37.666666666666664</c:v>
                </c:pt>
                <c:pt idx="452">
                  <c:v>37.75</c:v>
                </c:pt>
                <c:pt idx="453">
                  <c:v>37.833333333333336</c:v>
                </c:pt>
                <c:pt idx="454">
                  <c:v>37.916666666666664</c:v>
                </c:pt>
                <c:pt idx="455">
                  <c:v>38</c:v>
                </c:pt>
                <c:pt idx="456">
                  <c:v>38.083333333333336</c:v>
                </c:pt>
                <c:pt idx="457">
                  <c:v>38.166666666666664</c:v>
                </c:pt>
                <c:pt idx="458">
                  <c:v>38.25</c:v>
                </c:pt>
                <c:pt idx="459">
                  <c:v>38.333333333333336</c:v>
                </c:pt>
                <c:pt idx="460">
                  <c:v>38.416666666666664</c:v>
                </c:pt>
                <c:pt idx="461">
                  <c:v>38.5</c:v>
                </c:pt>
                <c:pt idx="462">
                  <c:v>38.583333333333336</c:v>
                </c:pt>
                <c:pt idx="463">
                  <c:v>38.666666666666664</c:v>
                </c:pt>
                <c:pt idx="464">
                  <c:v>38.75</c:v>
                </c:pt>
                <c:pt idx="465">
                  <c:v>38.833333333333336</c:v>
                </c:pt>
                <c:pt idx="466">
                  <c:v>38.916666666666664</c:v>
                </c:pt>
                <c:pt idx="467">
                  <c:v>39</c:v>
                </c:pt>
                <c:pt idx="468">
                  <c:v>39.083333333333336</c:v>
                </c:pt>
                <c:pt idx="469">
                  <c:v>39.166666666666664</c:v>
                </c:pt>
                <c:pt idx="470">
                  <c:v>39.25</c:v>
                </c:pt>
                <c:pt idx="471">
                  <c:v>39.333333333333336</c:v>
                </c:pt>
                <c:pt idx="472">
                  <c:v>39.416666666666664</c:v>
                </c:pt>
                <c:pt idx="473">
                  <c:v>39.5</c:v>
                </c:pt>
                <c:pt idx="474">
                  <c:v>39.583333333333336</c:v>
                </c:pt>
                <c:pt idx="475">
                  <c:v>39.666666666666664</c:v>
                </c:pt>
                <c:pt idx="476">
                  <c:v>39.75</c:v>
                </c:pt>
                <c:pt idx="477">
                  <c:v>39.833333333333336</c:v>
                </c:pt>
                <c:pt idx="478">
                  <c:v>39.916666666666664</c:v>
                </c:pt>
                <c:pt idx="479">
                  <c:v>40</c:v>
                </c:pt>
              </c:numCache>
            </c:numRef>
          </c:xVal>
          <c:yVal>
            <c:numRef>
              <c:f>'Figures B1-B3'!$E$17:$RP$17</c:f>
              <c:numCache>
                <c:formatCode>#,##0.00</c:formatCode>
                <c:ptCount val="480"/>
                <c:pt idx="180">
                  <c:v>0.34094640252590885</c:v>
                </c:pt>
                <c:pt idx="181">
                  <c:v>0.33803246942376741</c:v>
                </c:pt>
                <c:pt idx="182">
                  <c:v>0.33514344054721928</c:v>
                </c:pt>
                <c:pt idx="183">
                  <c:v>0.33227910304976782</c:v>
                </c:pt>
                <c:pt idx="184">
                  <c:v>0.32943924590403068</c:v>
                </c:pt>
                <c:pt idx="185">
                  <c:v>0.32662365988619219</c:v>
                </c:pt>
                <c:pt idx="186">
                  <c:v>0.32383213756058948</c:v>
                </c:pt>
                <c:pt idx="187">
                  <c:v>0.32106447326442988</c:v>
                </c:pt>
                <c:pt idx="188">
                  <c:v>0.31832046309263828</c:v>
                </c:pt>
                <c:pt idx="189">
                  <c:v>0.31559990488283535</c:v>
                </c:pt>
                <c:pt idx="190">
                  <c:v>0.31290259820044292</c:v>
                </c:pt>
                <c:pt idx="191">
                  <c:v>0.31022834432391738</c:v>
                </c:pt>
                <c:pt idx="192">
                  <c:v>0.30757694623010906</c:v>
                </c:pt>
                <c:pt idx="193">
                  <c:v>0.30494820857974647</c:v>
                </c:pt>
                <c:pt idx="194">
                  <c:v>0.30234193770304546</c:v>
                </c:pt>
                <c:pt idx="195">
                  <c:v>0.29975794158544006</c:v>
                </c:pt>
                <c:pt idx="196">
                  <c:v>0.29719602985343618</c:v>
                </c:pt>
                <c:pt idx="197">
                  <c:v>0.29465601376058675</c:v>
                </c:pt>
                <c:pt idx="198">
                  <c:v>0.29213770617358475</c:v>
                </c:pt>
                <c:pt idx="199">
                  <c:v>0.28964092155847732</c:v>
                </c:pt>
                <c:pt idx="200">
                  <c:v>0.28716547596699654</c:v>
                </c:pt>
                <c:pt idx="201">
                  <c:v>0.28471118702300674</c:v>
                </c:pt>
                <c:pt idx="202">
                  <c:v>0.28227787390906856</c:v>
                </c:pt>
                <c:pt idx="203">
                  <c:v>0.27986535735311735</c:v>
                </c:pt>
                <c:pt idx="204">
                  <c:v>0.27747345961525538</c:v>
                </c:pt>
                <c:pt idx="205">
                  <c:v>0.27510200447465694</c:v>
                </c:pt>
                <c:pt idx="206">
                  <c:v>0.27275081721658562</c:v>
                </c:pt>
                <c:pt idx="207">
                  <c:v>0.27041972461952224</c:v>
                </c:pt>
                <c:pt idx="208">
                  <c:v>0.26810855494240282</c:v>
                </c:pt>
                <c:pt idx="209">
                  <c:v>0.26581713791196615</c:v>
                </c:pt>
                <c:pt idx="210">
                  <c:v>0.26354530471020859</c:v>
                </c:pt>
                <c:pt idx="211">
                  <c:v>0.2612928879619465</c:v>
                </c:pt>
                <c:pt idx="212">
                  <c:v>0.25905972172248576</c:v>
                </c:pt>
                <c:pt idx="213">
                  <c:v>0.25684564146539507</c:v>
                </c:pt>
                <c:pt idx="214">
                  <c:v>0.2546504840703851</c:v>
                </c:pt>
                <c:pt idx="215">
                  <c:v>0.25247408781129083</c:v>
                </c:pt>
                <c:pt idx="216">
                  <c:v>0.25031629234415614</c:v>
                </c:pt>
                <c:pt idx="217">
                  <c:v>0.24817693869542085</c:v>
                </c:pt>
                <c:pt idx="218">
                  <c:v>0.24605586925020867</c:v>
                </c:pt>
                <c:pt idx="219">
                  <c:v>0.2439529277407147</c:v>
                </c:pt>
                <c:pt idx="220">
                  <c:v>0.24186795923469273</c:v>
                </c:pt>
                <c:pt idx="221">
                  <c:v>0.23980081012404092</c:v>
                </c:pt>
                <c:pt idx="222">
                  <c:v>0.23775132811348448</c:v>
                </c:pt>
                <c:pt idx="223">
                  <c:v>0.23571936220935577</c:v>
                </c:pt>
                <c:pt idx="224">
                  <c:v>0.23370476270846996</c:v>
                </c:pt>
                <c:pt idx="225">
                  <c:v>0.23170738118709555</c:v>
                </c:pt>
                <c:pt idx="226">
                  <c:v>0.22972707049001964</c:v>
                </c:pt>
                <c:pt idx="227">
                  <c:v>0.22776368471970646</c:v>
                </c:pt>
                <c:pt idx="228">
                  <c:v>0.22581707922554811</c:v>
                </c:pt>
                <c:pt idx="229">
                  <c:v>0.22388711059320787</c:v>
                </c:pt>
                <c:pt idx="230">
                  <c:v>0.22197363663405448</c:v>
                </c:pt>
                <c:pt idx="231">
                  <c:v>0.22007651637468606</c:v>
                </c:pt>
                <c:pt idx="232">
                  <c:v>0.21819561004654417</c:v>
                </c:pt>
                <c:pt idx="233">
                  <c:v>0.21633077907561682</c:v>
                </c:pt>
                <c:pt idx="234">
                  <c:v>0.21448188607222876</c:v>
                </c:pt>
                <c:pt idx="235">
                  <c:v>0.21264879482091947</c:v>
                </c:pt>
                <c:pt idx="236">
                  <c:v>0.21083137027040796</c:v>
                </c:pt>
                <c:pt idx="237">
                  <c:v>0.20902947852364259</c:v>
                </c:pt>
                <c:pt idx="238">
                  <c:v>0.2072429868279364</c:v>
                </c:pt>
                <c:pt idx="239">
                  <c:v>0.20547176356518707</c:v>
                </c:pt>
                <c:pt idx="240">
                  <c:v>0.20371567824217954</c:v>
                </c:pt>
                <c:pt idx="241">
                  <c:v>0.20197460148097215</c:v>
                </c:pt>
                <c:pt idx="242">
                  <c:v>0.20024840500936547</c:v>
                </c:pt>
                <c:pt idx="243">
                  <c:v>0.19853696165145091</c:v>
                </c:pt>
                <c:pt idx="244">
                  <c:v>0.19684014531824207</c:v>
                </c:pt>
                <c:pt idx="245">
                  <c:v>0.19515783099838477</c:v>
                </c:pt>
                <c:pt idx="246">
                  <c:v>0.19348989474894718</c:v>
                </c:pt>
                <c:pt idx="247">
                  <c:v>0.19183621368628803</c:v>
                </c:pt>
                <c:pt idx="248">
                  <c:v>0.19019666597700413</c:v>
                </c:pt>
                <c:pt idx="249">
                  <c:v>0.18857113082895333</c:v>
                </c:pt>
                <c:pt idx="250">
                  <c:v>0.18695948848235608</c:v>
                </c:pt>
                <c:pt idx="251">
                  <c:v>0.18536162020097194</c:v>
                </c:pt>
                <c:pt idx="252">
                  <c:v>0.18377740826335184</c:v>
                </c:pt>
                <c:pt idx="253">
                  <c:v>0.18220673595416484</c:v>
                </c:pt>
                <c:pt idx="254">
                  <c:v>0.18064948755559979</c:v>
                </c:pt>
                <c:pt idx="255">
                  <c:v>0.17910554833883935</c:v>
                </c:pt>
                <c:pt idx="256">
                  <c:v>0.17757480455560762</c:v>
                </c:pt>
                <c:pt idx="257">
                  <c:v>0.17605714342979012</c:v>
                </c:pt>
                <c:pt idx="258">
                  <c:v>0.17455245314912488</c:v>
                </c:pt>
                <c:pt idx="259">
                  <c:v>0.17306062285696452</c:v>
                </c:pt>
                <c:pt idx="260">
                  <c:v>0.17158154264410963</c:v>
                </c:pt>
                <c:pt idx="261">
                  <c:v>0.17011510354071077</c:v>
                </c:pt>
                <c:pt idx="262">
                  <c:v>0.16866119750824032</c:v>
                </c:pt>
                <c:pt idx="263">
                  <c:v>0.16721971743153316</c:v>
                </c:pt>
                <c:pt idx="264">
                  <c:v>0.16579055711089463</c:v>
                </c:pt>
                <c:pt idx="265">
                  <c:v>0.16437361125427652</c:v>
                </c:pt>
                <c:pt idx="266">
                  <c:v>0.16296877546952013</c:v>
                </c:pt>
                <c:pt idx="267">
                  <c:v>0.16157594625666458</c:v>
                </c:pt>
                <c:pt idx="268">
                  <c:v>0.16019502100032207</c:v>
                </c:pt>
                <c:pt idx="269">
                  <c:v>0.15882589796211782</c:v>
                </c:pt>
                <c:pt idx="270">
                  <c:v>0.15746847627319421</c:v>
                </c:pt>
                <c:pt idx="271">
                  <c:v>0.15612265592677954</c:v>
                </c:pt>
                <c:pt idx="272">
                  <c:v>0.15478833777082038</c:v>
                </c:pt>
                <c:pt idx="273">
                  <c:v>0.15346542350067618</c:v>
                </c:pt>
                <c:pt idx="274">
                  <c:v>0.15215381565187711</c:v>
                </c:pt>
                <c:pt idx="275">
                  <c:v>0.15085341759294338</c:v>
                </c:pt>
                <c:pt idx="276">
                  <c:v>0.14956413351826589</c:v>
                </c:pt>
                <c:pt idx="277">
                  <c:v>0.14828586844104785</c:v>
                </c:pt>
                <c:pt idx="278">
                  <c:v>0.14701852818630698</c:v>
                </c:pt>
                <c:pt idx="279">
                  <c:v>0.14576201938393696</c:v>
                </c:pt>
                <c:pt idx="280">
                  <c:v>0.14451624946182853</c:v>
                </c:pt>
                <c:pt idx="281">
                  <c:v>0.14328112663904952</c:v>
                </c:pt>
                <c:pt idx="282">
                  <c:v>0.14205655991908267</c:v>
                </c:pt>
                <c:pt idx="283">
                  <c:v>0.14084245908312176</c:v>
                </c:pt>
                <c:pt idx="284">
                  <c:v>0.13963873468342489</c:v>
                </c:pt>
                <c:pt idx="285">
                  <c:v>0.13844529803672423</c:v>
                </c:pt>
                <c:pt idx="286">
                  <c:v>0.13726206121769249</c:v>
                </c:pt>
                <c:pt idx="287">
                  <c:v>0.13608893705246536</c:v>
                </c:pt>
                <c:pt idx="288">
                  <c:v>0.13492583911221862</c:v>
                </c:pt>
                <c:pt idx="289">
                  <c:v>0.13377268170680079</c:v>
                </c:pt>
                <c:pt idx="290">
                  <c:v>0.13262937987842013</c:v>
                </c:pt>
                <c:pt idx="291">
                  <c:v>0.13149584939538519</c:v>
                </c:pt>
                <c:pt idx="292">
                  <c:v>0.13037200674589922</c:v>
                </c:pt>
                <c:pt idx="293">
                  <c:v>0.12925776913190762</c:v>
                </c:pt>
                <c:pt idx="294">
                  <c:v>0.12815305446299774</c:v>
                </c:pt>
                <c:pt idx="295">
                  <c:v>0.12705778135035095</c:v>
                </c:pt>
                <c:pt idx="296">
                  <c:v>0.12597186910074656</c:v>
                </c:pt>
                <c:pt idx="297">
                  <c:v>0.12489523771061654</c:v>
                </c:pt>
                <c:pt idx="298">
                  <c:v>0.12382780786015159</c:v>
                </c:pt>
                <c:pt idx="299">
                  <c:v>0.12276950090745718</c:v>
                </c:pt>
                <c:pt idx="300">
                  <c:v>0.12172023888275982</c:v>
                </c:pt>
                <c:pt idx="301">
                  <c:v>0.12067994448266242</c:v>
                </c:pt>
                <c:pt idx="302">
                  <c:v>0.1196485410644495</c:v>
                </c:pt>
                <c:pt idx="303">
                  <c:v>0.11862595264044015</c:v>
                </c:pt>
                <c:pt idx="304">
                  <c:v>0.11761210387238991</c:v>
                </c:pt>
                <c:pt idx="305">
                  <c:v>0.11660692006594041</c:v>
                </c:pt>
                <c:pt idx="306">
                  <c:v>0.11561032716511611</c:v>
                </c:pt>
                <c:pt idx="307">
                  <c:v>0.11462225174686838</c:v>
                </c:pt>
                <c:pt idx="308">
                  <c:v>0.11364262101566626</c:v>
                </c:pt>
                <c:pt idx="309">
                  <c:v>0.11267136279813307</c:v>
                </c:pt>
                <c:pt idx="310">
                  <c:v>0.11170840553772929</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numCache>
            </c:numRef>
          </c:yVal>
          <c:smooth val="0"/>
          <c:extLst>
            <c:ext xmlns:c16="http://schemas.microsoft.com/office/drawing/2014/chart" uri="{C3380CC4-5D6E-409C-BE32-E72D297353CC}">
              <c16:uniqueId val="{00000002-B837-4051-A32B-8525E6326EF3}"/>
            </c:ext>
          </c:extLst>
        </c:ser>
        <c:dLbls>
          <c:showLegendKey val="0"/>
          <c:showVal val="0"/>
          <c:showCatName val="0"/>
          <c:showSerName val="0"/>
          <c:showPercent val="0"/>
          <c:showBubbleSize val="0"/>
        </c:dLbls>
        <c:axId val="585166080"/>
        <c:axId val="585164416"/>
      </c:scatterChart>
      <c:valAx>
        <c:axId val="571412608"/>
        <c:scaling>
          <c:orientation val="minMax"/>
          <c:max val="4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chemeClr val="tx1"/>
                    </a:solidFill>
                  </a:rPr>
                  <a:t>model year</a:t>
                </a:r>
              </a:p>
            </c:rich>
          </c:tx>
          <c:layout>
            <c:manualLayout>
              <c:xMode val="edge"/>
              <c:yMode val="edge"/>
              <c:x val="0.36284436087280125"/>
              <c:y val="0.920100181139329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cross"/>
        <c:minorTickMark val="cross"/>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917020512"/>
        <c:crosses val="autoZero"/>
        <c:crossBetween val="midCat"/>
        <c:majorUnit val="10"/>
        <c:minorUnit val="5"/>
      </c:valAx>
      <c:valAx>
        <c:axId val="917020512"/>
        <c:scaling>
          <c:orientation val="minMax"/>
          <c:max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chemeClr val="tx1"/>
                    </a:solidFill>
                  </a:rPr>
                  <a:t>Tract 16 stock,</a:t>
                </a:r>
                <a:r>
                  <a:rPr lang="en-US" sz="900" b="1" baseline="0">
                    <a:solidFill>
                      <a:schemeClr val="tx1"/>
                    </a:solidFill>
                  </a:rPr>
                  <a:t> MgC/ha</a:t>
                </a:r>
                <a:endParaRPr lang="en-US" sz="900" b="1">
                  <a:solidFill>
                    <a:schemeClr val="tx1"/>
                  </a:solidFill>
                </a:endParaRPr>
              </a:p>
            </c:rich>
          </c:tx>
          <c:layout>
            <c:manualLayout>
              <c:xMode val="edge"/>
              <c:yMode val="edge"/>
              <c:x val="1.6188904222023789E-2"/>
              <c:y val="0.2252164430150456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571412608"/>
        <c:crosses val="autoZero"/>
        <c:crossBetween val="midCat"/>
      </c:valAx>
      <c:valAx>
        <c:axId val="585164416"/>
        <c:scaling>
          <c:orientation val="minMax"/>
        </c:scaling>
        <c:delete val="0"/>
        <c:axPos val="r"/>
        <c:title>
          <c:tx>
            <c:rich>
              <a:bodyPr rot="5400000" spcFirstLastPara="1" vertOverflow="ellipsis" wrap="square" anchor="ctr" anchorCtr="1"/>
              <a:lstStyle/>
              <a:p>
                <a:pPr>
                  <a:defRPr sz="1000" b="1" i="0" u="none" strike="noStrike" kern="1200" baseline="0">
                    <a:solidFill>
                      <a:srgbClr val="FD8D3C"/>
                    </a:solidFill>
                    <a:latin typeface="+mn-lt"/>
                    <a:ea typeface="+mn-ea"/>
                    <a:cs typeface="+mn-cs"/>
                  </a:defRPr>
                </a:pPr>
                <a:r>
                  <a:rPr lang="en-US" b="1">
                    <a:solidFill>
                      <a:srgbClr val="FD8D3C"/>
                    </a:solidFill>
                  </a:rPr>
                  <a:t>Pienaar index of suppression</a:t>
                </a:r>
              </a:p>
            </c:rich>
          </c:tx>
          <c:overlay val="0"/>
          <c:spPr>
            <a:noFill/>
            <a:ln>
              <a:noFill/>
            </a:ln>
            <a:effectLst/>
          </c:spPr>
          <c:txPr>
            <a:bodyPr rot="5400000" spcFirstLastPara="1" vertOverflow="ellipsis" wrap="square" anchor="ctr" anchorCtr="1"/>
            <a:lstStyle/>
            <a:p>
              <a:pPr>
                <a:defRPr sz="1000" b="1" i="0" u="none" strike="noStrike" kern="1200" baseline="0">
                  <a:solidFill>
                    <a:srgbClr val="FD8D3C"/>
                  </a:solidFill>
                  <a:latin typeface="+mn-lt"/>
                  <a:ea typeface="+mn-ea"/>
                  <a:cs typeface="+mn-cs"/>
                </a:defRPr>
              </a:pPr>
              <a:endParaRPr lang="en-US"/>
            </a:p>
          </c:txPr>
        </c:title>
        <c:numFmt formatCode="#,##0.00" sourceLinked="0"/>
        <c:majorTickMark val="out"/>
        <c:minorTickMark val="out"/>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rgbClr val="FD8D3C"/>
                </a:solidFill>
                <a:latin typeface="+mn-lt"/>
                <a:ea typeface="+mn-ea"/>
                <a:cs typeface="+mn-cs"/>
              </a:defRPr>
            </a:pPr>
            <a:endParaRPr lang="en-US"/>
          </a:p>
        </c:txPr>
        <c:crossAx val="585166080"/>
        <c:crosses val="max"/>
        <c:crossBetween val="midCat"/>
      </c:valAx>
      <c:valAx>
        <c:axId val="585166080"/>
        <c:scaling>
          <c:orientation val="minMax"/>
        </c:scaling>
        <c:delete val="1"/>
        <c:axPos val="b"/>
        <c:numFmt formatCode="#,##0.00" sourceLinked="1"/>
        <c:majorTickMark val="out"/>
        <c:minorTickMark val="none"/>
        <c:tickLblPos val="nextTo"/>
        <c:crossAx val="585164416"/>
        <c:crosses val="autoZero"/>
        <c:crossBetween val="midCat"/>
      </c:valAx>
      <c:spPr>
        <a:noFill/>
        <a:ln>
          <a:solidFill>
            <a:schemeClr val="tx1"/>
          </a:solidFill>
        </a:ln>
        <a:effectLst/>
      </c:spPr>
    </c:plotArea>
    <c:legend>
      <c:legendPos val="r"/>
      <c:layout>
        <c:manualLayout>
          <c:xMode val="edge"/>
          <c:yMode val="edge"/>
          <c:x val="0.812067222940416"/>
          <c:y val="0.17891205500720861"/>
          <c:w val="0.18002898891369917"/>
          <c:h val="0.466332852759602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43288625619045E-2"/>
          <c:y val="5.0925925925925923E-2"/>
          <c:w val="0.65428961288095866"/>
          <c:h val="0.83413416783500471"/>
        </c:manualLayout>
      </c:layout>
      <c:areaChart>
        <c:grouping val="stacked"/>
        <c:varyColors val="0"/>
        <c:ser>
          <c:idx val="4"/>
          <c:order val="0"/>
          <c:tx>
            <c:strRef>
              <c:f>'REF rollup'!$B$9</c:f>
              <c:strCache>
                <c:ptCount val="1"/>
                <c:pt idx="0">
                  <c:v>fuel extraction, refining &amp; transport</c:v>
                </c:pt>
              </c:strCache>
            </c:strRef>
          </c:tx>
          <c:spPr>
            <a:solidFill>
              <a:schemeClr val="accent5"/>
            </a:solidFill>
            <a:ln>
              <a:noFill/>
            </a:ln>
            <a:effectLst/>
          </c:spPr>
          <c:cat>
            <c:numRef>
              <c:f>'REF rollup'!$C$8:$AQ$8</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numCache>
            </c:numRef>
          </c:cat>
          <c:val>
            <c:numRef>
              <c:f>'REF rollup'!$C$9:$AQ$9</c:f>
              <c:numCache>
                <c:formatCode>#,##0.0</c:formatCode>
                <c:ptCount val="41"/>
                <c:pt idx="0">
                  <c:v>0</c:v>
                </c:pt>
                <c:pt idx="1">
                  <c:v>0.25224665279999997</c:v>
                </c:pt>
                <c:pt idx="2">
                  <c:v>0.50449330559999994</c:v>
                </c:pt>
                <c:pt idx="3">
                  <c:v>0.75673995839999986</c:v>
                </c:pt>
                <c:pt idx="4">
                  <c:v>1.0089866111999999</c:v>
                </c:pt>
                <c:pt idx="5">
                  <c:v>1.2612332639999999</c:v>
                </c:pt>
                <c:pt idx="6">
                  <c:v>1.5134799167999999</c:v>
                </c:pt>
                <c:pt idx="7">
                  <c:v>1.7657265696</c:v>
                </c:pt>
                <c:pt idx="8">
                  <c:v>2.0179732223999998</c:v>
                </c:pt>
                <c:pt idx="9">
                  <c:v>2.2702198751999996</c:v>
                </c:pt>
                <c:pt idx="10">
                  <c:v>2.5224665279999994</c:v>
                </c:pt>
                <c:pt idx="11">
                  <c:v>2.7747131807999992</c:v>
                </c:pt>
                <c:pt idx="12">
                  <c:v>3.026959833599999</c:v>
                </c:pt>
                <c:pt idx="13">
                  <c:v>3.2792064863999988</c:v>
                </c:pt>
                <c:pt idx="14">
                  <c:v>3.5314531391999986</c:v>
                </c:pt>
                <c:pt idx="15">
                  <c:v>3.7836997919999984</c:v>
                </c:pt>
                <c:pt idx="16">
                  <c:v>4.0359464447999986</c:v>
                </c:pt>
                <c:pt idx="17">
                  <c:v>4.2881930975999989</c:v>
                </c:pt>
                <c:pt idx="18">
                  <c:v>4.5404397503999991</c:v>
                </c:pt>
                <c:pt idx="19">
                  <c:v>4.7926864031999994</c:v>
                </c:pt>
                <c:pt idx="20">
                  <c:v>5.0449330559999996</c:v>
                </c:pt>
                <c:pt idx="21">
                  <c:v>5.2971797087999999</c:v>
                </c:pt>
                <c:pt idx="22">
                  <c:v>5.5494263616000001</c:v>
                </c:pt>
                <c:pt idx="23">
                  <c:v>5.8016730144000004</c:v>
                </c:pt>
                <c:pt idx="24">
                  <c:v>6.0539196672000006</c:v>
                </c:pt>
                <c:pt idx="25">
                  <c:v>6.3061663200000009</c:v>
                </c:pt>
                <c:pt idx="26">
                  <c:v>6.5584129728000011</c:v>
                </c:pt>
                <c:pt idx="27">
                  <c:v>6.8106596256000014</c:v>
                </c:pt>
                <c:pt idx="28">
                  <c:v>7.0629062784000016</c:v>
                </c:pt>
                <c:pt idx="29">
                  <c:v>7.3151529312000019</c:v>
                </c:pt>
                <c:pt idx="30">
                  <c:v>7.5673995840000021</c:v>
                </c:pt>
                <c:pt idx="31">
                  <c:v>7.8196462368000024</c:v>
                </c:pt>
                <c:pt idx="32">
                  <c:v>8.0718928896000026</c:v>
                </c:pt>
                <c:pt idx="33">
                  <c:v>8.3241395424000029</c:v>
                </c:pt>
                <c:pt idx="34">
                  <c:v>8.5763861952000031</c:v>
                </c:pt>
                <c:pt idx="35">
                  <c:v>8.8286328480000034</c:v>
                </c:pt>
                <c:pt idx="36">
                  <c:v>9.0808795008000036</c:v>
                </c:pt>
                <c:pt idx="37">
                  <c:v>9.3331261536000039</c:v>
                </c:pt>
                <c:pt idx="38">
                  <c:v>9.5853728064000041</c:v>
                </c:pt>
                <c:pt idx="39">
                  <c:v>9.8376194592000044</c:v>
                </c:pt>
                <c:pt idx="40">
                  <c:v>10.089866112000005</c:v>
                </c:pt>
              </c:numCache>
            </c:numRef>
          </c:val>
          <c:extLst>
            <c:ext xmlns:c16="http://schemas.microsoft.com/office/drawing/2014/chart" uri="{C3380CC4-5D6E-409C-BE32-E72D297353CC}">
              <c16:uniqueId val="{00000004-0FA8-4053-BDE7-9248F44FFF51}"/>
            </c:ext>
          </c:extLst>
        </c:ser>
        <c:ser>
          <c:idx val="5"/>
          <c:order val="1"/>
          <c:tx>
            <c:strRef>
              <c:f>'REF rollup'!$B$10</c:f>
              <c:strCache>
                <c:ptCount val="1"/>
                <c:pt idx="0">
                  <c:v>stack</c:v>
                </c:pt>
              </c:strCache>
            </c:strRef>
          </c:tx>
          <c:spPr>
            <a:solidFill>
              <a:srgbClr val="D9D9D9"/>
            </a:solidFill>
            <a:ln>
              <a:noFill/>
            </a:ln>
            <a:effectLst/>
          </c:spPr>
          <c:cat>
            <c:numRef>
              <c:f>'REF rollup'!$C$8:$AQ$8</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numCache>
            </c:numRef>
          </c:cat>
          <c:val>
            <c:numRef>
              <c:f>'REF rollup'!$C$10:$AQ$10</c:f>
              <c:numCache>
                <c:formatCode>#,##0.0</c:formatCode>
                <c:ptCount val="41"/>
                <c:pt idx="0">
                  <c:v>0</c:v>
                </c:pt>
                <c:pt idx="1">
                  <c:v>3.174080184970308</c:v>
                </c:pt>
                <c:pt idx="2">
                  <c:v>6.3481603699406159</c:v>
                </c:pt>
                <c:pt idx="3">
                  <c:v>9.5222405549109244</c:v>
                </c:pt>
                <c:pt idx="4">
                  <c:v>12.696320739881232</c:v>
                </c:pt>
                <c:pt idx="5">
                  <c:v>15.870400924851539</c:v>
                </c:pt>
                <c:pt idx="6">
                  <c:v>19.044481109821849</c:v>
                </c:pt>
                <c:pt idx="7">
                  <c:v>22.218561294792156</c:v>
                </c:pt>
                <c:pt idx="8">
                  <c:v>25.392641479762464</c:v>
                </c:pt>
                <c:pt idx="9">
                  <c:v>28.566721664732771</c:v>
                </c:pt>
                <c:pt idx="10">
                  <c:v>31.740801849703079</c:v>
                </c:pt>
                <c:pt idx="11">
                  <c:v>34.91488203467339</c:v>
                </c:pt>
                <c:pt idx="12">
                  <c:v>38.088962219643697</c:v>
                </c:pt>
                <c:pt idx="13">
                  <c:v>41.263042404614005</c:v>
                </c:pt>
                <c:pt idx="14">
                  <c:v>44.437122589584312</c:v>
                </c:pt>
                <c:pt idx="15">
                  <c:v>47.61120277455462</c:v>
                </c:pt>
                <c:pt idx="16">
                  <c:v>50.785282959524928</c:v>
                </c:pt>
                <c:pt idx="17">
                  <c:v>53.959363144495235</c:v>
                </c:pt>
                <c:pt idx="18">
                  <c:v>57.133443329465543</c:v>
                </c:pt>
                <c:pt idx="19">
                  <c:v>60.30752351443585</c:v>
                </c:pt>
                <c:pt idx="20">
                  <c:v>63.481603699406158</c:v>
                </c:pt>
                <c:pt idx="21">
                  <c:v>66.655683884376472</c:v>
                </c:pt>
                <c:pt idx="22">
                  <c:v>69.82976406934678</c:v>
                </c:pt>
                <c:pt idx="23">
                  <c:v>73.003844254317087</c:v>
                </c:pt>
                <c:pt idx="24">
                  <c:v>76.177924439287395</c:v>
                </c:pt>
                <c:pt idx="25">
                  <c:v>79.352004624257702</c:v>
                </c:pt>
                <c:pt idx="26">
                  <c:v>82.52608480922801</c:v>
                </c:pt>
                <c:pt idx="27">
                  <c:v>85.700164994198317</c:v>
                </c:pt>
                <c:pt idx="28">
                  <c:v>88.874245179168625</c:v>
                </c:pt>
                <c:pt idx="29">
                  <c:v>92.048325364138933</c:v>
                </c:pt>
                <c:pt idx="30">
                  <c:v>95.22240554910924</c:v>
                </c:pt>
                <c:pt idx="31">
                  <c:v>98.396485734079548</c:v>
                </c:pt>
                <c:pt idx="32">
                  <c:v>101.57056591904986</c:v>
                </c:pt>
                <c:pt idx="33">
                  <c:v>104.74464610402016</c:v>
                </c:pt>
                <c:pt idx="34">
                  <c:v>107.91872628899047</c:v>
                </c:pt>
                <c:pt idx="35">
                  <c:v>111.09280647396078</c:v>
                </c:pt>
                <c:pt idx="36">
                  <c:v>114.26688665893109</c:v>
                </c:pt>
                <c:pt idx="37">
                  <c:v>117.44096684390139</c:v>
                </c:pt>
                <c:pt idx="38">
                  <c:v>120.6150470288717</c:v>
                </c:pt>
                <c:pt idx="39">
                  <c:v>123.78912721384201</c:v>
                </c:pt>
                <c:pt idx="40">
                  <c:v>126.96320739881232</c:v>
                </c:pt>
              </c:numCache>
            </c:numRef>
          </c:val>
          <c:extLst>
            <c:ext xmlns:c16="http://schemas.microsoft.com/office/drawing/2014/chart" uri="{C3380CC4-5D6E-409C-BE32-E72D297353CC}">
              <c16:uniqueId val="{00000005-0FA8-4053-BDE7-9248F44FFF51}"/>
            </c:ext>
          </c:extLst>
        </c:ser>
        <c:dLbls>
          <c:showLegendKey val="0"/>
          <c:showVal val="0"/>
          <c:showCatName val="0"/>
          <c:showSerName val="0"/>
          <c:showPercent val="0"/>
          <c:showBubbleSize val="0"/>
        </c:dLbls>
        <c:axId val="354018191"/>
        <c:axId val="354043151"/>
      </c:areaChart>
      <c:lineChart>
        <c:grouping val="standard"/>
        <c:varyColors val="0"/>
        <c:ser>
          <c:idx val="1"/>
          <c:order val="2"/>
          <c:tx>
            <c:v>total</c:v>
          </c:tx>
          <c:spPr>
            <a:ln w="19050" cap="rnd">
              <a:solidFill>
                <a:schemeClr val="tx1"/>
              </a:solidFill>
              <a:round/>
            </a:ln>
            <a:effectLst/>
          </c:spPr>
          <c:marker>
            <c:symbol val="none"/>
          </c:marker>
          <c:cat>
            <c:numRef>
              <c:f>'REF rollup'!$C$8:$AQ$8</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numCache>
            </c:numRef>
          </c:cat>
          <c:val>
            <c:numRef>
              <c:f>'REF rollup'!$C$11:$AQ$11</c:f>
              <c:numCache>
                <c:formatCode>#,##0.0</c:formatCode>
                <c:ptCount val="41"/>
                <c:pt idx="0">
                  <c:v>0</c:v>
                </c:pt>
                <c:pt idx="1">
                  <c:v>3.4263268377703078</c:v>
                </c:pt>
                <c:pt idx="2">
                  <c:v>6.8526536755406156</c:v>
                </c:pt>
                <c:pt idx="3">
                  <c:v>10.278980513310923</c:v>
                </c:pt>
                <c:pt idx="4">
                  <c:v>13.705307351081231</c:v>
                </c:pt>
                <c:pt idx="5">
                  <c:v>17.131634188851539</c:v>
                </c:pt>
                <c:pt idx="6">
                  <c:v>20.55796102662185</c:v>
                </c:pt>
                <c:pt idx="7">
                  <c:v>23.984287864392158</c:v>
                </c:pt>
                <c:pt idx="8">
                  <c:v>27.410614702162462</c:v>
                </c:pt>
                <c:pt idx="9">
                  <c:v>30.83694153993277</c:v>
                </c:pt>
                <c:pt idx="10">
                  <c:v>34.263268377703078</c:v>
                </c:pt>
                <c:pt idx="11">
                  <c:v>37.689595215473389</c:v>
                </c:pt>
                <c:pt idx="12">
                  <c:v>41.115922053243693</c:v>
                </c:pt>
                <c:pt idx="13">
                  <c:v>44.542248891014005</c:v>
                </c:pt>
                <c:pt idx="14">
                  <c:v>47.968575728784309</c:v>
                </c:pt>
                <c:pt idx="15">
                  <c:v>51.39490256655462</c:v>
                </c:pt>
                <c:pt idx="16">
                  <c:v>54.821229404324924</c:v>
                </c:pt>
                <c:pt idx="17">
                  <c:v>58.247556242095236</c:v>
                </c:pt>
                <c:pt idx="18">
                  <c:v>61.67388307986554</c:v>
                </c:pt>
                <c:pt idx="19">
                  <c:v>65.100209917635851</c:v>
                </c:pt>
                <c:pt idx="20">
                  <c:v>68.526536755406156</c:v>
                </c:pt>
                <c:pt idx="21">
                  <c:v>71.952863593176474</c:v>
                </c:pt>
                <c:pt idx="22">
                  <c:v>75.379190430946778</c:v>
                </c:pt>
                <c:pt idx="23">
                  <c:v>78.805517268717082</c:v>
                </c:pt>
                <c:pt idx="24">
                  <c:v>82.231844106487401</c:v>
                </c:pt>
                <c:pt idx="25">
                  <c:v>85.658170944257705</c:v>
                </c:pt>
                <c:pt idx="26">
                  <c:v>89.084497782028009</c:v>
                </c:pt>
                <c:pt idx="27">
                  <c:v>92.510824619798314</c:v>
                </c:pt>
                <c:pt idx="28">
                  <c:v>95.937151457568632</c:v>
                </c:pt>
                <c:pt idx="29">
                  <c:v>99.363478295338936</c:v>
                </c:pt>
                <c:pt idx="30">
                  <c:v>102.78980513310924</c:v>
                </c:pt>
                <c:pt idx="31">
                  <c:v>106.21613197087954</c:v>
                </c:pt>
                <c:pt idx="32">
                  <c:v>109.64245880864986</c:v>
                </c:pt>
                <c:pt idx="33">
                  <c:v>113.06878564642017</c:v>
                </c:pt>
                <c:pt idx="34">
                  <c:v>116.49511248419047</c:v>
                </c:pt>
                <c:pt idx="35">
                  <c:v>119.92143932196078</c:v>
                </c:pt>
                <c:pt idx="36">
                  <c:v>123.34776615973109</c:v>
                </c:pt>
                <c:pt idx="37">
                  <c:v>126.7740929975014</c:v>
                </c:pt>
                <c:pt idx="38">
                  <c:v>130.2004198352717</c:v>
                </c:pt>
                <c:pt idx="39">
                  <c:v>133.62674667304202</c:v>
                </c:pt>
                <c:pt idx="40">
                  <c:v>137.05307351081231</c:v>
                </c:pt>
              </c:numCache>
            </c:numRef>
          </c:val>
          <c:smooth val="0"/>
          <c:extLst>
            <c:ext xmlns:c16="http://schemas.microsoft.com/office/drawing/2014/chart" uri="{C3380CC4-5D6E-409C-BE32-E72D297353CC}">
              <c16:uniqueId val="{00000001-CF94-4F3C-9A57-F5B72732971E}"/>
            </c:ext>
          </c:extLst>
        </c:ser>
        <c:ser>
          <c:idx val="0"/>
          <c:order val="3"/>
          <c:tx>
            <c:v>BECCS total</c:v>
          </c:tx>
          <c:spPr>
            <a:ln w="19050" cap="rnd">
              <a:solidFill>
                <a:srgbClr val="00FF00"/>
              </a:solidFill>
              <a:prstDash val="solid"/>
              <a:round/>
            </a:ln>
            <a:effectLst/>
          </c:spPr>
          <c:marker>
            <c:symbol val="none"/>
          </c:marker>
          <c:cat>
            <c:numRef>
              <c:f>'REF rollup'!$C$8:$AQ$8</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numCache>
            </c:numRef>
          </c:cat>
          <c:val>
            <c:numRef>
              <c:f>'BECCS rollup'!$C$74:$AQ$74</c:f>
              <c:numCache>
                <c:formatCode>#,##0.0</c:formatCode>
                <c:ptCount val="41"/>
                <c:pt idx="0">
                  <c:v>0</c:v>
                </c:pt>
                <c:pt idx="1">
                  <c:v>7.777003965147169</c:v>
                </c:pt>
                <c:pt idx="2">
                  <c:v>15.481833556561119</c:v>
                </c:pt>
                <c:pt idx="3">
                  <c:v>23.825138473997228</c:v>
                </c:pt>
                <c:pt idx="4">
                  <c:v>32.656789644007461</c:v>
                </c:pt>
                <c:pt idx="5">
                  <c:v>41.838026388028659</c:v>
                </c:pt>
                <c:pt idx="6">
                  <c:v>51.242395507994893</c:v>
                </c:pt>
                <c:pt idx="7">
                  <c:v>60.756138956321529</c:v>
                </c:pt>
                <c:pt idx="8">
                  <c:v>70.278161005150622</c:v>
                </c:pt>
                <c:pt idx="9">
                  <c:v>79.719683879845633</c:v>
                </c:pt>
                <c:pt idx="10">
                  <c:v>89.003681120091983</c:v>
                </c:pt>
                <c:pt idx="11">
                  <c:v>94.305576851600193</c:v>
                </c:pt>
                <c:pt idx="12">
                  <c:v>99.761489425335213</c:v>
                </c:pt>
                <c:pt idx="13">
                  <c:v>105.41773184949803</c:v>
                </c:pt>
                <c:pt idx="14">
                  <c:v>111.29796840557553</c:v>
                </c:pt>
                <c:pt idx="15">
                  <c:v>117.40839514035906</c:v>
                </c:pt>
                <c:pt idx="16">
                  <c:v>123.74198142382451</c:v>
                </c:pt>
                <c:pt idx="17">
                  <c:v>130.28192534726563</c:v>
                </c:pt>
                <c:pt idx="18">
                  <c:v>137.00445228656218</c:v>
                </c:pt>
                <c:pt idx="19">
                  <c:v>143.88106598407813</c:v>
                </c:pt>
                <c:pt idx="20">
                  <c:v>150.8803445043288</c:v>
                </c:pt>
                <c:pt idx="21">
                  <c:v>157.96935896050269</c:v>
                </c:pt>
                <c:pt idx="22">
                  <c:v>165.11478062053118</c:v>
                </c:pt>
                <c:pt idx="23">
                  <c:v>172.28373156529258</c:v>
                </c:pt>
                <c:pt idx="24">
                  <c:v>179.44442521602616</c:v>
                </c:pt>
                <c:pt idx="25">
                  <c:v>186.56663554059844</c:v>
                </c:pt>
                <c:pt idx="26">
                  <c:v>190.12106862152763</c:v>
                </c:pt>
                <c:pt idx="27">
                  <c:v>193.46822785375019</c:v>
                </c:pt>
                <c:pt idx="28">
                  <c:v>196.60677818202203</c:v>
                </c:pt>
                <c:pt idx="29">
                  <c:v>199.53635232639058</c:v>
                </c:pt>
                <c:pt idx="30">
                  <c:v>202.25744419276123</c:v>
                </c:pt>
                <c:pt idx="31">
                  <c:v>204.77130939896006</c:v>
                </c:pt>
                <c:pt idx="32">
                  <c:v>207.07987291085749</c:v>
                </c:pt>
                <c:pt idx="33">
                  <c:v>209.1856436774863</c:v>
                </c:pt>
                <c:pt idx="34">
                  <c:v>211.09163607395766</c:v>
                </c:pt>
                <c:pt idx="35">
                  <c:v>212.80129790172515</c:v>
                </c:pt>
                <c:pt idx="36">
                  <c:v>214.3184446535075</c:v>
                </c:pt>
                <c:pt idx="37">
                  <c:v>215.64719972171798</c:v>
                </c:pt>
                <c:pt idx="38">
                  <c:v>216.79194021186106</c:v>
                </c:pt>
                <c:pt idx="39">
                  <c:v>217.75724801379616</c:v>
                </c:pt>
                <c:pt idx="40">
                  <c:v>218.54786578217121</c:v>
                </c:pt>
              </c:numCache>
            </c:numRef>
          </c:val>
          <c:smooth val="0"/>
          <c:extLst>
            <c:ext xmlns:c16="http://schemas.microsoft.com/office/drawing/2014/chart" uri="{C3380CC4-5D6E-409C-BE32-E72D297353CC}">
              <c16:uniqueId val="{00000007-0FA8-4053-BDE7-9248F44FFF51}"/>
            </c:ext>
          </c:extLst>
        </c:ser>
        <c:dLbls>
          <c:showLegendKey val="0"/>
          <c:showVal val="0"/>
          <c:showCatName val="0"/>
          <c:showSerName val="0"/>
          <c:showPercent val="0"/>
          <c:showBubbleSize val="0"/>
        </c:dLbls>
        <c:marker val="1"/>
        <c:smooth val="0"/>
        <c:axId val="354018191"/>
        <c:axId val="354043151"/>
      </c:lineChart>
      <c:catAx>
        <c:axId val="35401819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model year</a:t>
                </a:r>
              </a:p>
            </c:rich>
          </c:tx>
          <c:layout>
            <c:manualLayout>
              <c:xMode val="edge"/>
              <c:yMode val="edge"/>
              <c:x val="0.76519363978585242"/>
              <c:y val="0.87937636029343969"/>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354043151"/>
        <c:crosses val="autoZero"/>
        <c:auto val="0"/>
        <c:lblAlgn val="ctr"/>
        <c:lblOffset val="100"/>
        <c:tickLblSkip val="5"/>
        <c:tickMarkSkip val="5"/>
        <c:noMultiLvlLbl val="0"/>
      </c:catAx>
      <c:valAx>
        <c:axId val="35404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sz="1000" b="1">
                    <a:solidFill>
                      <a:schemeClr val="tx1"/>
                    </a:solidFill>
                  </a:rPr>
                  <a:t>cumulative</a:t>
                </a:r>
                <a:r>
                  <a:rPr lang="en-US" sz="1000" b="1" baseline="0">
                    <a:solidFill>
                      <a:schemeClr val="tx1"/>
                    </a:solidFill>
                  </a:rPr>
                  <a:t> emissions, TgCO</a:t>
                </a:r>
                <a:r>
                  <a:rPr lang="en-US" sz="1000" b="1" baseline="-25000">
                    <a:solidFill>
                      <a:schemeClr val="tx1"/>
                    </a:solidFill>
                  </a:rPr>
                  <a:t>2</a:t>
                </a:r>
                <a:r>
                  <a:rPr lang="en-US" sz="1000" b="1" baseline="0">
                    <a:solidFill>
                      <a:schemeClr val="tx1"/>
                    </a:solidFill>
                  </a:rPr>
                  <a:t>e</a:t>
                </a:r>
                <a:endParaRPr lang="en-US" sz="1000" b="1">
                  <a:solidFill>
                    <a:schemeClr val="tx1"/>
                  </a:solidFill>
                </a:endParaRPr>
              </a:p>
            </c:rich>
          </c:tx>
          <c:layout>
            <c:manualLayout>
              <c:xMode val="edge"/>
              <c:yMode val="edge"/>
              <c:x val="5.2421199643622541E-3"/>
              <c:y val="0.18373031496062989"/>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354018191"/>
        <c:crossesAt val="0"/>
        <c:crossBetween val="midCat"/>
      </c:valAx>
      <c:spPr>
        <a:noFill/>
        <a:ln w="6350">
          <a:solidFill>
            <a:schemeClr val="bg1">
              <a:lumMod val="75000"/>
            </a:schemeClr>
          </a:solidFill>
        </a:ln>
        <a:effectLst/>
      </c:spPr>
    </c:plotArea>
    <c:legend>
      <c:legendPos val="b"/>
      <c:layout>
        <c:manualLayout>
          <c:xMode val="edge"/>
          <c:yMode val="edge"/>
          <c:x val="0.77271513079213727"/>
          <c:y val="4.0508165645960936E-2"/>
          <c:w val="0.22728486920786278"/>
          <c:h val="0.380512775977106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0514507604354"/>
          <c:y val="4.3820451452864506E-2"/>
          <c:w val="0.75143458095135374"/>
          <c:h val="0.82269044777470801"/>
        </c:manualLayout>
      </c:layout>
      <c:scatterChart>
        <c:scatterStyle val="lineMarker"/>
        <c:varyColors val="0"/>
        <c:ser>
          <c:idx val="1"/>
          <c:order val="0"/>
          <c:tx>
            <c:v>clearcut</c:v>
          </c:tx>
          <c:spPr>
            <a:ln w="28575" cap="rnd">
              <a:solidFill>
                <a:srgbClr val="A1D99B"/>
              </a:solidFill>
              <a:round/>
            </a:ln>
            <a:effectLst/>
          </c:spPr>
          <c:marker>
            <c:symbol val="none"/>
          </c:marker>
          <c:xVal>
            <c:numRef>
              <c:f>growth!$H$5:$DD$5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xVal>
          <c:yVal>
            <c:numRef>
              <c:f>growth!$H$7:$DD$7</c:f>
              <c:numCache>
                <c:formatCode>#,##0.0</c:formatCode>
                <c:ptCount val="101"/>
                <c:pt idx="0">
                  <c:v>0</c:v>
                </c:pt>
                <c:pt idx="1">
                  <c:v>1.3801503036642727E-2</c:v>
                </c:pt>
                <c:pt idx="2">
                  <c:v>0.10250810373022921</c:v>
                </c:pt>
                <c:pt idx="3">
                  <c:v>0.32140060564134304</c:v>
                </c:pt>
                <c:pt idx="4">
                  <c:v>0.70819088008020181</c:v>
                </c:pt>
                <c:pt idx="5">
                  <c:v>1.2865903014343147</c:v>
                </c:pt>
                <c:pt idx="6">
                  <c:v>2.0692648651289542</c:v>
                </c:pt>
                <c:pt idx="7">
                  <c:v>3.0602740346849182</c:v>
                </c:pt>
                <c:pt idx="8">
                  <c:v>4.2570757029793187</c:v>
                </c:pt>
                <c:pt idx="9">
                  <c:v>5.6521671458405169</c:v>
                </c:pt>
                <c:pt idx="10">
                  <c:v>7.2344211823897746</c:v>
                </c:pt>
                <c:pt idx="11">
                  <c:v>8.9901676693851371</c:v>
                </c:pt>
                <c:pt idx="12">
                  <c:v>10.904062717666822</c:v>
                </c:pt>
                <c:pt idx="13">
                  <c:v>12.959781431811036</c:v>
                </c:pt>
                <c:pt idx="14">
                  <c:v>15.140564371508987</c:v>
                </c:pt>
                <c:pt idx="15">
                  <c:v>17.4296431713258</c:v>
                </c:pt>
                <c:pt idx="16">
                  <c:v>19.810566711342741</c:v>
                </c:pt>
                <c:pt idx="17">
                  <c:v>22.267445799447479</c:v>
                </c:pt>
                <c:pt idx="18">
                  <c:v>24.785131416603353</c:v>
                </c:pt>
                <c:pt idx="19">
                  <c:v>27.349339112214277</c:v>
                </c:pt>
                <c:pt idx="20">
                  <c:v>29.946730051786854</c:v>
                </c:pt>
                <c:pt idx="21">
                  <c:v>32.564957457117195</c:v>
                </c:pt>
                <c:pt idx="22">
                  <c:v>35.192685692036868</c:v>
                </c:pt>
                <c:pt idx="23">
                  <c:v>37.819587993197999</c:v>
                </c:pt>
                <c:pt idx="24">
                  <c:v>40.436327790332221</c:v>
                </c:pt>
                <c:pt idx="25">
                  <c:v>43.034527673896086</c:v>
                </c:pt>
                <c:pt idx="26">
                  <c:v>45.606729324439719</c:v>
                </c:pt>
                <c:pt idx="27">
                  <c:v>48.146347095592041</c:v>
                </c:pt>
                <c:pt idx="28">
                  <c:v>50.647617422659295</c:v>
                </c:pt>
                <c:pt idx="29">
                  <c:v>53.105545795652432</c:v>
                </c:pt>
                <c:pt idx="30">
                  <c:v>55.515852675616792</c:v>
                </c:pt>
                <c:pt idx="31">
                  <c:v>57.874919434974622</c:v>
                </c:pt>
                <c:pt idx="32">
                  <c:v>60.179735156461923</c:v>
                </c:pt>
                <c:pt idx="33">
                  <c:v>62.427844922873923</c:v>
                </c:pt>
                <c:pt idx="34">
                  <c:v>64.617300064203548</c:v>
                </c:pt>
                <c:pt idx="35">
                  <c:v>66.746610693912174</c:v>
                </c:pt>
                <c:pt idx="36">
                  <c:v>68.814700756968321</c:v>
                </c:pt>
                <c:pt idx="37">
                  <c:v>70.820865724660678</c:v>
                </c:pt>
                <c:pt idx="38">
                  <c:v>72.764733001429349</c:v>
                </c:pt>
                <c:pt idx="39">
                  <c:v>74.646225054022594</c:v>
                </c:pt>
                <c:pt idx="40">
                  <c:v>76.465525230604669</c:v>
                </c:pt>
                <c:pt idx="41">
                  <c:v>78.22304620485869</c:v>
                </c:pt>
                <c:pt idx="42">
                  <c:v>79.919400955828209</c:v>
                </c:pt>
                <c:pt idx="43">
                  <c:v>81.555376176702282</c:v>
                </c:pt>
                <c:pt idx="44">
                  <c:v>83.131907993694981</c:v>
                </c:pt>
                <c:pt idx="45">
                  <c:v>84.650059868539287</c:v>
                </c:pt>
                <c:pt idx="46">
                  <c:v>86.111002554017915</c:v>
                </c:pt>
                <c:pt idx="47">
                  <c:v>87.515995970655169</c:v>
                </c:pt>
                <c:pt idx="48">
                  <c:v>88.866372873580801</c:v>
                </c:pt>
                <c:pt idx="49">
                  <c:v>90.163524181150464</c:v>
                </c:pt>
                <c:pt idx="50">
                  <c:v>91.408885840746265</c:v>
                </c:pt>
                <c:pt idx="51">
                  <c:v>92.603927111953922</c:v>
                </c:pt>
                <c:pt idx="52">
                  <c:v>93.750140152737799</c:v>
                </c:pt>
                <c:pt idx="53">
                  <c:v>94.849030800092564</c:v>
                </c:pt>
                <c:pt idx="54">
                  <c:v>95.902110442760019</c:v>
                </c:pt>
                <c:pt idx="55">
                  <c:v>96.910888889817528</c:v>
                </c:pt>
                <c:pt idx="56">
                  <c:v>97.876868145162788</c:v>
                </c:pt>
                <c:pt idx="57">
                  <c:v>98.801537004046068</c:v>
                </c:pt>
                <c:pt idx="58">
                  <c:v>99.686366393772815</c:v>
                </c:pt>
                <c:pt idx="59">
                  <c:v>100.5328053864676</c:v>
                </c:pt>
                <c:pt idx="60">
                  <c:v>101.34227781731518</c:v>
                </c:pt>
                <c:pt idx="61">
                  <c:v>102.11617944695877</c:v>
                </c:pt>
                <c:pt idx="62">
                  <c:v>102.85587561171667</c:v>
                </c:pt>
                <c:pt idx="63">
                  <c:v>103.56269930997377</c:v>
                </c:pt>
                <c:pt idx="64">
                  <c:v>104.23794967751182</c:v>
                </c:pt>
                <c:pt idx="65">
                  <c:v>104.88289080865843</c:v>
                </c:pt>
                <c:pt idx="66">
                  <c:v>105.49875088397421</c:v>
                </c:pt>
                <c:pt idx="67">
                  <c:v>106.08672156876112</c:v>
                </c:pt>
                <c:pt idx="68">
                  <c:v>106.6479576499766</c:v>
                </c:pt>
                <c:pt idx="69">
                  <c:v>107.18357688218988</c:v>
                </c:pt>
                <c:pt idx="70">
                  <c:v>107.69466001602949</c:v>
                </c:pt>
                <c:pt idx="71">
                  <c:v>108.18225098515779</c:v>
                </c:pt>
                <c:pt idx="72">
                  <c:v>108.64735723018511</c:v>
                </c:pt>
                <c:pt idx="73">
                  <c:v>109.0909501401116</c:v>
                </c:pt>
                <c:pt idx="74">
                  <c:v>109.51396559387747</c:v>
                </c:pt>
                <c:pt idx="75">
                  <c:v>109.91730458641989</c:v>
                </c:pt>
                <c:pt idx="76">
                  <c:v>110.3018339252922</c:v>
                </c:pt>
                <c:pt idx="77">
                  <c:v>110.6683869854116</c:v>
                </c:pt>
                <c:pt idx="78">
                  <c:v>111.01776451087146</c:v>
                </c:pt>
                <c:pt idx="79">
                  <c:v>111.35073545400006</c:v>
                </c:pt>
                <c:pt idx="80">
                  <c:v>111.66803784297581</c:v>
                </c:pt>
                <c:pt idx="81">
                  <c:v>111.97037967032826</c:v>
                </c:pt>
                <c:pt idx="82">
                  <c:v>112.25843979557877</c:v>
                </c:pt>
                <c:pt idx="83">
                  <c:v>112.53286885610451</c:v>
                </c:pt>
                <c:pt idx="84">
                  <c:v>112.79429018106121</c:v>
                </c:pt>
                <c:pt idx="85">
                  <c:v>113.04330070387277</c:v>
                </c:pt>
                <c:pt idx="86">
                  <c:v>113.2804718694035</c:v>
                </c:pt>
                <c:pt idx="87">
                  <c:v>113.50635053246974</c:v>
                </c:pt>
                <c:pt idx="88">
                  <c:v>113.72145984483637</c:v>
                </c:pt>
                <c:pt idx="89">
                  <c:v>113.92630012827603</c:v>
                </c:pt>
                <c:pt idx="90">
                  <c:v>114.121349731659</c:v>
                </c:pt>
                <c:pt idx="91">
                  <c:v>114.30706587038449</c:v>
                </c:pt>
                <c:pt idx="92">
                  <c:v>114.48388544677304</c:v>
                </c:pt>
                <c:pt idx="93">
                  <c:v>114.65222585031027</c:v>
                </c:pt>
                <c:pt idx="94">
                  <c:v>114.81248573687292</c:v>
                </c:pt>
                <c:pt idx="95">
                  <c:v>114.96504578628149</c:v>
                </c:pt>
                <c:pt idx="96">
                  <c:v>115.11026943770834</c:v>
                </c:pt>
                <c:pt idx="97">
                  <c:v>115.24850360263548</c:v>
                </c:pt>
                <c:pt idx="98">
                  <c:v>115.38007935519893</c:v>
                </c:pt>
                <c:pt idx="99">
                  <c:v>115.50531259987942</c:v>
                </c:pt>
                <c:pt idx="100">
                  <c:v>115.62450471660945</c:v>
                </c:pt>
              </c:numCache>
            </c:numRef>
          </c:yVal>
          <c:smooth val="0"/>
          <c:extLst>
            <c:ext xmlns:c16="http://schemas.microsoft.com/office/drawing/2014/chart" uri="{C3380CC4-5D6E-409C-BE32-E72D297353CC}">
              <c16:uniqueId val="{00000001-8621-4A8C-8A07-1A25E6D1631C}"/>
            </c:ext>
          </c:extLst>
        </c:ser>
        <c:dLbls>
          <c:showLegendKey val="0"/>
          <c:showVal val="0"/>
          <c:showCatName val="0"/>
          <c:showSerName val="0"/>
          <c:showPercent val="0"/>
          <c:showBubbleSize val="0"/>
        </c:dLbls>
        <c:axId val="571412608"/>
        <c:axId val="917020512"/>
      </c:scatterChart>
      <c:valAx>
        <c:axId val="571412608"/>
        <c:scaling>
          <c:orientation val="minMax"/>
          <c:max val="100"/>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out"/>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917020512"/>
        <c:crosses val="autoZero"/>
        <c:crossBetween val="midCat"/>
        <c:majorUnit val="20"/>
        <c:minorUnit val="10"/>
      </c:valAx>
      <c:valAx>
        <c:axId val="917020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chemeClr val="tx1"/>
                    </a:solidFill>
                  </a:rPr>
                  <a:t>MgC/ha</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571412608"/>
        <c:crosses val="autoZero"/>
        <c:crossBetween val="midCat"/>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4320580260787"/>
          <c:y val="4.3820451452864506E-2"/>
          <c:w val="0.59353084713463922"/>
          <c:h val="0.82269044777470801"/>
        </c:manualLayout>
      </c:layout>
      <c:scatterChart>
        <c:scatterStyle val="lineMarker"/>
        <c:varyColors val="0"/>
        <c:ser>
          <c:idx val="0"/>
          <c:order val="0"/>
          <c:tx>
            <c:v>SRWC</c:v>
          </c:tx>
          <c:spPr>
            <a:ln w="25400" cap="rnd">
              <a:solidFill>
                <a:schemeClr val="tx2">
                  <a:lumMod val="60000"/>
                  <a:lumOff val="40000"/>
                </a:schemeClr>
              </a:solidFill>
              <a:round/>
            </a:ln>
            <a:effectLst/>
          </c:spPr>
          <c:marker>
            <c:symbol val="none"/>
          </c:marker>
          <c:xVal>
            <c:numRef>
              <c:f>growth!$H$5:$DD$5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xVal>
          <c:yVal>
            <c:numRef>
              <c:f>growth!$H$6:$DD$6</c:f>
              <c:numCache>
                <c:formatCode>#,##0.0</c:formatCode>
                <c:ptCount val="101"/>
                <c:pt idx="0">
                  <c:v>0</c:v>
                </c:pt>
                <c:pt idx="1">
                  <c:v>0.10442733828597339</c:v>
                </c:pt>
                <c:pt idx="2">
                  <c:v>1.525167867693304</c:v>
                </c:pt>
                <c:pt idx="3">
                  <c:v>5.1837686199986015</c:v>
                </c:pt>
                <c:pt idx="4">
                  <c:v>10.124110763786708</c:v>
                </c:pt>
                <c:pt idx="5">
                  <c:v>15.033175614903744</c:v>
                </c:pt>
                <c:pt idx="6">
                  <c:v>19.166991741648051</c:v>
                </c:pt>
                <c:pt idx="7">
                  <c:v>22.32892818343981</c:v>
                </c:pt>
                <c:pt idx="8">
                  <c:v>24.610495271011789</c:v>
                </c:pt>
                <c:pt idx="9">
                  <c:v>26.198102076037593</c:v>
                </c:pt>
                <c:pt idx="10">
                  <c:v>27.277711881022622</c:v>
                </c:pt>
                <c:pt idx="11">
                  <c:v>28.001149072508561</c:v>
                </c:pt>
                <c:pt idx="12">
                  <c:v>28.481344925123462</c:v>
                </c:pt>
                <c:pt idx="13">
                  <c:v>28.798135734419169</c:v>
                </c:pt>
                <c:pt idx="14">
                  <c:v>29.006296380433795</c:v>
                </c:pt>
                <c:pt idx="15">
                  <c:v>29.14272370731311</c:v>
                </c:pt>
                <c:pt idx="16">
                  <c:v>29.231987034552965</c:v>
                </c:pt>
                <c:pt idx="17">
                  <c:v>29.290327333322292</c:v>
                </c:pt>
                <c:pt idx="18">
                  <c:v>29.328429877456351</c:v>
                </c:pt>
                <c:pt idx="19">
                  <c:v>29.353303387053302</c:v>
                </c:pt>
                <c:pt idx="20">
                  <c:v>29.369535995373578</c:v>
                </c:pt>
                <c:pt idx="21">
                  <c:v>29.380127400403801</c:v>
                </c:pt>
                <c:pt idx="22">
                  <c:v>29.387037157437746</c:v>
                </c:pt>
                <c:pt idx="23">
                  <c:v>29.391544654085816</c:v>
                </c:pt>
                <c:pt idx="24">
                  <c:v>29.394484903697649</c:v>
                </c:pt>
                <c:pt idx="25">
                  <c:v>29.396402766063698</c:v>
                </c:pt>
                <c:pt idx="26">
                  <c:v>29.397653717727351</c:v>
                </c:pt>
                <c:pt idx="27">
                  <c:v>29.398469655436475</c:v>
                </c:pt>
                <c:pt idx="28">
                  <c:v>29.399001848445678</c:v>
                </c:pt>
                <c:pt idx="29">
                  <c:v>29.399348967546032</c:v>
                </c:pt>
                <c:pt idx="30">
                  <c:v>29.399575372550309</c:v>
                </c:pt>
                <c:pt idx="31">
                  <c:v>29.39972304257077</c:v>
                </c:pt>
                <c:pt idx="32">
                  <c:v>29.399819358444169</c:v>
                </c:pt>
                <c:pt idx="33">
                  <c:v>29.399882179161349</c:v>
                </c:pt>
                <c:pt idx="34">
                  <c:v>29.399923153087517</c:v>
                </c:pt>
                <c:pt idx="35">
                  <c:v>29.399949877739271</c:v>
                </c:pt>
                <c:pt idx="36">
                  <c:v>29.399967308501843</c:v>
                </c:pt>
                <c:pt idx="37">
                  <c:v>29.39997867745895</c:v>
                </c:pt>
                <c:pt idx="38">
                  <c:v>29.399986092692046</c:v>
                </c:pt>
                <c:pt idx="39">
                  <c:v>29.399990929167064</c:v>
                </c:pt>
                <c:pt idx="40">
                  <c:v>29.399994083685478</c:v>
                </c:pt>
                <c:pt idx="41">
                  <c:v>29.399996141172764</c:v>
                </c:pt>
                <c:pt idx="42">
                  <c:v>29.39999748313797</c:v>
                </c:pt>
                <c:pt idx="43">
                  <c:v>29.399998358414589</c:v>
                </c:pt>
                <c:pt idx="44">
                  <c:v>29.399998929300608</c:v>
                </c:pt>
                <c:pt idx="45">
                  <c:v>29.399999301652432</c:v>
                </c:pt>
                <c:pt idx="46">
                  <c:v>29.399999544513317</c:v>
                </c:pt>
                <c:pt idx="47">
                  <c:v>29.399999702915654</c:v>
                </c:pt>
                <c:pt idx="48">
                  <c:v>29.399999806231204</c:v>
                </c:pt>
                <c:pt idx="49">
                  <c:v>29.399999873617215</c:v>
                </c:pt>
                <c:pt idx="50">
                  <c:v>29.399999917568728</c:v>
                </c:pt>
                <c:pt idx="51">
                  <c:v>29.399999946235454</c:v>
                </c:pt>
                <c:pt idx="52">
                  <c:v>29.399999964932885</c:v>
                </c:pt>
                <c:pt idx="53">
                  <c:v>29.399999977128001</c:v>
                </c:pt>
                <c:pt idx="54">
                  <c:v>29.399999985082083</c:v>
                </c:pt>
                <c:pt idx="55">
                  <c:v>29.399999990270018</c:v>
                </c:pt>
                <c:pt idx="56">
                  <c:v>29.399999993653768</c:v>
                </c:pt>
                <c:pt idx="57">
                  <c:v>29.39999999586076</c:v>
                </c:pt>
                <c:pt idx="58">
                  <c:v>29.399999997300238</c:v>
                </c:pt>
                <c:pt idx="59">
                  <c:v>29.399999998239124</c:v>
                </c:pt>
                <c:pt idx="60">
                  <c:v>29.399999998851499</c:v>
                </c:pt>
                <c:pt idx="61">
                  <c:v>29.399999999250909</c:v>
                </c:pt>
                <c:pt idx="62">
                  <c:v>29.399999999511415</c:v>
                </c:pt>
                <c:pt idx="63">
                  <c:v>29.399999999681327</c:v>
                </c:pt>
                <c:pt idx="64">
                  <c:v>29.399999999792144</c:v>
                </c:pt>
                <c:pt idx="65">
                  <c:v>29.399999999864427</c:v>
                </c:pt>
                <c:pt idx="66">
                  <c:v>29.399999999911575</c:v>
                </c:pt>
                <c:pt idx="67">
                  <c:v>29.399999999942324</c:v>
                </c:pt>
                <c:pt idx="68">
                  <c:v>29.399999999962382</c:v>
                </c:pt>
                <c:pt idx="69">
                  <c:v>29.399999999975456</c:v>
                </c:pt>
                <c:pt idx="70">
                  <c:v>29.399999999983997</c:v>
                </c:pt>
                <c:pt idx="71">
                  <c:v>29.399999999989557</c:v>
                </c:pt>
                <c:pt idx="72">
                  <c:v>29.399999999993184</c:v>
                </c:pt>
                <c:pt idx="73">
                  <c:v>29.399999999995554</c:v>
                </c:pt>
                <c:pt idx="74">
                  <c:v>29.399999999997107</c:v>
                </c:pt>
                <c:pt idx="75">
                  <c:v>29.399999999998116</c:v>
                </c:pt>
                <c:pt idx="76">
                  <c:v>29.399999999998762</c:v>
                </c:pt>
                <c:pt idx="77">
                  <c:v>29.399999999999196</c:v>
                </c:pt>
                <c:pt idx="78">
                  <c:v>29.399999999999476</c:v>
                </c:pt>
                <c:pt idx="79">
                  <c:v>29.39999999999965</c:v>
                </c:pt>
                <c:pt idx="80">
                  <c:v>29.399999999999775</c:v>
                </c:pt>
                <c:pt idx="81">
                  <c:v>29.399999999999856</c:v>
                </c:pt>
                <c:pt idx="82">
                  <c:v>29.39999999999991</c:v>
                </c:pt>
                <c:pt idx="83">
                  <c:v>29.399999999999931</c:v>
                </c:pt>
                <c:pt idx="84">
                  <c:v>29.399999999999963</c:v>
                </c:pt>
                <c:pt idx="85">
                  <c:v>29.399999999999963</c:v>
                </c:pt>
                <c:pt idx="86">
                  <c:v>29.399999999999981</c:v>
                </c:pt>
                <c:pt idx="87">
                  <c:v>29.399999999999981</c:v>
                </c:pt>
                <c:pt idx="88">
                  <c:v>29.4</c:v>
                </c:pt>
                <c:pt idx="89">
                  <c:v>29.4</c:v>
                </c:pt>
                <c:pt idx="90">
                  <c:v>29.4</c:v>
                </c:pt>
                <c:pt idx="91">
                  <c:v>29.4</c:v>
                </c:pt>
                <c:pt idx="92">
                  <c:v>29.4</c:v>
                </c:pt>
                <c:pt idx="93">
                  <c:v>29.4</c:v>
                </c:pt>
                <c:pt idx="94">
                  <c:v>29.4</c:v>
                </c:pt>
                <c:pt idx="95">
                  <c:v>29.4</c:v>
                </c:pt>
                <c:pt idx="96">
                  <c:v>29.4</c:v>
                </c:pt>
                <c:pt idx="97">
                  <c:v>29.4</c:v>
                </c:pt>
                <c:pt idx="98">
                  <c:v>29.4</c:v>
                </c:pt>
                <c:pt idx="99">
                  <c:v>29.4</c:v>
                </c:pt>
                <c:pt idx="100">
                  <c:v>29.4</c:v>
                </c:pt>
              </c:numCache>
            </c:numRef>
          </c:yVal>
          <c:smooth val="0"/>
          <c:extLst>
            <c:ext xmlns:c16="http://schemas.microsoft.com/office/drawing/2014/chart" uri="{C3380CC4-5D6E-409C-BE32-E72D297353CC}">
              <c16:uniqueId val="{00000000-EB58-4A81-875B-8CFABA46837B}"/>
            </c:ext>
          </c:extLst>
        </c:ser>
        <c:ser>
          <c:idx val="1"/>
          <c:order val="1"/>
          <c:tx>
            <c:v>clearcut</c:v>
          </c:tx>
          <c:spPr>
            <a:ln w="28575" cap="rnd">
              <a:solidFill>
                <a:schemeClr val="accent2"/>
              </a:solidFill>
              <a:round/>
            </a:ln>
            <a:effectLst/>
          </c:spPr>
          <c:marker>
            <c:symbol val="none"/>
          </c:marker>
          <c:xVal>
            <c:numRef>
              <c:f>growth!$H$5:$DD$5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xVal>
          <c:yVal>
            <c:numRef>
              <c:f>growth!$H$7:$DD$7</c:f>
              <c:numCache>
                <c:formatCode>#,##0.0</c:formatCode>
                <c:ptCount val="101"/>
                <c:pt idx="0">
                  <c:v>0</c:v>
                </c:pt>
                <c:pt idx="1">
                  <c:v>1.3801503036642727E-2</c:v>
                </c:pt>
                <c:pt idx="2">
                  <c:v>0.10250810373022921</c:v>
                </c:pt>
                <c:pt idx="3">
                  <c:v>0.32140060564134304</c:v>
                </c:pt>
                <c:pt idx="4">
                  <c:v>0.70819088008020181</c:v>
                </c:pt>
                <c:pt idx="5">
                  <c:v>1.2865903014343147</c:v>
                </c:pt>
                <c:pt idx="6">
                  <c:v>2.0692648651289542</c:v>
                </c:pt>
                <c:pt idx="7">
                  <c:v>3.0602740346849182</c:v>
                </c:pt>
                <c:pt idx="8">
                  <c:v>4.2570757029793187</c:v>
                </c:pt>
                <c:pt idx="9">
                  <c:v>5.6521671458405169</c:v>
                </c:pt>
                <c:pt idx="10">
                  <c:v>7.2344211823897746</c:v>
                </c:pt>
                <c:pt idx="11">
                  <c:v>8.9901676693851371</c:v>
                </c:pt>
                <c:pt idx="12">
                  <c:v>10.904062717666822</c:v>
                </c:pt>
                <c:pt idx="13">
                  <c:v>12.959781431811036</c:v>
                </c:pt>
                <c:pt idx="14">
                  <c:v>15.140564371508987</c:v>
                </c:pt>
                <c:pt idx="15">
                  <c:v>17.4296431713258</c:v>
                </c:pt>
                <c:pt idx="16">
                  <c:v>19.810566711342741</c:v>
                </c:pt>
                <c:pt idx="17">
                  <c:v>22.267445799447479</c:v>
                </c:pt>
                <c:pt idx="18">
                  <c:v>24.785131416603353</c:v>
                </c:pt>
                <c:pt idx="19">
                  <c:v>27.349339112214277</c:v>
                </c:pt>
                <c:pt idx="20">
                  <c:v>29.946730051786854</c:v>
                </c:pt>
                <c:pt idx="21">
                  <c:v>32.564957457117195</c:v>
                </c:pt>
                <c:pt idx="22">
                  <c:v>35.192685692036868</c:v>
                </c:pt>
                <c:pt idx="23">
                  <c:v>37.819587993197999</c:v>
                </c:pt>
                <c:pt idx="24">
                  <c:v>40.436327790332221</c:v>
                </c:pt>
                <c:pt idx="25">
                  <c:v>43.034527673896086</c:v>
                </c:pt>
                <c:pt idx="26">
                  <c:v>45.606729324439719</c:v>
                </c:pt>
                <c:pt idx="27">
                  <c:v>48.146347095592041</c:v>
                </c:pt>
                <c:pt idx="28">
                  <c:v>50.647617422659295</c:v>
                </c:pt>
                <c:pt idx="29">
                  <c:v>53.105545795652432</c:v>
                </c:pt>
                <c:pt idx="30">
                  <c:v>55.515852675616792</c:v>
                </c:pt>
                <c:pt idx="31">
                  <c:v>57.874919434974622</c:v>
                </c:pt>
                <c:pt idx="32">
                  <c:v>60.179735156461923</c:v>
                </c:pt>
                <c:pt idx="33">
                  <c:v>62.427844922873923</c:v>
                </c:pt>
                <c:pt idx="34">
                  <c:v>64.617300064203548</c:v>
                </c:pt>
                <c:pt idx="35">
                  <c:v>66.746610693912174</c:v>
                </c:pt>
                <c:pt idx="36">
                  <c:v>68.814700756968321</c:v>
                </c:pt>
                <c:pt idx="37">
                  <c:v>70.820865724660678</c:v>
                </c:pt>
                <c:pt idx="38">
                  <c:v>72.764733001429349</c:v>
                </c:pt>
                <c:pt idx="39">
                  <c:v>74.646225054022594</c:v>
                </c:pt>
                <c:pt idx="40">
                  <c:v>76.465525230604669</c:v>
                </c:pt>
                <c:pt idx="41">
                  <c:v>78.22304620485869</c:v>
                </c:pt>
                <c:pt idx="42">
                  <c:v>79.919400955828209</c:v>
                </c:pt>
                <c:pt idx="43">
                  <c:v>81.555376176702282</c:v>
                </c:pt>
                <c:pt idx="44">
                  <c:v>83.131907993694981</c:v>
                </c:pt>
                <c:pt idx="45">
                  <c:v>84.650059868539287</c:v>
                </c:pt>
                <c:pt idx="46">
                  <c:v>86.111002554017915</c:v>
                </c:pt>
                <c:pt idx="47">
                  <c:v>87.515995970655169</c:v>
                </c:pt>
                <c:pt idx="48">
                  <c:v>88.866372873580801</c:v>
                </c:pt>
                <c:pt idx="49">
                  <c:v>90.163524181150464</c:v>
                </c:pt>
                <c:pt idx="50">
                  <c:v>91.408885840746265</c:v>
                </c:pt>
                <c:pt idx="51">
                  <c:v>92.603927111953922</c:v>
                </c:pt>
                <c:pt idx="52">
                  <c:v>93.750140152737799</c:v>
                </c:pt>
                <c:pt idx="53">
                  <c:v>94.849030800092564</c:v>
                </c:pt>
                <c:pt idx="54">
                  <c:v>95.902110442760019</c:v>
                </c:pt>
                <c:pt idx="55">
                  <c:v>96.910888889817528</c:v>
                </c:pt>
                <c:pt idx="56">
                  <c:v>97.876868145162788</c:v>
                </c:pt>
                <c:pt idx="57">
                  <c:v>98.801537004046068</c:v>
                </c:pt>
                <c:pt idx="58">
                  <c:v>99.686366393772815</c:v>
                </c:pt>
                <c:pt idx="59">
                  <c:v>100.5328053864676</c:v>
                </c:pt>
                <c:pt idx="60">
                  <c:v>101.34227781731518</c:v>
                </c:pt>
                <c:pt idx="61">
                  <c:v>102.11617944695877</c:v>
                </c:pt>
                <c:pt idx="62">
                  <c:v>102.85587561171667</c:v>
                </c:pt>
                <c:pt idx="63">
                  <c:v>103.56269930997377</c:v>
                </c:pt>
                <c:pt idx="64">
                  <c:v>104.23794967751182</c:v>
                </c:pt>
                <c:pt idx="65">
                  <c:v>104.88289080865843</c:v>
                </c:pt>
                <c:pt idx="66">
                  <c:v>105.49875088397421</c:v>
                </c:pt>
                <c:pt idx="67">
                  <c:v>106.08672156876112</c:v>
                </c:pt>
                <c:pt idx="68">
                  <c:v>106.6479576499766</c:v>
                </c:pt>
                <c:pt idx="69">
                  <c:v>107.18357688218988</c:v>
                </c:pt>
                <c:pt idx="70">
                  <c:v>107.69466001602949</c:v>
                </c:pt>
                <c:pt idx="71">
                  <c:v>108.18225098515779</c:v>
                </c:pt>
                <c:pt idx="72">
                  <c:v>108.64735723018511</c:v>
                </c:pt>
                <c:pt idx="73">
                  <c:v>109.0909501401116</c:v>
                </c:pt>
                <c:pt idx="74">
                  <c:v>109.51396559387747</c:v>
                </c:pt>
                <c:pt idx="75">
                  <c:v>109.91730458641989</c:v>
                </c:pt>
                <c:pt idx="76">
                  <c:v>110.3018339252922</c:v>
                </c:pt>
                <c:pt idx="77">
                  <c:v>110.6683869854116</c:v>
                </c:pt>
                <c:pt idx="78">
                  <c:v>111.01776451087146</c:v>
                </c:pt>
                <c:pt idx="79">
                  <c:v>111.35073545400006</c:v>
                </c:pt>
                <c:pt idx="80">
                  <c:v>111.66803784297581</c:v>
                </c:pt>
                <c:pt idx="81">
                  <c:v>111.97037967032826</c:v>
                </c:pt>
                <c:pt idx="82">
                  <c:v>112.25843979557877</c:v>
                </c:pt>
                <c:pt idx="83">
                  <c:v>112.53286885610451</c:v>
                </c:pt>
                <c:pt idx="84">
                  <c:v>112.79429018106121</c:v>
                </c:pt>
                <c:pt idx="85">
                  <c:v>113.04330070387277</c:v>
                </c:pt>
                <c:pt idx="86">
                  <c:v>113.2804718694035</c:v>
                </c:pt>
                <c:pt idx="87">
                  <c:v>113.50635053246974</c:v>
                </c:pt>
                <c:pt idx="88">
                  <c:v>113.72145984483637</c:v>
                </c:pt>
                <c:pt idx="89">
                  <c:v>113.92630012827603</c:v>
                </c:pt>
                <c:pt idx="90">
                  <c:v>114.121349731659</c:v>
                </c:pt>
                <c:pt idx="91">
                  <c:v>114.30706587038449</c:v>
                </c:pt>
                <c:pt idx="92">
                  <c:v>114.48388544677304</c:v>
                </c:pt>
                <c:pt idx="93">
                  <c:v>114.65222585031027</c:v>
                </c:pt>
                <c:pt idx="94">
                  <c:v>114.81248573687292</c:v>
                </c:pt>
                <c:pt idx="95">
                  <c:v>114.96504578628149</c:v>
                </c:pt>
                <c:pt idx="96">
                  <c:v>115.11026943770834</c:v>
                </c:pt>
                <c:pt idx="97">
                  <c:v>115.24850360263548</c:v>
                </c:pt>
                <c:pt idx="98">
                  <c:v>115.38007935519893</c:v>
                </c:pt>
                <c:pt idx="99">
                  <c:v>115.50531259987942</c:v>
                </c:pt>
                <c:pt idx="100">
                  <c:v>115.62450471660945</c:v>
                </c:pt>
              </c:numCache>
            </c:numRef>
          </c:yVal>
          <c:smooth val="0"/>
          <c:extLst>
            <c:ext xmlns:c16="http://schemas.microsoft.com/office/drawing/2014/chart" uri="{C3380CC4-5D6E-409C-BE32-E72D297353CC}">
              <c16:uniqueId val="{00000001-EB58-4A81-875B-8CFABA46837B}"/>
            </c:ext>
          </c:extLst>
        </c:ser>
        <c:ser>
          <c:idx val="2"/>
          <c:order val="2"/>
          <c:tx>
            <c:v>thinning host</c:v>
          </c:tx>
          <c:spPr>
            <a:ln w="28575" cap="rnd">
              <a:solidFill>
                <a:schemeClr val="accent3"/>
              </a:solidFill>
              <a:round/>
            </a:ln>
            <a:effectLst/>
          </c:spPr>
          <c:marker>
            <c:symbol val="none"/>
          </c:marker>
          <c:xVal>
            <c:numRef>
              <c:f>growth!$H$5:$DD$5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xVal>
          <c:yVal>
            <c:numRef>
              <c:f>growth!$H$8:$DD$8</c:f>
              <c:numCache>
                <c:formatCode>#,##0.0</c:formatCode>
                <c:ptCount val="101"/>
                <c:pt idx="0">
                  <c:v>0</c:v>
                </c:pt>
                <c:pt idx="1">
                  <c:v>1.3801503036642727E-2</c:v>
                </c:pt>
                <c:pt idx="2">
                  <c:v>0.10250810373022921</c:v>
                </c:pt>
                <c:pt idx="3">
                  <c:v>0.32140060564134304</c:v>
                </c:pt>
                <c:pt idx="4">
                  <c:v>0.70819088008020181</c:v>
                </c:pt>
                <c:pt idx="5">
                  <c:v>1.2865903014343147</c:v>
                </c:pt>
                <c:pt idx="6">
                  <c:v>2.0692648651289542</c:v>
                </c:pt>
                <c:pt idx="7">
                  <c:v>3.0602740346849182</c:v>
                </c:pt>
                <c:pt idx="8">
                  <c:v>4.2570757029793187</c:v>
                </c:pt>
                <c:pt idx="9">
                  <c:v>5.6521671458405169</c:v>
                </c:pt>
                <c:pt idx="10">
                  <c:v>7.2344211823897746</c:v>
                </c:pt>
                <c:pt idx="11">
                  <c:v>8.9901676693851371</c:v>
                </c:pt>
                <c:pt idx="12">
                  <c:v>10.904062717666822</c:v>
                </c:pt>
                <c:pt idx="13">
                  <c:v>12.959781431811036</c:v>
                </c:pt>
                <c:pt idx="14">
                  <c:v>15.140564371508987</c:v>
                </c:pt>
                <c:pt idx="15">
                  <c:v>17.4296431713258</c:v>
                </c:pt>
                <c:pt idx="16">
                  <c:v>19.810566711342741</c:v>
                </c:pt>
                <c:pt idx="17">
                  <c:v>22.267445799447479</c:v>
                </c:pt>
                <c:pt idx="18">
                  <c:v>24.785131416603353</c:v>
                </c:pt>
                <c:pt idx="19">
                  <c:v>27.349339112214277</c:v>
                </c:pt>
                <c:pt idx="20">
                  <c:v>29.946730051786854</c:v>
                </c:pt>
                <c:pt idx="21">
                  <c:v>32.564957457117195</c:v>
                </c:pt>
                <c:pt idx="22">
                  <c:v>35.192685692036868</c:v>
                </c:pt>
                <c:pt idx="23">
                  <c:v>37.819587993197999</c:v>
                </c:pt>
                <c:pt idx="24">
                  <c:v>40.436327790332221</c:v>
                </c:pt>
                <c:pt idx="25">
                  <c:v>43.034527673896086</c:v>
                </c:pt>
                <c:pt idx="26">
                  <c:v>45.606729324439719</c:v>
                </c:pt>
                <c:pt idx="27">
                  <c:v>48.146347095592041</c:v>
                </c:pt>
                <c:pt idx="28">
                  <c:v>50.647617422659295</c:v>
                </c:pt>
                <c:pt idx="29">
                  <c:v>53.105545795652432</c:v>
                </c:pt>
                <c:pt idx="30">
                  <c:v>55.515852675616792</c:v>
                </c:pt>
                <c:pt idx="31">
                  <c:v>57.874919434974622</c:v>
                </c:pt>
                <c:pt idx="32">
                  <c:v>60.179735156461923</c:v>
                </c:pt>
                <c:pt idx="33">
                  <c:v>62.427844922873923</c:v>
                </c:pt>
                <c:pt idx="34">
                  <c:v>64.617300064203548</c:v>
                </c:pt>
                <c:pt idx="35">
                  <c:v>66.746610693912174</c:v>
                </c:pt>
                <c:pt idx="36">
                  <c:v>68.814700756968321</c:v>
                </c:pt>
                <c:pt idx="37">
                  <c:v>70.820865724660678</c:v>
                </c:pt>
                <c:pt idx="38">
                  <c:v>72.764733001429349</c:v>
                </c:pt>
                <c:pt idx="39">
                  <c:v>74.646225054022594</c:v>
                </c:pt>
                <c:pt idx="40">
                  <c:v>76.465525230604669</c:v>
                </c:pt>
                <c:pt idx="41">
                  <c:v>78.22304620485869</c:v>
                </c:pt>
                <c:pt idx="42">
                  <c:v>79.919400955828209</c:v>
                </c:pt>
                <c:pt idx="43">
                  <c:v>81.555376176702282</c:v>
                </c:pt>
                <c:pt idx="44">
                  <c:v>83.131907993694981</c:v>
                </c:pt>
                <c:pt idx="45">
                  <c:v>84.650059868539287</c:v>
                </c:pt>
                <c:pt idx="46">
                  <c:v>86.111002554017915</c:v>
                </c:pt>
                <c:pt idx="47">
                  <c:v>87.515995970655169</c:v>
                </c:pt>
                <c:pt idx="48">
                  <c:v>88.866372873580801</c:v>
                </c:pt>
                <c:pt idx="49">
                  <c:v>90.163524181150464</c:v>
                </c:pt>
                <c:pt idx="50">
                  <c:v>91.408885840746265</c:v>
                </c:pt>
                <c:pt idx="51">
                  <c:v>92.603927111953922</c:v>
                </c:pt>
                <c:pt idx="52">
                  <c:v>93.750140152737799</c:v>
                </c:pt>
                <c:pt idx="53">
                  <c:v>94.849030800092564</c:v>
                </c:pt>
                <c:pt idx="54">
                  <c:v>95.902110442760019</c:v>
                </c:pt>
                <c:pt idx="55">
                  <c:v>96.910888889817528</c:v>
                </c:pt>
                <c:pt idx="56">
                  <c:v>97.876868145162788</c:v>
                </c:pt>
                <c:pt idx="57">
                  <c:v>98.801537004046068</c:v>
                </c:pt>
                <c:pt idx="58">
                  <c:v>99.686366393772815</c:v>
                </c:pt>
                <c:pt idx="59">
                  <c:v>100.5328053864676</c:v>
                </c:pt>
                <c:pt idx="60">
                  <c:v>101.34227781731518</c:v>
                </c:pt>
                <c:pt idx="61">
                  <c:v>102.11617944695877</c:v>
                </c:pt>
                <c:pt idx="62">
                  <c:v>102.85587561171667</c:v>
                </c:pt>
                <c:pt idx="63">
                  <c:v>103.56269930997377</c:v>
                </c:pt>
                <c:pt idx="64">
                  <c:v>104.23794967751182</c:v>
                </c:pt>
                <c:pt idx="65">
                  <c:v>104.88289080865843</c:v>
                </c:pt>
                <c:pt idx="66">
                  <c:v>105.49875088397421</c:v>
                </c:pt>
                <c:pt idx="67">
                  <c:v>106.08672156876112</c:v>
                </c:pt>
                <c:pt idx="68">
                  <c:v>106.6479576499766</c:v>
                </c:pt>
                <c:pt idx="69">
                  <c:v>107.18357688218988</c:v>
                </c:pt>
                <c:pt idx="70">
                  <c:v>107.69466001602949</c:v>
                </c:pt>
                <c:pt idx="71">
                  <c:v>108.18225098515779</c:v>
                </c:pt>
                <c:pt idx="72">
                  <c:v>108.64735723018511</c:v>
                </c:pt>
                <c:pt idx="73">
                  <c:v>109.0909501401116</c:v>
                </c:pt>
                <c:pt idx="74">
                  <c:v>109.51396559387747</c:v>
                </c:pt>
                <c:pt idx="75">
                  <c:v>109.91730458641989</c:v>
                </c:pt>
                <c:pt idx="76">
                  <c:v>110.3018339252922</c:v>
                </c:pt>
                <c:pt idx="77">
                  <c:v>110.6683869854116</c:v>
                </c:pt>
                <c:pt idx="78">
                  <c:v>111.01776451087146</c:v>
                </c:pt>
                <c:pt idx="79">
                  <c:v>111.35073545400006</c:v>
                </c:pt>
                <c:pt idx="80">
                  <c:v>111.66803784297581</c:v>
                </c:pt>
                <c:pt idx="81">
                  <c:v>111.97037967032826</c:v>
                </c:pt>
                <c:pt idx="82">
                  <c:v>112.25843979557877</c:v>
                </c:pt>
                <c:pt idx="83">
                  <c:v>112.53286885610451</c:v>
                </c:pt>
                <c:pt idx="84">
                  <c:v>112.79429018106121</c:v>
                </c:pt>
                <c:pt idx="85">
                  <c:v>113.04330070387277</c:v>
                </c:pt>
                <c:pt idx="86">
                  <c:v>113.2804718694035</c:v>
                </c:pt>
                <c:pt idx="87">
                  <c:v>113.50635053246974</c:v>
                </c:pt>
                <c:pt idx="88">
                  <c:v>113.72145984483637</c:v>
                </c:pt>
                <c:pt idx="89">
                  <c:v>113.92630012827603</c:v>
                </c:pt>
                <c:pt idx="90">
                  <c:v>114.121349731659</c:v>
                </c:pt>
                <c:pt idx="91">
                  <c:v>114.30706587038449</c:v>
                </c:pt>
                <c:pt idx="92">
                  <c:v>114.48388544677304</c:v>
                </c:pt>
                <c:pt idx="93">
                  <c:v>114.65222585031027</c:v>
                </c:pt>
                <c:pt idx="94">
                  <c:v>114.81248573687292</c:v>
                </c:pt>
                <c:pt idx="95">
                  <c:v>114.96504578628149</c:v>
                </c:pt>
                <c:pt idx="96">
                  <c:v>115.11026943770834</c:v>
                </c:pt>
                <c:pt idx="97">
                  <c:v>115.24850360263548</c:v>
                </c:pt>
                <c:pt idx="98">
                  <c:v>115.38007935519893</c:v>
                </c:pt>
                <c:pt idx="99">
                  <c:v>115.50531259987942</c:v>
                </c:pt>
                <c:pt idx="100">
                  <c:v>115.62450471660945</c:v>
                </c:pt>
              </c:numCache>
            </c:numRef>
          </c:yVal>
          <c:smooth val="0"/>
          <c:extLst>
            <c:ext xmlns:c16="http://schemas.microsoft.com/office/drawing/2014/chart" uri="{C3380CC4-5D6E-409C-BE32-E72D297353CC}">
              <c16:uniqueId val="{00000002-EB58-4A81-875B-8CFABA46837B}"/>
            </c:ext>
          </c:extLst>
        </c:ser>
        <c:ser>
          <c:idx val="3"/>
          <c:order val="3"/>
          <c:tx>
            <c:v>standing forest</c:v>
          </c:tx>
          <c:spPr>
            <a:ln w="28575" cap="rnd">
              <a:solidFill>
                <a:schemeClr val="accent4"/>
              </a:solidFill>
              <a:round/>
            </a:ln>
            <a:effectLst/>
          </c:spPr>
          <c:marker>
            <c:symbol val="none"/>
          </c:marker>
          <c:xVal>
            <c:numRef>
              <c:f>growth!$H$5:$DD$5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xVal>
          <c:yVal>
            <c:numRef>
              <c:f>growth!$H$9:$DD$9</c:f>
              <c:numCache>
                <c:formatCode>#,##0.0</c:formatCode>
                <c:ptCount val="101"/>
                <c:pt idx="0">
                  <c:v>0</c:v>
                </c:pt>
                <c:pt idx="1">
                  <c:v>1.3801503036642727E-2</c:v>
                </c:pt>
                <c:pt idx="2">
                  <c:v>0.10250810373022921</c:v>
                </c:pt>
                <c:pt idx="3">
                  <c:v>0.32140060564134304</c:v>
                </c:pt>
                <c:pt idx="4">
                  <c:v>0.70819088008020181</c:v>
                </c:pt>
                <c:pt idx="5">
                  <c:v>1.2865903014343147</c:v>
                </c:pt>
                <c:pt idx="6">
                  <c:v>2.0692648651289542</c:v>
                </c:pt>
                <c:pt idx="7">
                  <c:v>3.0602740346849182</c:v>
                </c:pt>
                <c:pt idx="8">
                  <c:v>4.2570757029793187</c:v>
                </c:pt>
                <c:pt idx="9">
                  <c:v>5.6521671458405169</c:v>
                </c:pt>
                <c:pt idx="10">
                  <c:v>7.2344211823897746</c:v>
                </c:pt>
                <c:pt idx="11">
                  <c:v>8.9901676693851371</c:v>
                </c:pt>
                <c:pt idx="12">
                  <c:v>10.904062717666822</c:v>
                </c:pt>
                <c:pt idx="13">
                  <c:v>12.959781431811036</c:v>
                </c:pt>
                <c:pt idx="14">
                  <c:v>15.140564371508987</c:v>
                </c:pt>
                <c:pt idx="15">
                  <c:v>17.4296431713258</c:v>
                </c:pt>
                <c:pt idx="16">
                  <c:v>19.810566711342741</c:v>
                </c:pt>
                <c:pt idx="17">
                  <c:v>22.267445799447479</c:v>
                </c:pt>
                <c:pt idx="18">
                  <c:v>24.785131416603353</c:v>
                </c:pt>
                <c:pt idx="19">
                  <c:v>27.349339112214277</c:v>
                </c:pt>
                <c:pt idx="20">
                  <c:v>29.946730051786854</c:v>
                </c:pt>
                <c:pt idx="21">
                  <c:v>32.564957457117195</c:v>
                </c:pt>
                <c:pt idx="22">
                  <c:v>35.192685692036868</c:v>
                </c:pt>
                <c:pt idx="23">
                  <c:v>37.819587993197999</c:v>
                </c:pt>
                <c:pt idx="24">
                  <c:v>40.436327790332221</c:v>
                </c:pt>
                <c:pt idx="25">
                  <c:v>43.034527673896086</c:v>
                </c:pt>
                <c:pt idx="26">
                  <c:v>45.606729324439719</c:v>
                </c:pt>
                <c:pt idx="27">
                  <c:v>48.146347095592041</c:v>
                </c:pt>
                <c:pt idx="28">
                  <c:v>50.647617422659295</c:v>
                </c:pt>
                <c:pt idx="29">
                  <c:v>53.105545795652432</c:v>
                </c:pt>
                <c:pt idx="30">
                  <c:v>55.515852675616792</c:v>
                </c:pt>
                <c:pt idx="31">
                  <c:v>57.874919434974622</c:v>
                </c:pt>
                <c:pt idx="32">
                  <c:v>60.179735156461923</c:v>
                </c:pt>
                <c:pt idx="33">
                  <c:v>62.427844922873923</c:v>
                </c:pt>
                <c:pt idx="34">
                  <c:v>64.617300064203548</c:v>
                </c:pt>
                <c:pt idx="35">
                  <c:v>66.746610693912174</c:v>
                </c:pt>
                <c:pt idx="36">
                  <c:v>68.814700756968321</c:v>
                </c:pt>
                <c:pt idx="37">
                  <c:v>70.820865724660678</c:v>
                </c:pt>
                <c:pt idx="38">
                  <c:v>72.764733001429349</c:v>
                </c:pt>
                <c:pt idx="39">
                  <c:v>74.646225054022594</c:v>
                </c:pt>
                <c:pt idx="40">
                  <c:v>76.465525230604669</c:v>
                </c:pt>
                <c:pt idx="41">
                  <c:v>78.22304620485869</c:v>
                </c:pt>
                <c:pt idx="42">
                  <c:v>79.919400955828209</c:v>
                </c:pt>
                <c:pt idx="43">
                  <c:v>81.555376176702282</c:v>
                </c:pt>
                <c:pt idx="44">
                  <c:v>83.131907993694981</c:v>
                </c:pt>
                <c:pt idx="45">
                  <c:v>84.650059868539287</c:v>
                </c:pt>
                <c:pt idx="46">
                  <c:v>86.111002554017915</c:v>
                </c:pt>
                <c:pt idx="47">
                  <c:v>87.515995970655169</c:v>
                </c:pt>
                <c:pt idx="48">
                  <c:v>88.866372873580801</c:v>
                </c:pt>
                <c:pt idx="49">
                  <c:v>90.163524181150464</c:v>
                </c:pt>
                <c:pt idx="50">
                  <c:v>91.408885840746265</c:v>
                </c:pt>
                <c:pt idx="51">
                  <c:v>92.603927111953922</c:v>
                </c:pt>
                <c:pt idx="52">
                  <c:v>93.750140152737799</c:v>
                </c:pt>
                <c:pt idx="53">
                  <c:v>94.849030800092564</c:v>
                </c:pt>
                <c:pt idx="54">
                  <c:v>95.902110442760019</c:v>
                </c:pt>
                <c:pt idx="55">
                  <c:v>96.910888889817528</c:v>
                </c:pt>
                <c:pt idx="56">
                  <c:v>97.876868145162788</c:v>
                </c:pt>
                <c:pt idx="57">
                  <c:v>98.801537004046068</c:v>
                </c:pt>
                <c:pt idx="58">
                  <c:v>99.686366393772815</c:v>
                </c:pt>
                <c:pt idx="59">
                  <c:v>100.5328053864676</c:v>
                </c:pt>
                <c:pt idx="60">
                  <c:v>101.34227781731518</c:v>
                </c:pt>
                <c:pt idx="61">
                  <c:v>102.11617944695877</c:v>
                </c:pt>
                <c:pt idx="62">
                  <c:v>102.85587561171667</c:v>
                </c:pt>
                <c:pt idx="63">
                  <c:v>103.56269930997377</c:v>
                </c:pt>
                <c:pt idx="64">
                  <c:v>104.23794967751182</c:v>
                </c:pt>
                <c:pt idx="65">
                  <c:v>104.88289080865843</c:v>
                </c:pt>
                <c:pt idx="66">
                  <c:v>105.49875088397421</c:v>
                </c:pt>
                <c:pt idx="67">
                  <c:v>106.08672156876112</c:v>
                </c:pt>
                <c:pt idx="68">
                  <c:v>106.6479576499766</c:v>
                </c:pt>
                <c:pt idx="69">
                  <c:v>107.18357688218988</c:v>
                </c:pt>
                <c:pt idx="70">
                  <c:v>107.69466001602949</c:v>
                </c:pt>
                <c:pt idx="71">
                  <c:v>108.18225098515779</c:v>
                </c:pt>
                <c:pt idx="72">
                  <c:v>108.64735723018511</c:v>
                </c:pt>
                <c:pt idx="73">
                  <c:v>109.0909501401116</c:v>
                </c:pt>
                <c:pt idx="74">
                  <c:v>109.51396559387747</c:v>
                </c:pt>
                <c:pt idx="75">
                  <c:v>109.91730458641989</c:v>
                </c:pt>
                <c:pt idx="76">
                  <c:v>110.3018339252922</c:v>
                </c:pt>
                <c:pt idx="77">
                  <c:v>110.6683869854116</c:v>
                </c:pt>
                <c:pt idx="78">
                  <c:v>111.01776451087146</c:v>
                </c:pt>
                <c:pt idx="79">
                  <c:v>111.35073545400006</c:v>
                </c:pt>
                <c:pt idx="80">
                  <c:v>111.66803784297581</c:v>
                </c:pt>
                <c:pt idx="81">
                  <c:v>111.97037967032826</c:v>
                </c:pt>
                <c:pt idx="82">
                  <c:v>112.25843979557877</c:v>
                </c:pt>
                <c:pt idx="83">
                  <c:v>112.53286885610451</c:v>
                </c:pt>
                <c:pt idx="84">
                  <c:v>112.79429018106121</c:v>
                </c:pt>
                <c:pt idx="85">
                  <c:v>113.04330070387277</c:v>
                </c:pt>
                <c:pt idx="86">
                  <c:v>113.2804718694035</c:v>
                </c:pt>
                <c:pt idx="87">
                  <c:v>113.50635053246974</c:v>
                </c:pt>
                <c:pt idx="88">
                  <c:v>113.72145984483637</c:v>
                </c:pt>
                <c:pt idx="89">
                  <c:v>113.92630012827603</c:v>
                </c:pt>
                <c:pt idx="90">
                  <c:v>114.121349731659</c:v>
                </c:pt>
                <c:pt idx="91">
                  <c:v>114.30706587038449</c:v>
                </c:pt>
                <c:pt idx="92">
                  <c:v>114.48388544677304</c:v>
                </c:pt>
                <c:pt idx="93">
                  <c:v>114.65222585031027</c:v>
                </c:pt>
                <c:pt idx="94">
                  <c:v>114.81248573687292</c:v>
                </c:pt>
                <c:pt idx="95">
                  <c:v>114.96504578628149</c:v>
                </c:pt>
                <c:pt idx="96">
                  <c:v>115.11026943770834</c:v>
                </c:pt>
                <c:pt idx="97">
                  <c:v>115.24850360263548</c:v>
                </c:pt>
                <c:pt idx="98">
                  <c:v>115.38007935519893</c:v>
                </c:pt>
                <c:pt idx="99">
                  <c:v>115.50531259987942</c:v>
                </c:pt>
                <c:pt idx="100">
                  <c:v>115.62450471660945</c:v>
                </c:pt>
              </c:numCache>
            </c:numRef>
          </c:yVal>
          <c:smooth val="0"/>
          <c:extLst>
            <c:ext xmlns:c16="http://schemas.microsoft.com/office/drawing/2014/chart" uri="{C3380CC4-5D6E-409C-BE32-E72D297353CC}">
              <c16:uniqueId val="{00000003-EB58-4A81-875B-8CFABA46837B}"/>
            </c:ext>
          </c:extLst>
        </c:ser>
        <c:dLbls>
          <c:showLegendKey val="0"/>
          <c:showVal val="0"/>
          <c:showCatName val="0"/>
          <c:showSerName val="0"/>
          <c:showPercent val="0"/>
          <c:showBubbleSize val="0"/>
        </c:dLbls>
        <c:axId val="571412608"/>
        <c:axId val="917020512"/>
      </c:scatterChart>
      <c:valAx>
        <c:axId val="571412608"/>
        <c:scaling>
          <c:orientation val="minMax"/>
          <c:max val="100"/>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out"/>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917020512"/>
        <c:crosses val="autoZero"/>
        <c:crossBetween val="midCat"/>
        <c:majorUnit val="20"/>
        <c:minorUnit val="10"/>
      </c:valAx>
      <c:valAx>
        <c:axId val="917020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chemeClr val="tx1"/>
                    </a:solidFill>
                  </a:rPr>
                  <a:t>MgC/ha</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571412608"/>
        <c:crosses val="autoZero"/>
        <c:crossBetween val="midCat"/>
      </c:valAx>
      <c:spPr>
        <a:noFill/>
        <a:ln w="25400">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51236338177153E-2"/>
          <c:y val="4.6681664791901022E-2"/>
          <c:w val="0.82489312277980853"/>
          <c:h val="0.77293588301462324"/>
        </c:manualLayout>
      </c:layout>
      <c:scatterChart>
        <c:scatterStyle val="lineMarker"/>
        <c:varyColors val="0"/>
        <c:ser>
          <c:idx val="5"/>
          <c:order val="0"/>
          <c:tx>
            <c:strRef>
              <c:f>'Figures 3-6'!$G$50</c:f>
              <c:strCache>
                <c:ptCount val="1"/>
                <c:pt idx="0">
                  <c:v>REF</c:v>
                </c:pt>
              </c:strCache>
            </c:strRef>
          </c:tx>
          <c:spPr>
            <a:ln w="38100" cap="rnd">
              <a:solidFill>
                <a:srgbClr val="A1D99B"/>
              </a:solidFill>
              <a:round/>
            </a:ln>
            <a:effectLst/>
          </c:spPr>
          <c:marker>
            <c:symbol val="none"/>
          </c:marker>
          <c:xVal>
            <c:numRef>
              <c:f>'Figures 3-6'!$H$49:$DS$49</c:f>
              <c:numCache>
                <c:formatCode>General</c:formatCode>
                <c:ptCount val="11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pt idx="66">
                  <c:v>41</c:v>
                </c:pt>
                <c:pt idx="67">
                  <c:v>42</c:v>
                </c:pt>
                <c:pt idx="68">
                  <c:v>43</c:v>
                </c:pt>
                <c:pt idx="69">
                  <c:v>44</c:v>
                </c:pt>
                <c:pt idx="70">
                  <c:v>45</c:v>
                </c:pt>
                <c:pt idx="71">
                  <c:v>46</c:v>
                </c:pt>
                <c:pt idx="72">
                  <c:v>47</c:v>
                </c:pt>
                <c:pt idx="73">
                  <c:v>48</c:v>
                </c:pt>
                <c:pt idx="74">
                  <c:v>49</c:v>
                </c:pt>
                <c:pt idx="75">
                  <c:v>50</c:v>
                </c:pt>
                <c:pt idx="76">
                  <c:v>51</c:v>
                </c:pt>
                <c:pt idx="77">
                  <c:v>52</c:v>
                </c:pt>
                <c:pt idx="78">
                  <c:v>53</c:v>
                </c:pt>
                <c:pt idx="79">
                  <c:v>54</c:v>
                </c:pt>
                <c:pt idx="80">
                  <c:v>55</c:v>
                </c:pt>
                <c:pt idx="81">
                  <c:v>56</c:v>
                </c:pt>
                <c:pt idx="82">
                  <c:v>57</c:v>
                </c:pt>
                <c:pt idx="83">
                  <c:v>58</c:v>
                </c:pt>
                <c:pt idx="84">
                  <c:v>59</c:v>
                </c:pt>
                <c:pt idx="85">
                  <c:v>60</c:v>
                </c:pt>
                <c:pt idx="86">
                  <c:v>61</c:v>
                </c:pt>
                <c:pt idx="87">
                  <c:v>62</c:v>
                </c:pt>
                <c:pt idx="88">
                  <c:v>63</c:v>
                </c:pt>
                <c:pt idx="89">
                  <c:v>64</c:v>
                </c:pt>
                <c:pt idx="90">
                  <c:v>65</c:v>
                </c:pt>
                <c:pt idx="91">
                  <c:v>66</c:v>
                </c:pt>
                <c:pt idx="92">
                  <c:v>67</c:v>
                </c:pt>
                <c:pt idx="93">
                  <c:v>68</c:v>
                </c:pt>
                <c:pt idx="94">
                  <c:v>69</c:v>
                </c:pt>
                <c:pt idx="95">
                  <c:v>70</c:v>
                </c:pt>
                <c:pt idx="96">
                  <c:v>71</c:v>
                </c:pt>
                <c:pt idx="97">
                  <c:v>72</c:v>
                </c:pt>
                <c:pt idx="98">
                  <c:v>73</c:v>
                </c:pt>
                <c:pt idx="99">
                  <c:v>74</c:v>
                </c:pt>
                <c:pt idx="100">
                  <c:v>75</c:v>
                </c:pt>
                <c:pt idx="101">
                  <c:v>76</c:v>
                </c:pt>
                <c:pt idx="102">
                  <c:v>77</c:v>
                </c:pt>
                <c:pt idx="103">
                  <c:v>78</c:v>
                </c:pt>
                <c:pt idx="104">
                  <c:v>79</c:v>
                </c:pt>
                <c:pt idx="105">
                  <c:v>80</c:v>
                </c:pt>
              </c:numCache>
            </c:numRef>
          </c:xVal>
          <c:yVal>
            <c:numRef>
              <c:f>'Figures 3-6'!$H$50:$DS$50</c:f>
              <c:numCache>
                <c:formatCode>#,##0.0</c:formatCode>
                <c:ptCount val="116"/>
                <c:pt idx="26">
                  <c:v>2.5722016505436329</c:v>
                </c:pt>
                <c:pt idx="27">
                  <c:v>5.1118194216959552</c:v>
                </c:pt>
                <c:pt idx="28">
                  <c:v>7.6130897487632083</c:v>
                </c:pt>
                <c:pt idx="29">
                  <c:v>10.071018121756346</c:v>
                </c:pt>
                <c:pt idx="30">
                  <c:v>12.481325001720705</c:v>
                </c:pt>
                <c:pt idx="31">
                  <c:v>14.840391761078536</c:v>
                </c:pt>
                <c:pt idx="32">
                  <c:v>17.145207482565837</c:v>
                </c:pt>
                <c:pt idx="33">
                  <c:v>19.393317248977837</c:v>
                </c:pt>
                <c:pt idx="34">
                  <c:v>21.582772390307461</c:v>
                </c:pt>
                <c:pt idx="35">
                  <c:v>23.712083020016088</c:v>
                </c:pt>
                <c:pt idx="36">
                  <c:v>25.780173083072235</c:v>
                </c:pt>
                <c:pt idx="37">
                  <c:v>27.786338050764591</c:v>
                </c:pt>
                <c:pt idx="38">
                  <c:v>29.730205327533263</c:v>
                </c:pt>
                <c:pt idx="39">
                  <c:v>31.611697380126508</c:v>
                </c:pt>
                <c:pt idx="40">
                  <c:v>33.430997556708583</c:v>
                </c:pt>
                <c:pt idx="41">
                  <c:v>35.188518530962604</c:v>
                </c:pt>
                <c:pt idx="42">
                  <c:v>36.884873281932123</c:v>
                </c:pt>
                <c:pt idx="43">
                  <c:v>38.520848502806196</c:v>
                </c:pt>
                <c:pt idx="44">
                  <c:v>40.097380319798894</c:v>
                </c:pt>
                <c:pt idx="45">
                  <c:v>41.615532194643201</c:v>
                </c:pt>
                <c:pt idx="46">
                  <c:v>43.076474880121829</c:v>
                </c:pt>
                <c:pt idx="47">
                  <c:v>44.481468296759083</c:v>
                </c:pt>
                <c:pt idx="48">
                  <c:v>45.831845199684714</c:v>
                </c:pt>
                <c:pt idx="49">
                  <c:v>47.128996507254378</c:v>
                </c:pt>
                <c:pt idx="50">
                  <c:v>48.374358166850179</c:v>
                </c:pt>
                <c:pt idx="51">
                  <c:v>49.569399438057836</c:v>
                </c:pt>
                <c:pt idx="52">
                  <c:v>50.715612478841713</c:v>
                </c:pt>
                <c:pt idx="53">
                  <c:v>51.814503126196477</c:v>
                </c:pt>
                <c:pt idx="54">
                  <c:v>52.867582768863933</c:v>
                </c:pt>
                <c:pt idx="55">
                  <c:v>53.876361215921442</c:v>
                </c:pt>
                <c:pt idx="56">
                  <c:v>54.842340471266702</c:v>
                </c:pt>
                <c:pt idx="57">
                  <c:v>55.767009330149982</c:v>
                </c:pt>
                <c:pt idx="58">
                  <c:v>56.651838719876729</c:v>
                </c:pt>
                <c:pt idx="59">
                  <c:v>57.498277712571515</c:v>
                </c:pt>
                <c:pt idx="60">
                  <c:v>58.307750143419092</c:v>
                </c:pt>
                <c:pt idx="61">
                  <c:v>59.081651773062681</c:v>
                </c:pt>
                <c:pt idx="62">
                  <c:v>59.821347937820583</c:v>
                </c:pt>
                <c:pt idx="63">
                  <c:v>60.52817163607768</c:v>
                </c:pt>
                <c:pt idx="64">
                  <c:v>61.203422003615735</c:v>
                </c:pt>
                <c:pt idx="65">
                  <c:v>61.848363134762344</c:v>
                </c:pt>
                <c:pt idx="66">
                  <c:v>62.464223210078124</c:v>
                </c:pt>
                <c:pt idx="67">
                  <c:v>63.052193894865034</c:v>
                </c:pt>
                <c:pt idx="68">
                  <c:v>63.613429976080518</c:v>
                </c:pt>
                <c:pt idx="69">
                  <c:v>64.149049208293803</c:v>
                </c:pt>
                <c:pt idx="70">
                  <c:v>64.660132342133409</c:v>
                </c:pt>
                <c:pt idx="71">
                  <c:v>65.1477233112617</c:v>
                </c:pt>
                <c:pt idx="72">
                  <c:v>65.612829556289029</c:v>
                </c:pt>
                <c:pt idx="73">
                  <c:v>66.056422466215508</c:v>
                </c:pt>
                <c:pt idx="74">
                  <c:v>66.479437919981393</c:v>
                </c:pt>
                <c:pt idx="75">
                  <c:v>66.882776912523809</c:v>
                </c:pt>
                <c:pt idx="76">
                  <c:v>67.267306251396121</c:v>
                </c:pt>
                <c:pt idx="77">
                  <c:v>67.633859311515522</c:v>
                </c:pt>
                <c:pt idx="78">
                  <c:v>67.983236836975379</c:v>
                </c:pt>
                <c:pt idx="79">
                  <c:v>68.31620778010398</c:v>
                </c:pt>
                <c:pt idx="80">
                  <c:v>68.633510169079727</c:v>
                </c:pt>
                <c:pt idx="81">
                  <c:v>68.935851996432177</c:v>
                </c:pt>
                <c:pt idx="82">
                  <c:v>69.223912121682673</c:v>
                </c:pt>
                <c:pt idx="83">
                  <c:v>69.498341182208435</c:v>
                </c:pt>
                <c:pt idx="84">
                  <c:v>69.759762507165135</c:v>
                </c:pt>
                <c:pt idx="85">
                  <c:v>70.00877302997668</c:v>
                </c:pt>
                <c:pt idx="86">
                  <c:v>70.245944195507406</c:v>
                </c:pt>
                <c:pt idx="87">
                  <c:v>70.47182285857366</c:v>
                </c:pt>
                <c:pt idx="88">
                  <c:v>70.686932170940281</c:v>
                </c:pt>
                <c:pt idx="89">
                  <c:v>70.891772454379947</c:v>
                </c:pt>
                <c:pt idx="90">
                  <c:v>71.086822057762902</c:v>
                </c:pt>
                <c:pt idx="91">
                  <c:v>71.272538196488398</c:v>
                </c:pt>
                <c:pt idx="92">
                  <c:v>71.449357772876965</c:v>
                </c:pt>
                <c:pt idx="93">
                  <c:v>71.617698176414194</c:v>
                </c:pt>
                <c:pt idx="94">
                  <c:v>71.777958062976836</c:v>
                </c:pt>
                <c:pt idx="95">
                  <c:v>71.930518112385414</c:v>
                </c:pt>
                <c:pt idx="96">
                  <c:v>72.07574176381226</c:v>
                </c:pt>
                <c:pt idx="97">
                  <c:v>72.213975928739387</c:v>
                </c:pt>
                <c:pt idx="98">
                  <c:v>72.345551681302851</c:v>
                </c:pt>
                <c:pt idx="99">
                  <c:v>72.470784925983338</c:v>
                </c:pt>
                <c:pt idx="100">
                  <c:v>72.589977042713372</c:v>
                </c:pt>
                <c:pt idx="101">
                  <c:v>72.70341550956141</c:v>
                </c:pt>
                <c:pt idx="102">
                  <c:v>72.811374503234504</c:v>
                </c:pt>
                <c:pt idx="103">
                  <c:v>72.914115477708094</c:v>
                </c:pt>
                <c:pt idx="104">
                  <c:v>73.011887721349098</c:v>
                </c:pt>
                <c:pt idx="105">
                  <c:v>73.104928892945281</c:v>
                </c:pt>
              </c:numCache>
            </c:numRef>
          </c:yVal>
          <c:smooth val="0"/>
          <c:extLst>
            <c:ext xmlns:c16="http://schemas.microsoft.com/office/drawing/2014/chart" uri="{C3380CC4-5D6E-409C-BE32-E72D297353CC}">
              <c16:uniqueId val="{00000000-C0CB-4CC2-9FC2-F76933CD5804}"/>
            </c:ext>
          </c:extLst>
        </c:ser>
        <c:ser>
          <c:idx val="0"/>
          <c:order val="1"/>
          <c:tx>
            <c:strRef>
              <c:f>'Figures 3-6'!$G$51</c:f>
              <c:strCache>
                <c:ptCount val="1"/>
                <c:pt idx="0">
                  <c:v>LOG</c:v>
                </c:pt>
              </c:strCache>
            </c:strRef>
          </c:tx>
          <c:spPr>
            <a:ln w="38100" cap="rnd">
              <a:solidFill>
                <a:srgbClr val="2171B5"/>
              </a:solidFill>
              <a:prstDash val="solid"/>
              <a:round/>
            </a:ln>
            <a:effectLst/>
          </c:spPr>
          <c:marker>
            <c:symbol val="none"/>
          </c:marker>
          <c:xVal>
            <c:numRef>
              <c:f>'Figures 3-6'!$H$49:$DS$49</c:f>
              <c:numCache>
                <c:formatCode>General</c:formatCode>
                <c:ptCount val="11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pt idx="66">
                  <c:v>41</c:v>
                </c:pt>
                <c:pt idx="67">
                  <c:v>42</c:v>
                </c:pt>
                <c:pt idx="68">
                  <c:v>43</c:v>
                </c:pt>
                <c:pt idx="69">
                  <c:v>44</c:v>
                </c:pt>
                <c:pt idx="70">
                  <c:v>45</c:v>
                </c:pt>
                <c:pt idx="71">
                  <c:v>46</c:v>
                </c:pt>
                <c:pt idx="72">
                  <c:v>47</c:v>
                </c:pt>
                <c:pt idx="73">
                  <c:v>48</c:v>
                </c:pt>
                <c:pt idx="74">
                  <c:v>49</c:v>
                </c:pt>
                <c:pt idx="75">
                  <c:v>50</c:v>
                </c:pt>
                <c:pt idx="76">
                  <c:v>51</c:v>
                </c:pt>
                <c:pt idx="77">
                  <c:v>52</c:v>
                </c:pt>
                <c:pt idx="78">
                  <c:v>53</c:v>
                </c:pt>
                <c:pt idx="79">
                  <c:v>54</c:v>
                </c:pt>
                <c:pt idx="80">
                  <c:v>55</c:v>
                </c:pt>
                <c:pt idx="81">
                  <c:v>56</c:v>
                </c:pt>
                <c:pt idx="82">
                  <c:v>57</c:v>
                </c:pt>
                <c:pt idx="83">
                  <c:v>58</c:v>
                </c:pt>
                <c:pt idx="84">
                  <c:v>59</c:v>
                </c:pt>
                <c:pt idx="85">
                  <c:v>60</c:v>
                </c:pt>
                <c:pt idx="86">
                  <c:v>61</c:v>
                </c:pt>
                <c:pt idx="87">
                  <c:v>62</c:v>
                </c:pt>
                <c:pt idx="88">
                  <c:v>63</c:v>
                </c:pt>
                <c:pt idx="89">
                  <c:v>64</c:v>
                </c:pt>
                <c:pt idx="90">
                  <c:v>65</c:v>
                </c:pt>
                <c:pt idx="91">
                  <c:v>66</c:v>
                </c:pt>
                <c:pt idx="92">
                  <c:v>67</c:v>
                </c:pt>
                <c:pt idx="93">
                  <c:v>68</c:v>
                </c:pt>
                <c:pt idx="94">
                  <c:v>69</c:v>
                </c:pt>
                <c:pt idx="95">
                  <c:v>70</c:v>
                </c:pt>
                <c:pt idx="96">
                  <c:v>71</c:v>
                </c:pt>
                <c:pt idx="97">
                  <c:v>72</c:v>
                </c:pt>
                <c:pt idx="98">
                  <c:v>73</c:v>
                </c:pt>
                <c:pt idx="99">
                  <c:v>74</c:v>
                </c:pt>
                <c:pt idx="100">
                  <c:v>75</c:v>
                </c:pt>
                <c:pt idx="101">
                  <c:v>76</c:v>
                </c:pt>
                <c:pt idx="102">
                  <c:v>77</c:v>
                </c:pt>
                <c:pt idx="103">
                  <c:v>78</c:v>
                </c:pt>
                <c:pt idx="104">
                  <c:v>79</c:v>
                </c:pt>
                <c:pt idx="105">
                  <c:v>80</c:v>
                </c:pt>
              </c:numCache>
            </c:numRef>
          </c:xVal>
          <c:yVal>
            <c:numRef>
              <c:f>'Figures 3-6'!$H$51:$DS$51</c:f>
              <c:numCache>
                <c:formatCode>#,##0.0</c:formatCode>
                <c:ptCount val="116"/>
                <c:pt idx="26">
                  <c:v>1.3801503036642727E-2</c:v>
                </c:pt>
                <c:pt idx="27">
                  <c:v>0.10250810373022921</c:v>
                </c:pt>
                <c:pt idx="28">
                  <c:v>0.32140060564134304</c:v>
                </c:pt>
                <c:pt idx="29">
                  <c:v>0.70819088008020181</c:v>
                </c:pt>
                <c:pt idx="30">
                  <c:v>1.2865903014343147</c:v>
                </c:pt>
                <c:pt idx="31">
                  <c:v>2.0692648651289542</c:v>
                </c:pt>
                <c:pt idx="32">
                  <c:v>3.0602740346849182</c:v>
                </c:pt>
                <c:pt idx="33">
                  <c:v>4.2570757029793187</c:v>
                </c:pt>
                <c:pt idx="34">
                  <c:v>5.6521671458405169</c:v>
                </c:pt>
                <c:pt idx="35">
                  <c:v>7.2344211823897746</c:v>
                </c:pt>
                <c:pt idx="36">
                  <c:v>8.9901676693851371</c:v>
                </c:pt>
                <c:pt idx="37">
                  <c:v>10.904062717666822</c:v>
                </c:pt>
                <c:pt idx="38">
                  <c:v>12.959781431811036</c:v>
                </c:pt>
                <c:pt idx="39">
                  <c:v>15.140564371508987</c:v>
                </c:pt>
                <c:pt idx="40">
                  <c:v>17.4296431713258</c:v>
                </c:pt>
                <c:pt idx="41">
                  <c:v>19.810566711342741</c:v>
                </c:pt>
                <c:pt idx="42">
                  <c:v>22.267445799447479</c:v>
                </c:pt>
                <c:pt idx="43">
                  <c:v>24.785131416603353</c:v>
                </c:pt>
                <c:pt idx="44">
                  <c:v>27.349339112214277</c:v>
                </c:pt>
                <c:pt idx="45">
                  <c:v>29.946730051786854</c:v>
                </c:pt>
                <c:pt idx="46">
                  <c:v>32.564957457117195</c:v>
                </c:pt>
                <c:pt idx="47">
                  <c:v>35.192685692036868</c:v>
                </c:pt>
                <c:pt idx="48">
                  <c:v>37.819587993197999</c:v>
                </c:pt>
                <c:pt idx="49">
                  <c:v>40.436327790332221</c:v>
                </c:pt>
                <c:pt idx="50">
                  <c:v>43.034527673896086</c:v>
                </c:pt>
                <c:pt idx="51">
                  <c:v>45.606729324439719</c:v>
                </c:pt>
                <c:pt idx="52">
                  <c:v>48.146347095592041</c:v>
                </c:pt>
                <c:pt idx="53">
                  <c:v>50.647617422659295</c:v>
                </c:pt>
                <c:pt idx="54">
                  <c:v>53.105545795652432</c:v>
                </c:pt>
                <c:pt idx="55">
                  <c:v>55.515852675616792</c:v>
                </c:pt>
                <c:pt idx="56">
                  <c:v>57.874919434974622</c:v>
                </c:pt>
                <c:pt idx="57">
                  <c:v>60.179735156461923</c:v>
                </c:pt>
                <c:pt idx="58">
                  <c:v>62.427844922873923</c:v>
                </c:pt>
                <c:pt idx="59">
                  <c:v>64.617300064203548</c:v>
                </c:pt>
                <c:pt idx="60">
                  <c:v>66.746610693912174</c:v>
                </c:pt>
                <c:pt idx="61">
                  <c:v>68.814700756968321</c:v>
                </c:pt>
                <c:pt idx="62">
                  <c:v>70.820865724660678</c:v>
                </c:pt>
                <c:pt idx="63">
                  <c:v>72.764733001429349</c:v>
                </c:pt>
                <c:pt idx="64">
                  <c:v>74.646225054022594</c:v>
                </c:pt>
                <c:pt idx="65">
                  <c:v>76.465525230604669</c:v>
                </c:pt>
                <c:pt idx="66">
                  <c:v>78.22304620485869</c:v>
                </c:pt>
                <c:pt idx="67">
                  <c:v>79.919400955828209</c:v>
                </c:pt>
                <c:pt idx="68">
                  <c:v>81.555376176702282</c:v>
                </c:pt>
                <c:pt idx="69">
                  <c:v>83.131907993694981</c:v>
                </c:pt>
                <c:pt idx="70">
                  <c:v>84.650059868539287</c:v>
                </c:pt>
                <c:pt idx="71">
                  <c:v>86.111002554017915</c:v>
                </c:pt>
                <c:pt idx="72">
                  <c:v>87.515995970655169</c:v>
                </c:pt>
                <c:pt idx="73">
                  <c:v>88.866372873580801</c:v>
                </c:pt>
                <c:pt idx="74">
                  <c:v>90.163524181150464</c:v>
                </c:pt>
                <c:pt idx="75">
                  <c:v>91.408885840746265</c:v>
                </c:pt>
                <c:pt idx="76">
                  <c:v>92.603927111953922</c:v>
                </c:pt>
                <c:pt idx="77">
                  <c:v>93.750140152737799</c:v>
                </c:pt>
                <c:pt idx="78">
                  <c:v>94.849030800092564</c:v>
                </c:pt>
                <c:pt idx="79">
                  <c:v>95.902110442760019</c:v>
                </c:pt>
                <c:pt idx="80">
                  <c:v>96.910888889817528</c:v>
                </c:pt>
                <c:pt idx="81">
                  <c:v>97.876868145162788</c:v>
                </c:pt>
                <c:pt idx="82">
                  <c:v>98.801537004046068</c:v>
                </c:pt>
                <c:pt idx="83">
                  <c:v>99.686366393772815</c:v>
                </c:pt>
                <c:pt idx="84">
                  <c:v>100.5328053864676</c:v>
                </c:pt>
                <c:pt idx="85">
                  <c:v>101.34227781731518</c:v>
                </c:pt>
                <c:pt idx="86">
                  <c:v>102.11617944695877</c:v>
                </c:pt>
                <c:pt idx="87">
                  <c:v>102.85587561171667</c:v>
                </c:pt>
                <c:pt idx="88">
                  <c:v>103.56269930997377</c:v>
                </c:pt>
                <c:pt idx="89">
                  <c:v>104.23794967751182</c:v>
                </c:pt>
                <c:pt idx="90">
                  <c:v>104.88289080865843</c:v>
                </c:pt>
                <c:pt idx="91">
                  <c:v>105.49875088397421</c:v>
                </c:pt>
                <c:pt idx="92">
                  <c:v>106.08672156876112</c:v>
                </c:pt>
                <c:pt idx="93">
                  <c:v>106.6479576499766</c:v>
                </c:pt>
                <c:pt idx="94">
                  <c:v>107.18357688218988</c:v>
                </c:pt>
                <c:pt idx="95">
                  <c:v>107.69466001602949</c:v>
                </c:pt>
                <c:pt idx="96">
                  <c:v>108.18225098515779</c:v>
                </c:pt>
                <c:pt idx="97">
                  <c:v>108.64735723018511</c:v>
                </c:pt>
                <c:pt idx="98">
                  <c:v>109.0909501401116</c:v>
                </c:pt>
                <c:pt idx="99">
                  <c:v>109.51396559387747</c:v>
                </c:pt>
                <c:pt idx="100">
                  <c:v>109.91730458641989</c:v>
                </c:pt>
                <c:pt idx="101">
                  <c:v>110.3018339252922</c:v>
                </c:pt>
                <c:pt idx="102">
                  <c:v>110.6683869854116</c:v>
                </c:pt>
                <c:pt idx="103">
                  <c:v>111.01776451087146</c:v>
                </c:pt>
                <c:pt idx="104">
                  <c:v>111.35073545400006</c:v>
                </c:pt>
                <c:pt idx="105">
                  <c:v>111.66803784297581</c:v>
                </c:pt>
              </c:numCache>
            </c:numRef>
          </c:yVal>
          <c:smooth val="0"/>
          <c:extLst>
            <c:ext xmlns:c16="http://schemas.microsoft.com/office/drawing/2014/chart" uri="{C3380CC4-5D6E-409C-BE32-E72D297353CC}">
              <c16:uniqueId val="{00000001-C0CB-4CC2-9FC2-F76933CD5804}"/>
            </c:ext>
          </c:extLst>
        </c:ser>
        <c:ser>
          <c:idx val="1"/>
          <c:order val="2"/>
          <c:tx>
            <c:strRef>
              <c:f>'Figures 3-6'!$G$52</c:f>
              <c:strCache>
                <c:ptCount val="1"/>
                <c:pt idx="0">
                  <c:v>LOG-REF</c:v>
                </c:pt>
              </c:strCache>
            </c:strRef>
          </c:tx>
          <c:spPr>
            <a:ln w="15875" cap="rnd">
              <a:solidFill>
                <a:srgbClr val="E31A1C"/>
              </a:solidFill>
              <a:round/>
            </a:ln>
            <a:effectLst/>
          </c:spPr>
          <c:marker>
            <c:symbol val="none"/>
          </c:marker>
          <c:xVal>
            <c:numRef>
              <c:f>'Figures 3-6'!$H$49:$DS$49</c:f>
              <c:numCache>
                <c:formatCode>General</c:formatCode>
                <c:ptCount val="11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pt idx="66">
                  <c:v>41</c:v>
                </c:pt>
                <c:pt idx="67">
                  <c:v>42</c:v>
                </c:pt>
                <c:pt idx="68">
                  <c:v>43</c:v>
                </c:pt>
                <c:pt idx="69">
                  <c:v>44</c:v>
                </c:pt>
                <c:pt idx="70">
                  <c:v>45</c:v>
                </c:pt>
                <c:pt idx="71">
                  <c:v>46</c:v>
                </c:pt>
                <c:pt idx="72">
                  <c:v>47</c:v>
                </c:pt>
                <c:pt idx="73">
                  <c:v>48</c:v>
                </c:pt>
                <c:pt idx="74">
                  <c:v>49</c:v>
                </c:pt>
                <c:pt idx="75">
                  <c:v>50</c:v>
                </c:pt>
                <c:pt idx="76">
                  <c:v>51</c:v>
                </c:pt>
                <c:pt idx="77">
                  <c:v>52</c:v>
                </c:pt>
                <c:pt idx="78">
                  <c:v>53</c:v>
                </c:pt>
                <c:pt idx="79">
                  <c:v>54</c:v>
                </c:pt>
                <c:pt idx="80">
                  <c:v>55</c:v>
                </c:pt>
                <c:pt idx="81">
                  <c:v>56</c:v>
                </c:pt>
                <c:pt idx="82">
                  <c:v>57</c:v>
                </c:pt>
                <c:pt idx="83">
                  <c:v>58</c:v>
                </c:pt>
                <c:pt idx="84">
                  <c:v>59</c:v>
                </c:pt>
                <c:pt idx="85">
                  <c:v>60</c:v>
                </c:pt>
                <c:pt idx="86">
                  <c:v>61</c:v>
                </c:pt>
                <c:pt idx="87">
                  <c:v>62</c:v>
                </c:pt>
                <c:pt idx="88">
                  <c:v>63</c:v>
                </c:pt>
                <c:pt idx="89">
                  <c:v>64</c:v>
                </c:pt>
                <c:pt idx="90">
                  <c:v>65</c:v>
                </c:pt>
                <c:pt idx="91">
                  <c:v>66</c:v>
                </c:pt>
                <c:pt idx="92">
                  <c:v>67</c:v>
                </c:pt>
                <c:pt idx="93">
                  <c:v>68</c:v>
                </c:pt>
                <c:pt idx="94">
                  <c:v>69</c:v>
                </c:pt>
                <c:pt idx="95">
                  <c:v>70</c:v>
                </c:pt>
                <c:pt idx="96">
                  <c:v>71</c:v>
                </c:pt>
                <c:pt idx="97">
                  <c:v>72</c:v>
                </c:pt>
                <c:pt idx="98">
                  <c:v>73</c:v>
                </c:pt>
                <c:pt idx="99">
                  <c:v>74</c:v>
                </c:pt>
                <c:pt idx="100">
                  <c:v>75</c:v>
                </c:pt>
                <c:pt idx="101">
                  <c:v>76</c:v>
                </c:pt>
                <c:pt idx="102">
                  <c:v>77</c:v>
                </c:pt>
                <c:pt idx="103">
                  <c:v>78</c:v>
                </c:pt>
                <c:pt idx="104">
                  <c:v>79</c:v>
                </c:pt>
                <c:pt idx="105">
                  <c:v>80</c:v>
                </c:pt>
              </c:numCache>
            </c:numRef>
          </c:xVal>
          <c:yVal>
            <c:numRef>
              <c:f>'Figures 3-6'!$H$52:$DS$52</c:f>
              <c:numCache>
                <c:formatCode>#,##0.0</c:formatCode>
                <c:ptCount val="116"/>
                <c:pt idx="26">
                  <c:v>-2.5584001475069904</c:v>
                </c:pt>
                <c:pt idx="27">
                  <c:v>-5.009311317965726</c:v>
                </c:pt>
                <c:pt idx="28">
                  <c:v>-7.2916891431218653</c:v>
                </c:pt>
                <c:pt idx="29">
                  <c:v>-9.3628272416761433</c:v>
                </c:pt>
                <c:pt idx="30">
                  <c:v>-11.194734700286391</c:v>
                </c:pt>
                <c:pt idx="31">
                  <c:v>-12.771126895949582</c:v>
                </c:pt>
                <c:pt idx="32">
                  <c:v>-14.084933447880919</c:v>
                </c:pt>
                <c:pt idx="33">
                  <c:v>-15.136241545998519</c:v>
                </c:pt>
                <c:pt idx="34">
                  <c:v>-15.930605244466944</c:v>
                </c:pt>
                <c:pt idx="35">
                  <c:v>-16.477661837626314</c:v>
                </c:pt>
                <c:pt idx="36">
                  <c:v>-16.790005413687098</c:v>
                </c:pt>
                <c:pt idx="37">
                  <c:v>-16.88227533309777</c:v>
                </c:pt>
                <c:pt idx="38">
                  <c:v>-16.770423895722224</c:v>
                </c:pt>
                <c:pt idx="39">
                  <c:v>-16.471133008617521</c:v>
                </c:pt>
                <c:pt idx="40">
                  <c:v>-16.001354385382783</c:v>
                </c:pt>
                <c:pt idx="41">
                  <c:v>-15.377951819619863</c:v>
                </c:pt>
                <c:pt idx="42">
                  <c:v>-14.617427482484644</c:v>
                </c:pt>
                <c:pt idx="43">
                  <c:v>-13.735717086202843</c:v>
                </c:pt>
                <c:pt idx="44">
                  <c:v>-12.748041207584617</c:v>
                </c:pt>
                <c:pt idx="45">
                  <c:v>-11.668802142856347</c:v>
                </c:pt>
                <c:pt idx="46">
                  <c:v>-10.511517423004634</c:v>
                </c:pt>
                <c:pt idx="47">
                  <c:v>-9.2887826047222148</c:v>
                </c:pt>
                <c:pt idx="48">
                  <c:v>-8.0122572064867157</c:v>
                </c:pt>
                <c:pt idx="49">
                  <c:v>-6.6926687169221566</c:v>
                </c:pt>
                <c:pt idx="50">
                  <c:v>-5.3398304929540927</c:v>
                </c:pt>
                <c:pt idx="51">
                  <c:v>-3.9626701136181168</c:v>
                </c:pt>
                <c:pt idx="52">
                  <c:v>-2.5692653832496717</c:v>
                </c:pt>
                <c:pt idx="53">
                  <c:v>-1.1668857035371829</c:v>
                </c:pt>
                <c:pt idx="54">
                  <c:v>0.23796302678849912</c:v>
                </c:pt>
                <c:pt idx="55">
                  <c:v>1.6394914596953498</c:v>
                </c:pt>
                <c:pt idx="56">
                  <c:v>3.0325789637079197</c:v>
                </c:pt>
                <c:pt idx="57">
                  <c:v>4.4127258263119415</c:v>
                </c:pt>
                <c:pt idx="58">
                  <c:v>5.7760062029971948</c:v>
                </c:pt>
                <c:pt idx="59">
                  <c:v>7.119022351632033</c:v>
                </c:pt>
                <c:pt idx="60">
                  <c:v>8.4388605504930823</c:v>
                </c:pt>
                <c:pt idx="61">
                  <c:v>9.7330489839056398</c:v>
                </c:pt>
                <c:pt idx="62">
                  <c:v>10.999517786840094</c:v>
                </c:pt>
                <c:pt idx="63">
                  <c:v>12.236561365351669</c:v>
                </c:pt>
                <c:pt idx="64">
                  <c:v>13.442803050406859</c:v>
                </c:pt>
                <c:pt idx="65">
                  <c:v>14.617162095842325</c:v>
                </c:pt>
                <c:pt idx="66">
                  <c:v>15.758822994780566</c:v>
                </c:pt>
                <c:pt idx="67">
                  <c:v>16.867207060963175</c:v>
                </c:pt>
                <c:pt idx="68">
                  <c:v>17.941946200621764</c:v>
                </c:pt>
                <c:pt idx="69">
                  <c:v>18.982858785401177</c:v>
                </c:pt>
                <c:pt idx="70">
                  <c:v>19.989927526405879</c:v>
                </c:pt>
                <c:pt idx="71">
                  <c:v>20.963279242756215</c:v>
                </c:pt>
                <c:pt idx="72">
                  <c:v>21.90316641436614</c:v>
                </c:pt>
                <c:pt idx="73">
                  <c:v>22.809950407365292</c:v>
                </c:pt>
                <c:pt idx="74">
                  <c:v>23.684086261169071</c:v>
                </c:pt>
                <c:pt idx="75">
                  <c:v>24.526108928222456</c:v>
                </c:pt>
                <c:pt idx="76">
                  <c:v>25.336620860557801</c:v>
                </c:pt>
                <c:pt idx="77">
                  <c:v>26.116280841222277</c:v>
                </c:pt>
                <c:pt idx="78">
                  <c:v>26.865793963117184</c:v>
                </c:pt>
                <c:pt idx="79">
                  <c:v>27.585902662656039</c:v>
                </c:pt>
                <c:pt idx="80">
                  <c:v>28.277378720737801</c:v>
                </c:pt>
                <c:pt idx="81">
                  <c:v>28.941016148730611</c:v>
                </c:pt>
                <c:pt idx="82">
                  <c:v>29.577624882363395</c:v>
                </c:pt>
                <c:pt idx="83">
                  <c:v>30.18802521156438</c:v>
                </c:pt>
                <c:pt idx="84">
                  <c:v>30.773042879302466</c:v>
                </c:pt>
                <c:pt idx="85">
                  <c:v>31.333504787338498</c:v>
                </c:pt>
                <c:pt idx="86">
                  <c:v>31.870235251451362</c:v>
                </c:pt>
                <c:pt idx="87">
                  <c:v>32.38405275314301</c:v>
                </c:pt>
                <c:pt idx="88">
                  <c:v>32.875767139033485</c:v>
                </c:pt>
                <c:pt idx="89">
                  <c:v>33.346177223131875</c:v>
                </c:pt>
                <c:pt idx="90">
                  <c:v>33.796068750895529</c:v>
                </c:pt>
                <c:pt idx="91">
                  <c:v>34.226212687485813</c:v>
                </c:pt>
                <c:pt idx="92">
                  <c:v>34.637363795884156</c:v>
                </c:pt>
                <c:pt idx="93">
                  <c:v>35.03025947356241</c:v>
                </c:pt>
                <c:pt idx="94">
                  <c:v>35.405618819213046</c:v>
                </c:pt>
                <c:pt idx="95">
                  <c:v>35.764141903644074</c:v>
                </c:pt>
                <c:pt idx="96">
                  <c:v>36.106509221345533</c:v>
                </c:pt>
                <c:pt idx="97">
                  <c:v>36.433381301445721</c:v>
                </c:pt>
                <c:pt idx="98">
                  <c:v>36.745398458808751</c:v>
                </c:pt>
                <c:pt idx="99">
                  <c:v>37.043180667894134</c:v>
                </c:pt>
                <c:pt idx="100">
                  <c:v>37.327327543706517</c:v>
                </c:pt>
                <c:pt idx="101">
                  <c:v>37.598418415730791</c:v>
                </c:pt>
                <c:pt idx="102">
                  <c:v>37.857012482177097</c:v>
                </c:pt>
                <c:pt idx="103">
                  <c:v>38.103649033163364</c:v>
                </c:pt>
                <c:pt idx="104">
                  <c:v>38.338847732650962</c:v>
                </c:pt>
                <c:pt idx="105">
                  <c:v>38.563108950030525</c:v>
                </c:pt>
              </c:numCache>
            </c:numRef>
          </c:yVal>
          <c:smooth val="0"/>
          <c:extLst>
            <c:ext xmlns:c16="http://schemas.microsoft.com/office/drawing/2014/chart" uri="{C3380CC4-5D6E-409C-BE32-E72D297353CC}">
              <c16:uniqueId val="{00000002-C0CB-4CC2-9FC2-F76933CD5804}"/>
            </c:ext>
          </c:extLst>
        </c:ser>
        <c:dLbls>
          <c:showLegendKey val="0"/>
          <c:showVal val="0"/>
          <c:showCatName val="0"/>
          <c:showSerName val="0"/>
          <c:showPercent val="0"/>
          <c:showBubbleSize val="0"/>
        </c:dLbls>
        <c:axId val="571412608"/>
        <c:axId val="917020512"/>
      </c:scatterChart>
      <c:valAx>
        <c:axId val="571412608"/>
        <c:scaling>
          <c:orientation val="minMax"/>
          <c:max val="80"/>
          <c:min val="-3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chemeClr val="tx1"/>
                    </a:solidFill>
                  </a:rPr>
                  <a:t>model year</a:t>
                </a:r>
              </a:p>
            </c:rich>
          </c:tx>
          <c:layout>
            <c:manualLayout>
              <c:xMode val="edge"/>
              <c:yMode val="edge"/>
              <c:x val="0.29120253603862578"/>
              <c:y val="0.92010004372595366"/>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cross"/>
        <c:minorTickMark val="cross"/>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917020512"/>
        <c:crossesAt val="0"/>
        <c:crossBetween val="midCat"/>
        <c:majorUnit val="10"/>
        <c:minorUnit val="5"/>
      </c:valAx>
      <c:valAx>
        <c:axId val="917020512"/>
        <c:scaling>
          <c:orientation val="minMax"/>
          <c:max val="120"/>
          <c:min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chemeClr val="tx1"/>
                    </a:solidFill>
                  </a:rPr>
                  <a:t>new</a:t>
                </a:r>
                <a:r>
                  <a:rPr lang="en-US" sz="900" b="1" baseline="0">
                    <a:solidFill>
                      <a:schemeClr val="tx1"/>
                    </a:solidFill>
                  </a:rPr>
                  <a:t> stock</a:t>
                </a:r>
                <a:r>
                  <a:rPr lang="en-US" sz="900" b="1">
                    <a:solidFill>
                      <a:schemeClr val="tx1"/>
                    </a:solidFill>
                  </a:rPr>
                  <a:t>,</a:t>
                </a:r>
                <a:r>
                  <a:rPr lang="en-US" sz="900" b="1" baseline="0">
                    <a:solidFill>
                      <a:schemeClr val="tx1"/>
                    </a:solidFill>
                  </a:rPr>
                  <a:t> MgC/ha</a:t>
                </a:r>
                <a:endParaRPr lang="en-US" sz="900" b="1">
                  <a:solidFill>
                    <a:schemeClr val="tx1"/>
                  </a:solidFill>
                </a:endParaRPr>
              </a:p>
            </c:rich>
          </c:tx>
          <c:layout>
            <c:manualLayout>
              <c:xMode val="edge"/>
              <c:yMode val="edge"/>
              <c:x val="5.1452033713284885E-4"/>
              <c:y val="0.15846269216347955"/>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571412608"/>
        <c:crossesAt val="0"/>
        <c:crossBetween val="midCat"/>
      </c:val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951236338177153E-2"/>
          <c:y val="4.6681664791901022E-2"/>
          <c:w val="0.82489312277980853"/>
          <c:h val="0.77293588301462324"/>
        </c:manualLayout>
      </c:layout>
      <c:scatterChart>
        <c:scatterStyle val="lineMarker"/>
        <c:varyColors val="0"/>
        <c:ser>
          <c:idx val="5"/>
          <c:order val="0"/>
          <c:tx>
            <c:strRef>
              <c:f>'Figures 3-6'!$G$26</c:f>
              <c:strCache>
                <c:ptCount val="1"/>
                <c:pt idx="0">
                  <c:v>REF</c:v>
                </c:pt>
              </c:strCache>
            </c:strRef>
          </c:tx>
          <c:spPr>
            <a:ln w="38100" cap="rnd">
              <a:solidFill>
                <a:srgbClr val="A1D99B"/>
              </a:solidFill>
              <a:round/>
            </a:ln>
            <a:effectLst/>
          </c:spPr>
          <c:marker>
            <c:symbol val="none"/>
          </c:marker>
          <c:xVal>
            <c:numRef>
              <c:f>'Figures 3-6'!$H$25:$DS$25</c:f>
              <c:numCache>
                <c:formatCode>General</c:formatCode>
                <c:ptCount val="11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pt idx="66">
                  <c:v>41</c:v>
                </c:pt>
                <c:pt idx="67">
                  <c:v>42</c:v>
                </c:pt>
                <c:pt idx="68">
                  <c:v>43</c:v>
                </c:pt>
                <c:pt idx="69">
                  <c:v>44</c:v>
                </c:pt>
                <c:pt idx="70">
                  <c:v>45</c:v>
                </c:pt>
                <c:pt idx="71">
                  <c:v>46</c:v>
                </c:pt>
                <c:pt idx="72">
                  <c:v>47</c:v>
                </c:pt>
                <c:pt idx="73">
                  <c:v>48</c:v>
                </c:pt>
                <c:pt idx="74">
                  <c:v>49</c:v>
                </c:pt>
                <c:pt idx="75">
                  <c:v>50</c:v>
                </c:pt>
                <c:pt idx="76">
                  <c:v>51</c:v>
                </c:pt>
                <c:pt idx="77">
                  <c:v>52</c:v>
                </c:pt>
                <c:pt idx="78">
                  <c:v>53</c:v>
                </c:pt>
                <c:pt idx="79">
                  <c:v>54</c:v>
                </c:pt>
                <c:pt idx="80">
                  <c:v>55</c:v>
                </c:pt>
                <c:pt idx="81">
                  <c:v>56</c:v>
                </c:pt>
                <c:pt idx="82">
                  <c:v>57</c:v>
                </c:pt>
                <c:pt idx="83">
                  <c:v>58</c:v>
                </c:pt>
                <c:pt idx="84">
                  <c:v>59</c:v>
                </c:pt>
                <c:pt idx="85">
                  <c:v>60</c:v>
                </c:pt>
                <c:pt idx="86">
                  <c:v>61</c:v>
                </c:pt>
                <c:pt idx="87">
                  <c:v>62</c:v>
                </c:pt>
                <c:pt idx="88">
                  <c:v>63</c:v>
                </c:pt>
                <c:pt idx="89">
                  <c:v>64</c:v>
                </c:pt>
                <c:pt idx="90">
                  <c:v>65</c:v>
                </c:pt>
                <c:pt idx="91">
                  <c:v>66</c:v>
                </c:pt>
                <c:pt idx="92">
                  <c:v>67</c:v>
                </c:pt>
                <c:pt idx="93">
                  <c:v>68</c:v>
                </c:pt>
                <c:pt idx="94">
                  <c:v>69</c:v>
                </c:pt>
                <c:pt idx="95">
                  <c:v>70</c:v>
                </c:pt>
                <c:pt idx="96">
                  <c:v>71</c:v>
                </c:pt>
                <c:pt idx="97">
                  <c:v>72</c:v>
                </c:pt>
                <c:pt idx="98">
                  <c:v>73</c:v>
                </c:pt>
                <c:pt idx="99">
                  <c:v>74</c:v>
                </c:pt>
                <c:pt idx="100">
                  <c:v>75</c:v>
                </c:pt>
                <c:pt idx="101">
                  <c:v>76</c:v>
                </c:pt>
                <c:pt idx="102">
                  <c:v>77</c:v>
                </c:pt>
                <c:pt idx="103">
                  <c:v>78</c:v>
                </c:pt>
                <c:pt idx="104">
                  <c:v>79</c:v>
                </c:pt>
                <c:pt idx="105">
                  <c:v>80</c:v>
                </c:pt>
              </c:numCache>
            </c:numRef>
          </c:xVal>
          <c:yVal>
            <c:numRef>
              <c:f>'Figures 3-6'!$H$26:$DS$26</c:f>
              <c:numCache>
                <c:formatCode>#,##0.0</c:formatCode>
                <c:ptCount val="116"/>
                <c:pt idx="0">
                  <c:v>0</c:v>
                </c:pt>
                <c:pt idx="1">
                  <c:v>1.3801503036642727E-2</c:v>
                </c:pt>
                <c:pt idx="2">
                  <c:v>0.10250810373022921</c:v>
                </c:pt>
                <c:pt idx="3">
                  <c:v>0.32140060564134304</c:v>
                </c:pt>
                <c:pt idx="4">
                  <c:v>0.70819088008020181</c:v>
                </c:pt>
                <c:pt idx="5">
                  <c:v>1.2865903014343147</c:v>
                </c:pt>
                <c:pt idx="6">
                  <c:v>2.0692648651289542</c:v>
                </c:pt>
                <c:pt idx="7">
                  <c:v>3.0602740346849182</c:v>
                </c:pt>
                <c:pt idx="8">
                  <c:v>4.2570757029793187</c:v>
                </c:pt>
                <c:pt idx="9">
                  <c:v>5.6521671458405169</c:v>
                </c:pt>
                <c:pt idx="10">
                  <c:v>7.2344211823897746</c:v>
                </c:pt>
                <c:pt idx="11">
                  <c:v>8.9901676693851371</c:v>
                </c:pt>
                <c:pt idx="12">
                  <c:v>10.904062717666822</c:v>
                </c:pt>
                <c:pt idx="13">
                  <c:v>12.959781431811036</c:v>
                </c:pt>
                <c:pt idx="14">
                  <c:v>15.140564371508987</c:v>
                </c:pt>
                <c:pt idx="15">
                  <c:v>17.4296431713258</c:v>
                </c:pt>
                <c:pt idx="16">
                  <c:v>19.810566711342741</c:v>
                </c:pt>
                <c:pt idx="17">
                  <c:v>22.267445799447479</c:v>
                </c:pt>
                <c:pt idx="18">
                  <c:v>24.785131416603353</c:v>
                </c:pt>
                <c:pt idx="19">
                  <c:v>27.349339112214277</c:v>
                </c:pt>
                <c:pt idx="20">
                  <c:v>29.946730051786854</c:v>
                </c:pt>
                <c:pt idx="21">
                  <c:v>32.564957457117195</c:v>
                </c:pt>
                <c:pt idx="22">
                  <c:v>35.192685692036868</c:v>
                </c:pt>
                <c:pt idx="23">
                  <c:v>37.819587993197999</c:v>
                </c:pt>
                <c:pt idx="24">
                  <c:v>40.436327790332221</c:v>
                </c:pt>
                <c:pt idx="25">
                  <c:v>43.034527673896086</c:v>
                </c:pt>
                <c:pt idx="26">
                  <c:v>45.606729324439719</c:v>
                </c:pt>
                <c:pt idx="27">
                  <c:v>48.146347095592041</c:v>
                </c:pt>
                <c:pt idx="28">
                  <c:v>50.647617422659295</c:v>
                </c:pt>
                <c:pt idx="29">
                  <c:v>53.105545795652432</c:v>
                </c:pt>
                <c:pt idx="30">
                  <c:v>55.515852675616792</c:v>
                </c:pt>
                <c:pt idx="31">
                  <c:v>57.874919434974622</c:v>
                </c:pt>
                <c:pt idx="32">
                  <c:v>60.179735156461923</c:v>
                </c:pt>
                <c:pt idx="33">
                  <c:v>62.427844922873923</c:v>
                </c:pt>
                <c:pt idx="34">
                  <c:v>64.617300064203548</c:v>
                </c:pt>
                <c:pt idx="35">
                  <c:v>66.746610693912174</c:v>
                </c:pt>
                <c:pt idx="36">
                  <c:v>68.814700756968321</c:v>
                </c:pt>
                <c:pt idx="37">
                  <c:v>70.820865724660678</c:v>
                </c:pt>
                <c:pt idx="38">
                  <c:v>72.764733001429349</c:v>
                </c:pt>
                <c:pt idx="39">
                  <c:v>74.646225054022594</c:v>
                </c:pt>
                <c:pt idx="40">
                  <c:v>76.465525230604669</c:v>
                </c:pt>
                <c:pt idx="41">
                  <c:v>78.22304620485869</c:v>
                </c:pt>
                <c:pt idx="42">
                  <c:v>79.919400955828209</c:v>
                </c:pt>
                <c:pt idx="43">
                  <c:v>81.555376176702282</c:v>
                </c:pt>
                <c:pt idx="44">
                  <c:v>83.131907993694981</c:v>
                </c:pt>
                <c:pt idx="45">
                  <c:v>84.650059868539287</c:v>
                </c:pt>
                <c:pt idx="46">
                  <c:v>86.111002554017915</c:v>
                </c:pt>
                <c:pt idx="47">
                  <c:v>87.515995970655169</c:v>
                </c:pt>
                <c:pt idx="48">
                  <c:v>88.866372873580801</c:v>
                </c:pt>
                <c:pt idx="49">
                  <c:v>90.163524181150464</c:v>
                </c:pt>
                <c:pt idx="50">
                  <c:v>91.408885840746265</c:v>
                </c:pt>
                <c:pt idx="51">
                  <c:v>92.603927111953922</c:v>
                </c:pt>
                <c:pt idx="52">
                  <c:v>93.750140152737799</c:v>
                </c:pt>
                <c:pt idx="53">
                  <c:v>94.849030800092564</c:v>
                </c:pt>
                <c:pt idx="54">
                  <c:v>95.902110442760019</c:v>
                </c:pt>
                <c:pt idx="55">
                  <c:v>96.910888889817528</c:v>
                </c:pt>
                <c:pt idx="56">
                  <c:v>97.876868145162788</c:v>
                </c:pt>
                <c:pt idx="57">
                  <c:v>98.801537004046068</c:v>
                </c:pt>
                <c:pt idx="58">
                  <c:v>99.686366393772815</c:v>
                </c:pt>
                <c:pt idx="59">
                  <c:v>100.5328053864676</c:v>
                </c:pt>
                <c:pt idx="60">
                  <c:v>101.34227781731518</c:v>
                </c:pt>
                <c:pt idx="61">
                  <c:v>102.11617944695877</c:v>
                </c:pt>
                <c:pt idx="62">
                  <c:v>102.85587561171667</c:v>
                </c:pt>
                <c:pt idx="63">
                  <c:v>103.56269930997377</c:v>
                </c:pt>
                <c:pt idx="64">
                  <c:v>104.23794967751182</c:v>
                </c:pt>
                <c:pt idx="65">
                  <c:v>104.88289080865843</c:v>
                </c:pt>
                <c:pt idx="66">
                  <c:v>105.49875088397421</c:v>
                </c:pt>
                <c:pt idx="67">
                  <c:v>106.08672156876112</c:v>
                </c:pt>
                <c:pt idx="68">
                  <c:v>106.6479576499766</c:v>
                </c:pt>
                <c:pt idx="69">
                  <c:v>107.18357688218988</c:v>
                </c:pt>
                <c:pt idx="70">
                  <c:v>107.69466001602949</c:v>
                </c:pt>
                <c:pt idx="71">
                  <c:v>108.18225098515779</c:v>
                </c:pt>
                <c:pt idx="72">
                  <c:v>108.64735723018511</c:v>
                </c:pt>
                <c:pt idx="73">
                  <c:v>109.0909501401116</c:v>
                </c:pt>
                <c:pt idx="74">
                  <c:v>109.51396559387747</c:v>
                </c:pt>
                <c:pt idx="75">
                  <c:v>109.91730458641989</c:v>
                </c:pt>
                <c:pt idx="76">
                  <c:v>110.3018339252922</c:v>
                </c:pt>
                <c:pt idx="77">
                  <c:v>110.6683869854116</c:v>
                </c:pt>
                <c:pt idx="78">
                  <c:v>111.01776451087146</c:v>
                </c:pt>
                <c:pt idx="79">
                  <c:v>111.35073545400006</c:v>
                </c:pt>
                <c:pt idx="80">
                  <c:v>111.66803784297581</c:v>
                </c:pt>
                <c:pt idx="81">
                  <c:v>111.97037967032826</c:v>
                </c:pt>
                <c:pt idx="82">
                  <c:v>112.25843979557877</c:v>
                </c:pt>
                <c:pt idx="83">
                  <c:v>112.53286885610451</c:v>
                </c:pt>
                <c:pt idx="84">
                  <c:v>112.79429018106121</c:v>
                </c:pt>
                <c:pt idx="85">
                  <c:v>113.04330070387277</c:v>
                </c:pt>
                <c:pt idx="86">
                  <c:v>113.2804718694035</c:v>
                </c:pt>
                <c:pt idx="87">
                  <c:v>113.50635053246974</c:v>
                </c:pt>
                <c:pt idx="88">
                  <c:v>113.72145984483637</c:v>
                </c:pt>
                <c:pt idx="89">
                  <c:v>113.92630012827603</c:v>
                </c:pt>
                <c:pt idx="90">
                  <c:v>114.121349731659</c:v>
                </c:pt>
                <c:pt idx="91">
                  <c:v>114.30706587038449</c:v>
                </c:pt>
                <c:pt idx="92">
                  <c:v>114.48388544677304</c:v>
                </c:pt>
                <c:pt idx="93">
                  <c:v>114.65222585031027</c:v>
                </c:pt>
                <c:pt idx="94">
                  <c:v>114.81248573687292</c:v>
                </c:pt>
                <c:pt idx="95">
                  <c:v>114.96504578628149</c:v>
                </c:pt>
                <c:pt idx="96">
                  <c:v>115.11026943770834</c:v>
                </c:pt>
                <c:pt idx="97">
                  <c:v>115.24850360263548</c:v>
                </c:pt>
                <c:pt idx="98">
                  <c:v>115.38007935519893</c:v>
                </c:pt>
                <c:pt idx="99">
                  <c:v>115.50531259987942</c:v>
                </c:pt>
                <c:pt idx="100">
                  <c:v>115.62450471660945</c:v>
                </c:pt>
                <c:pt idx="101">
                  <c:v>115.7379431834575</c:v>
                </c:pt>
                <c:pt idx="102">
                  <c:v>115.8459021771306</c:v>
                </c:pt>
                <c:pt idx="103">
                  <c:v>115.94864315160417</c:v>
                </c:pt>
                <c:pt idx="104">
                  <c:v>116.04641539524519</c:v>
                </c:pt>
                <c:pt idx="105">
                  <c:v>116.13945656684137</c:v>
                </c:pt>
              </c:numCache>
            </c:numRef>
          </c:yVal>
          <c:smooth val="0"/>
          <c:extLst>
            <c:ext xmlns:c16="http://schemas.microsoft.com/office/drawing/2014/chart" uri="{C3380CC4-5D6E-409C-BE32-E72D297353CC}">
              <c16:uniqueId val="{00000000-C240-4071-AFCF-4875F674AA2D}"/>
            </c:ext>
          </c:extLst>
        </c:ser>
        <c:ser>
          <c:idx val="0"/>
          <c:order val="1"/>
          <c:tx>
            <c:strRef>
              <c:f>'Figures 3-6'!$G$27</c:f>
              <c:strCache>
                <c:ptCount val="1"/>
                <c:pt idx="0">
                  <c:v>LOG</c:v>
                </c:pt>
              </c:strCache>
            </c:strRef>
          </c:tx>
          <c:spPr>
            <a:ln w="38100" cap="rnd">
              <a:solidFill>
                <a:srgbClr val="2171B5"/>
              </a:solidFill>
              <a:prstDash val="solid"/>
              <a:round/>
            </a:ln>
            <a:effectLst/>
          </c:spPr>
          <c:marker>
            <c:symbol val="none"/>
          </c:marker>
          <c:xVal>
            <c:numRef>
              <c:f>'Figures 3-6'!$H$25:$DS$25</c:f>
              <c:numCache>
                <c:formatCode>General</c:formatCode>
                <c:ptCount val="11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pt idx="66">
                  <c:v>41</c:v>
                </c:pt>
                <c:pt idx="67">
                  <c:v>42</c:v>
                </c:pt>
                <c:pt idx="68">
                  <c:v>43</c:v>
                </c:pt>
                <c:pt idx="69">
                  <c:v>44</c:v>
                </c:pt>
                <c:pt idx="70">
                  <c:v>45</c:v>
                </c:pt>
                <c:pt idx="71">
                  <c:v>46</c:v>
                </c:pt>
                <c:pt idx="72">
                  <c:v>47</c:v>
                </c:pt>
                <c:pt idx="73">
                  <c:v>48</c:v>
                </c:pt>
                <c:pt idx="74">
                  <c:v>49</c:v>
                </c:pt>
                <c:pt idx="75">
                  <c:v>50</c:v>
                </c:pt>
                <c:pt idx="76">
                  <c:v>51</c:v>
                </c:pt>
                <c:pt idx="77">
                  <c:v>52</c:v>
                </c:pt>
                <c:pt idx="78">
                  <c:v>53</c:v>
                </c:pt>
                <c:pt idx="79">
                  <c:v>54</c:v>
                </c:pt>
                <c:pt idx="80">
                  <c:v>55</c:v>
                </c:pt>
                <c:pt idx="81">
                  <c:v>56</c:v>
                </c:pt>
                <c:pt idx="82">
                  <c:v>57</c:v>
                </c:pt>
                <c:pt idx="83">
                  <c:v>58</c:v>
                </c:pt>
                <c:pt idx="84">
                  <c:v>59</c:v>
                </c:pt>
                <c:pt idx="85">
                  <c:v>60</c:v>
                </c:pt>
                <c:pt idx="86">
                  <c:v>61</c:v>
                </c:pt>
                <c:pt idx="87">
                  <c:v>62</c:v>
                </c:pt>
                <c:pt idx="88">
                  <c:v>63</c:v>
                </c:pt>
                <c:pt idx="89">
                  <c:v>64</c:v>
                </c:pt>
                <c:pt idx="90">
                  <c:v>65</c:v>
                </c:pt>
                <c:pt idx="91">
                  <c:v>66</c:v>
                </c:pt>
                <c:pt idx="92">
                  <c:v>67</c:v>
                </c:pt>
                <c:pt idx="93">
                  <c:v>68</c:v>
                </c:pt>
                <c:pt idx="94">
                  <c:v>69</c:v>
                </c:pt>
                <c:pt idx="95">
                  <c:v>70</c:v>
                </c:pt>
                <c:pt idx="96">
                  <c:v>71</c:v>
                </c:pt>
                <c:pt idx="97">
                  <c:v>72</c:v>
                </c:pt>
                <c:pt idx="98">
                  <c:v>73</c:v>
                </c:pt>
                <c:pt idx="99">
                  <c:v>74</c:v>
                </c:pt>
                <c:pt idx="100">
                  <c:v>75</c:v>
                </c:pt>
                <c:pt idx="101">
                  <c:v>76</c:v>
                </c:pt>
                <c:pt idx="102">
                  <c:v>77</c:v>
                </c:pt>
                <c:pt idx="103">
                  <c:v>78</c:v>
                </c:pt>
                <c:pt idx="104">
                  <c:v>79</c:v>
                </c:pt>
                <c:pt idx="105">
                  <c:v>80</c:v>
                </c:pt>
              </c:numCache>
            </c:numRef>
          </c:xVal>
          <c:yVal>
            <c:numRef>
              <c:f>'Figures 3-6'!$H$27:$DS$27</c:f>
              <c:numCache>
                <c:formatCode>#,##0.0</c:formatCode>
                <c:ptCount val="116"/>
                <c:pt idx="0">
                  <c:v>0</c:v>
                </c:pt>
                <c:pt idx="1">
                  <c:v>1.3801503036642727E-2</c:v>
                </c:pt>
                <c:pt idx="2">
                  <c:v>0.10250810373022921</c:v>
                </c:pt>
                <c:pt idx="3">
                  <c:v>0.32140060564134304</c:v>
                </c:pt>
                <c:pt idx="4">
                  <c:v>0.70819088008020181</c:v>
                </c:pt>
                <c:pt idx="5">
                  <c:v>1.2865903014343147</c:v>
                </c:pt>
                <c:pt idx="6">
                  <c:v>2.0692648651289542</c:v>
                </c:pt>
                <c:pt idx="7">
                  <c:v>3.0602740346849182</c:v>
                </c:pt>
                <c:pt idx="8">
                  <c:v>4.2570757029793187</c:v>
                </c:pt>
                <c:pt idx="9">
                  <c:v>5.6521671458405169</c:v>
                </c:pt>
                <c:pt idx="10">
                  <c:v>7.2344211823897746</c:v>
                </c:pt>
                <c:pt idx="11">
                  <c:v>8.9901676693851371</c:v>
                </c:pt>
                <c:pt idx="12">
                  <c:v>10.904062717666822</c:v>
                </c:pt>
                <c:pt idx="13">
                  <c:v>12.959781431811036</c:v>
                </c:pt>
                <c:pt idx="14">
                  <c:v>15.140564371508987</c:v>
                </c:pt>
                <c:pt idx="15">
                  <c:v>17.4296431713258</c:v>
                </c:pt>
                <c:pt idx="16">
                  <c:v>19.810566711342741</c:v>
                </c:pt>
                <c:pt idx="17">
                  <c:v>22.267445799447479</c:v>
                </c:pt>
                <c:pt idx="18">
                  <c:v>24.785131416603353</c:v>
                </c:pt>
                <c:pt idx="19">
                  <c:v>27.349339112214277</c:v>
                </c:pt>
                <c:pt idx="20">
                  <c:v>29.946730051786854</c:v>
                </c:pt>
                <c:pt idx="21">
                  <c:v>32.564957457117195</c:v>
                </c:pt>
                <c:pt idx="22">
                  <c:v>35.192685692036868</c:v>
                </c:pt>
                <c:pt idx="23">
                  <c:v>37.819587993197999</c:v>
                </c:pt>
                <c:pt idx="24">
                  <c:v>40.436327790332221</c:v>
                </c:pt>
                <c:pt idx="25">
                  <c:v>43.034527673896086</c:v>
                </c:pt>
                <c:pt idx="26">
                  <c:v>1.3801503036642727E-2</c:v>
                </c:pt>
                <c:pt idx="27">
                  <c:v>0.10250810373022921</c:v>
                </c:pt>
                <c:pt idx="28">
                  <c:v>0.32140060564134304</c:v>
                </c:pt>
                <c:pt idx="29">
                  <c:v>0.70819088008020181</c:v>
                </c:pt>
                <c:pt idx="30">
                  <c:v>1.2865903014343147</c:v>
                </c:pt>
                <c:pt idx="31">
                  <c:v>2.0692648651289542</c:v>
                </c:pt>
                <c:pt idx="32">
                  <c:v>3.0602740346849182</c:v>
                </c:pt>
                <c:pt idx="33">
                  <c:v>4.2570757029793187</c:v>
                </c:pt>
                <c:pt idx="34">
                  <c:v>5.6521671458405169</c:v>
                </c:pt>
                <c:pt idx="35">
                  <c:v>7.2344211823897746</c:v>
                </c:pt>
                <c:pt idx="36">
                  <c:v>8.9901676693851371</c:v>
                </c:pt>
                <c:pt idx="37">
                  <c:v>10.904062717666822</c:v>
                </c:pt>
                <c:pt idx="38">
                  <c:v>12.959781431811036</c:v>
                </c:pt>
                <c:pt idx="39">
                  <c:v>15.140564371508987</c:v>
                </c:pt>
                <c:pt idx="40">
                  <c:v>17.4296431713258</c:v>
                </c:pt>
                <c:pt idx="41">
                  <c:v>19.810566711342741</c:v>
                </c:pt>
                <c:pt idx="42">
                  <c:v>22.267445799447479</c:v>
                </c:pt>
                <c:pt idx="43">
                  <c:v>24.785131416603353</c:v>
                </c:pt>
                <c:pt idx="44">
                  <c:v>27.349339112214277</c:v>
                </c:pt>
                <c:pt idx="45">
                  <c:v>29.946730051786854</c:v>
                </c:pt>
                <c:pt idx="46">
                  <c:v>32.564957457117195</c:v>
                </c:pt>
                <c:pt idx="47">
                  <c:v>35.192685692036868</c:v>
                </c:pt>
                <c:pt idx="48">
                  <c:v>37.819587993197999</c:v>
                </c:pt>
                <c:pt idx="49">
                  <c:v>40.436327790332221</c:v>
                </c:pt>
                <c:pt idx="50">
                  <c:v>43.034527673896086</c:v>
                </c:pt>
                <c:pt idx="51">
                  <c:v>45.606729324439719</c:v>
                </c:pt>
                <c:pt idx="52">
                  <c:v>48.146347095592041</c:v>
                </c:pt>
                <c:pt idx="53">
                  <c:v>50.647617422659295</c:v>
                </c:pt>
                <c:pt idx="54">
                  <c:v>53.105545795652432</c:v>
                </c:pt>
                <c:pt idx="55">
                  <c:v>55.515852675616792</c:v>
                </c:pt>
                <c:pt idx="56">
                  <c:v>57.874919434974622</c:v>
                </c:pt>
                <c:pt idx="57">
                  <c:v>60.179735156461923</c:v>
                </c:pt>
                <c:pt idx="58">
                  <c:v>62.427844922873923</c:v>
                </c:pt>
                <c:pt idx="59">
                  <c:v>64.617300064203548</c:v>
                </c:pt>
                <c:pt idx="60">
                  <c:v>66.746610693912174</c:v>
                </c:pt>
                <c:pt idx="61">
                  <c:v>68.814700756968321</c:v>
                </c:pt>
                <c:pt idx="62">
                  <c:v>70.820865724660678</c:v>
                </c:pt>
                <c:pt idx="63">
                  <c:v>72.764733001429349</c:v>
                </c:pt>
                <c:pt idx="64">
                  <c:v>74.646225054022594</c:v>
                </c:pt>
                <c:pt idx="65">
                  <c:v>76.465525230604669</c:v>
                </c:pt>
                <c:pt idx="66">
                  <c:v>78.22304620485869</c:v>
                </c:pt>
                <c:pt idx="67">
                  <c:v>79.919400955828209</c:v>
                </c:pt>
                <c:pt idx="68">
                  <c:v>81.555376176702282</c:v>
                </c:pt>
                <c:pt idx="69">
                  <c:v>83.131907993694981</c:v>
                </c:pt>
                <c:pt idx="70">
                  <c:v>84.650059868539287</c:v>
                </c:pt>
                <c:pt idx="71">
                  <c:v>86.111002554017915</c:v>
                </c:pt>
                <c:pt idx="72">
                  <c:v>87.515995970655169</c:v>
                </c:pt>
                <c:pt idx="73">
                  <c:v>88.866372873580801</c:v>
                </c:pt>
                <c:pt idx="74">
                  <c:v>90.163524181150464</c:v>
                </c:pt>
                <c:pt idx="75">
                  <c:v>91.408885840746265</c:v>
                </c:pt>
                <c:pt idx="76">
                  <c:v>92.603927111953922</c:v>
                </c:pt>
                <c:pt idx="77">
                  <c:v>93.750140152737799</c:v>
                </c:pt>
                <c:pt idx="78">
                  <c:v>94.849030800092564</c:v>
                </c:pt>
                <c:pt idx="79">
                  <c:v>95.902110442760019</c:v>
                </c:pt>
                <c:pt idx="80">
                  <c:v>96.910888889817528</c:v>
                </c:pt>
                <c:pt idx="81">
                  <c:v>97.876868145162788</c:v>
                </c:pt>
                <c:pt idx="82">
                  <c:v>98.801537004046068</c:v>
                </c:pt>
                <c:pt idx="83">
                  <c:v>99.686366393772815</c:v>
                </c:pt>
                <c:pt idx="84">
                  <c:v>100.5328053864676</c:v>
                </c:pt>
                <c:pt idx="85">
                  <c:v>101.34227781731518</c:v>
                </c:pt>
                <c:pt idx="86">
                  <c:v>102.11617944695877</c:v>
                </c:pt>
                <c:pt idx="87">
                  <c:v>102.85587561171667</c:v>
                </c:pt>
                <c:pt idx="88">
                  <c:v>103.56269930997377</c:v>
                </c:pt>
                <c:pt idx="89">
                  <c:v>104.23794967751182</c:v>
                </c:pt>
                <c:pt idx="90">
                  <c:v>104.88289080865843</c:v>
                </c:pt>
                <c:pt idx="91">
                  <c:v>105.49875088397421</c:v>
                </c:pt>
                <c:pt idx="92">
                  <c:v>106.08672156876112</c:v>
                </c:pt>
                <c:pt idx="93">
                  <c:v>106.6479576499766</c:v>
                </c:pt>
                <c:pt idx="94">
                  <c:v>107.18357688218988</c:v>
                </c:pt>
                <c:pt idx="95">
                  <c:v>107.69466001602949</c:v>
                </c:pt>
                <c:pt idx="96">
                  <c:v>108.18225098515779</c:v>
                </c:pt>
                <c:pt idx="97">
                  <c:v>108.64735723018511</c:v>
                </c:pt>
                <c:pt idx="98">
                  <c:v>109.0909501401116</c:v>
                </c:pt>
                <c:pt idx="99">
                  <c:v>109.51396559387747</c:v>
                </c:pt>
                <c:pt idx="100">
                  <c:v>109.91730458641989</c:v>
                </c:pt>
                <c:pt idx="101">
                  <c:v>110.3018339252922</c:v>
                </c:pt>
                <c:pt idx="102">
                  <c:v>110.6683869854116</c:v>
                </c:pt>
                <c:pt idx="103">
                  <c:v>111.01776451087146</c:v>
                </c:pt>
                <c:pt idx="104">
                  <c:v>111.35073545400006</c:v>
                </c:pt>
                <c:pt idx="105">
                  <c:v>111.66803784297581</c:v>
                </c:pt>
              </c:numCache>
            </c:numRef>
          </c:yVal>
          <c:smooth val="0"/>
          <c:extLst>
            <c:ext xmlns:c16="http://schemas.microsoft.com/office/drawing/2014/chart" uri="{C3380CC4-5D6E-409C-BE32-E72D297353CC}">
              <c16:uniqueId val="{00000001-C240-4071-AFCF-4875F674AA2D}"/>
            </c:ext>
          </c:extLst>
        </c:ser>
        <c:ser>
          <c:idx val="1"/>
          <c:order val="2"/>
          <c:tx>
            <c:strRef>
              <c:f>'Figures 3-6'!$G$28</c:f>
              <c:strCache>
                <c:ptCount val="1"/>
                <c:pt idx="0">
                  <c:v>LOG-REF</c:v>
                </c:pt>
              </c:strCache>
            </c:strRef>
          </c:tx>
          <c:spPr>
            <a:ln w="15875" cap="rnd">
              <a:solidFill>
                <a:srgbClr val="E31A1C"/>
              </a:solidFill>
              <a:round/>
            </a:ln>
            <a:effectLst/>
          </c:spPr>
          <c:marker>
            <c:symbol val="none"/>
          </c:marker>
          <c:xVal>
            <c:numRef>
              <c:f>'Figures 3-6'!$H$25:$DS$25</c:f>
              <c:numCache>
                <c:formatCode>General</c:formatCode>
                <c:ptCount val="11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pt idx="66">
                  <c:v>41</c:v>
                </c:pt>
                <c:pt idx="67">
                  <c:v>42</c:v>
                </c:pt>
                <c:pt idx="68">
                  <c:v>43</c:v>
                </c:pt>
                <c:pt idx="69">
                  <c:v>44</c:v>
                </c:pt>
                <c:pt idx="70">
                  <c:v>45</c:v>
                </c:pt>
                <c:pt idx="71">
                  <c:v>46</c:v>
                </c:pt>
                <c:pt idx="72">
                  <c:v>47</c:v>
                </c:pt>
                <c:pt idx="73">
                  <c:v>48</c:v>
                </c:pt>
                <c:pt idx="74">
                  <c:v>49</c:v>
                </c:pt>
                <c:pt idx="75">
                  <c:v>50</c:v>
                </c:pt>
                <c:pt idx="76">
                  <c:v>51</c:v>
                </c:pt>
                <c:pt idx="77">
                  <c:v>52</c:v>
                </c:pt>
                <c:pt idx="78">
                  <c:v>53</c:v>
                </c:pt>
                <c:pt idx="79">
                  <c:v>54</c:v>
                </c:pt>
                <c:pt idx="80">
                  <c:v>55</c:v>
                </c:pt>
                <c:pt idx="81">
                  <c:v>56</c:v>
                </c:pt>
                <c:pt idx="82">
                  <c:v>57</c:v>
                </c:pt>
                <c:pt idx="83">
                  <c:v>58</c:v>
                </c:pt>
                <c:pt idx="84">
                  <c:v>59</c:v>
                </c:pt>
                <c:pt idx="85">
                  <c:v>60</c:v>
                </c:pt>
                <c:pt idx="86">
                  <c:v>61</c:v>
                </c:pt>
                <c:pt idx="87">
                  <c:v>62</c:v>
                </c:pt>
                <c:pt idx="88">
                  <c:v>63</c:v>
                </c:pt>
                <c:pt idx="89">
                  <c:v>64</c:v>
                </c:pt>
                <c:pt idx="90">
                  <c:v>65</c:v>
                </c:pt>
                <c:pt idx="91">
                  <c:v>66</c:v>
                </c:pt>
                <c:pt idx="92">
                  <c:v>67</c:v>
                </c:pt>
                <c:pt idx="93">
                  <c:v>68</c:v>
                </c:pt>
                <c:pt idx="94">
                  <c:v>69</c:v>
                </c:pt>
                <c:pt idx="95">
                  <c:v>70</c:v>
                </c:pt>
                <c:pt idx="96">
                  <c:v>71</c:v>
                </c:pt>
                <c:pt idx="97">
                  <c:v>72</c:v>
                </c:pt>
                <c:pt idx="98">
                  <c:v>73</c:v>
                </c:pt>
                <c:pt idx="99">
                  <c:v>74</c:v>
                </c:pt>
                <c:pt idx="100">
                  <c:v>75</c:v>
                </c:pt>
                <c:pt idx="101">
                  <c:v>76</c:v>
                </c:pt>
                <c:pt idx="102">
                  <c:v>77</c:v>
                </c:pt>
                <c:pt idx="103">
                  <c:v>78</c:v>
                </c:pt>
                <c:pt idx="104">
                  <c:v>79</c:v>
                </c:pt>
                <c:pt idx="105">
                  <c:v>80</c:v>
                </c:pt>
              </c:numCache>
            </c:numRef>
          </c:xVal>
          <c:yVal>
            <c:numRef>
              <c:f>'Figures 3-6'!$H$28:$DS$28</c:f>
              <c:numCache>
                <c:formatCode>#,##0.0</c:formatCode>
                <c:ptCount val="116"/>
                <c:pt idx="26">
                  <c:v>-45.592927821403073</c:v>
                </c:pt>
                <c:pt idx="27">
                  <c:v>-48.043838991861811</c:v>
                </c:pt>
                <c:pt idx="28">
                  <c:v>-50.326216817017951</c:v>
                </c:pt>
                <c:pt idx="29">
                  <c:v>-52.39735491557223</c:v>
                </c:pt>
                <c:pt idx="30">
                  <c:v>-54.229262374182476</c:v>
                </c:pt>
                <c:pt idx="31">
                  <c:v>-55.805654569845665</c:v>
                </c:pt>
                <c:pt idx="32">
                  <c:v>-57.119461121777007</c:v>
                </c:pt>
                <c:pt idx="33">
                  <c:v>-58.170769219894602</c:v>
                </c:pt>
                <c:pt idx="34">
                  <c:v>-58.965132918363032</c:v>
                </c:pt>
                <c:pt idx="35">
                  <c:v>-59.512189511522401</c:v>
                </c:pt>
                <c:pt idx="36">
                  <c:v>-59.824533087583184</c:v>
                </c:pt>
                <c:pt idx="37">
                  <c:v>-59.91680300699386</c:v>
                </c:pt>
                <c:pt idx="38">
                  <c:v>-59.804951569618311</c:v>
                </c:pt>
                <c:pt idx="39">
                  <c:v>-59.505660682513607</c:v>
                </c:pt>
                <c:pt idx="40">
                  <c:v>-59.035882059278869</c:v>
                </c:pt>
                <c:pt idx="41">
                  <c:v>-58.412479493515946</c:v>
                </c:pt>
                <c:pt idx="42">
                  <c:v>-57.65195515638073</c:v>
                </c:pt>
                <c:pt idx="43">
                  <c:v>-56.770244760098933</c:v>
                </c:pt>
                <c:pt idx="44">
                  <c:v>-55.782568881480699</c:v>
                </c:pt>
                <c:pt idx="45">
                  <c:v>-54.703329816752429</c:v>
                </c:pt>
                <c:pt idx="46">
                  <c:v>-53.54604509690072</c:v>
                </c:pt>
                <c:pt idx="47">
                  <c:v>-52.323310278618301</c:v>
                </c:pt>
                <c:pt idx="48">
                  <c:v>-51.046784880382802</c:v>
                </c:pt>
                <c:pt idx="49">
                  <c:v>-49.727196390818243</c:v>
                </c:pt>
                <c:pt idx="50">
                  <c:v>-48.374358166850179</c:v>
                </c:pt>
                <c:pt idx="51">
                  <c:v>-46.997197787514203</c:v>
                </c:pt>
                <c:pt idx="52">
                  <c:v>-45.603793057145758</c:v>
                </c:pt>
                <c:pt idx="53">
                  <c:v>-44.201413377433269</c:v>
                </c:pt>
                <c:pt idx="54">
                  <c:v>-42.796564647107587</c:v>
                </c:pt>
                <c:pt idx="55">
                  <c:v>-41.395036214200736</c:v>
                </c:pt>
                <c:pt idx="56">
                  <c:v>-40.001948710188167</c:v>
                </c:pt>
                <c:pt idx="57">
                  <c:v>-38.621801847584145</c:v>
                </c:pt>
                <c:pt idx="58">
                  <c:v>-37.258521470898891</c:v>
                </c:pt>
                <c:pt idx="59">
                  <c:v>-35.915505322264053</c:v>
                </c:pt>
                <c:pt idx="60">
                  <c:v>-34.595667123403004</c:v>
                </c:pt>
                <c:pt idx="61">
                  <c:v>-33.301478689990446</c:v>
                </c:pt>
                <c:pt idx="62">
                  <c:v>-32.035009887055992</c:v>
                </c:pt>
                <c:pt idx="63">
                  <c:v>-30.797966308544417</c:v>
                </c:pt>
                <c:pt idx="64">
                  <c:v>-29.591724623489227</c:v>
                </c:pt>
                <c:pt idx="65">
                  <c:v>-28.417365578053762</c:v>
                </c:pt>
                <c:pt idx="66">
                  <c:v>-27.27570467911552</c:v>
                </c:pt>
                <c:pt idx="67">
                  <c:v>-26.167320612932912</c:v>
                </c:pt>
                <c:pt idx="68">
                  <c:v>-25.092581473274322</c:v>
                </c:pt>
                <c:pt idx="69">
                  <c:v>-24.051668888494902</c:v>
                </c:pt>
                <c:pt idx="70">
                  <c:v>-23.0446001474902</c:v>
                </c:pt>
                <c:pt idx="71">
                  <c:v>-22.071248431139878</c:v>
                </c:pt>
                <c:pt idx="72">
                  <c:v>-21.131361259529939</c:v>
                </c:pt>
                <c:pt idx="73">
                  <c:v>-20.224577266530801</c:v>
                </c:pt>
                <c:pt idx="74">
                  <c:v>-19.350441412727008</c:v>
                </c:pt>
                <c:pt idx="75">
                  <c:v>-18.508418745673623</c:v>
                </c:pt>
                <c:pt idx="76">
                  <c:v>-17.697906813338278</c:v>
                </c:pt>
                <c:pt idx="77">
                  <c:v>-16.918246832673802</c:v>
                </c:pt>
                <c:pt idx="78">
                  <c:v>-16.168733710778895</c:v>
                </c:pt>
                <c:pt idx="79">
                  <c:v>-15.44862501124004</c:v>
                </c:pt>
                <c:pt idx="80">
                  <c:v>-14.757148953158278</c:v>
                </c:pt>
                <c:pt idx="81">
                  <c:v>-14.093511525165468</c:v>
                </c:pt>
                <c:pt idx="82">
                  <c:v>-13.456902791532698</c:v>
                </c:pt>
                <c:pt idx="83">
                  <c:v>-12.846502462331699</c:v>
                </c:pt>
                <c:pt idx="84">
                  <c:v>-12.261484794593613</c:v>
                </c:pt>
                <c:pt idx="85">
                  <c:v>-11.701022886557595</c:v>
                </c:pt>
                <c:pt idx="86">
                  <c:v>-11.164292422444731</c:v>
                </c:pt>
                <c:pt idx="87">
                  <c:v>-10.650474920753069</c:v>
                </c:pt>
                <c:pt idx="88">
                  <c:v>-10.158760534862608</c:v>
                </c:pt>
                <c:pt idx="89">
                  <c:v>-9.6883504507642044</c:v>
                </c:pt>
                <c:pt idx="90">
                  <c:v>-9.2384589230005645</c:v>
                </c:pt>
                <c:pt idx="91">
                  <c:v>-8.8083149864102808</c:v>
                </c:pt>
                <c:pt idx="92">
                  <c:v>-8.3971638780119235</c:v>
                </c:pt>
                <c:pt idx="93">
                  <c:v>-8.0042682003336694</c:v>
                </c:pt>
                <c:pt idx="94">
                  <c:v>-7.6289088546830328</c:v>
                </c:pt>
                <c:pt idx="95">
                  <c:v>-7.2703857702520054</c:v>
                </c:pt>
                <c:pt idx="96">
                  <c:v>-6.9280184525505462</c:v>
                </c:pt>
                <c:pt idx="97">
                  <c:v>-6.6011463724503727</c:v>
                </c:pt>
                <c:pt idx="98">
                  <c:v>-6.2891292150873284</c:v>
                </c:pt>
                <c:pt idx="99">
                  <c:v>-5.9913470060019449</c:v>
                </c:pt>
                <c:pt idx="100">
                  <c:v>-5.7072001301895625</c:v>
                </c:pt>
                <c:pt idx="101">
                  <c:v>-5.4361092581653025</c:v>
                </c:pt>
                <c:pt idx="102">
                  <c:v>-5.1775151917189959</c:v>
                </c:pt>
                <c:pt idx="103">
                  <c:v>-4.9308786407327148</c:v>
                </c:pt>
                <c:pt idx="104">
                  <c:v>-4.6956799412451318</c:v>
                </c:pt>
                <c:pt idx="105">
                  <c:v>-4.4714187238655683</c:v>
                </c:pt>
              </c:numCache>
            </c:numRef>
          </c:yVal>
          <c:smooth val="0"/>
          <c:extLst>
            <c:ext xmlns:c16="http://schemas.microsoft.com/office/drawing/2014/chart" uri="{C3380CC4-5D6E-409C-BE32-E72D297353CC}">
              <c16:uniqueId val="{00000002-C240-4071-AFCF-4875F674AA2D}"/>
            </c:ext>
          </c:extLst>
        </c:ser>
        <c:dLbls>
          <c:showLegendKey val="0"/>
          <c:showVal val="0"/>
          <c:showCatName val="0"/>
          <c:showSerName val="0"/>
          <c:showPercent val="0"/>
          <c:showBubbleSize val="0"/>
        </c:dLbls>
        <c:axId val="571412608"/>
        <c:axId val="917020512"/>
      </c:scatterChart>
      <c:valAx>
        <c:axId val="571412608"/>
        <c:scaling>
          <c:orientation val="minMax"/>
          <c:max val="80"/>
          <c:min val="-3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chemeClr val="tx1"/>
                    </a:solidFill>
                  </a:rPr>
                  <a:t>model year</a:t>
                </a:r>
              </a:p>
            </c:rich>
          </c:tx>
          <c:layout>
            <c:manualLayout>
              <c:xMode val="edge"/>
              <c:yMode val="edge"/>
              <c:x val="0.29120253603862578"/>
              <c:y val="0.92010004372595366"/>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cross"/>
        <c:minorTickMark val="cross"/>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917020512"/>
        <c:crossesAt val="0"/>
        <c:crossBetween val="midCat"/>
        <c:majorUnit val="10"/>
        <c:minorUnit val="5"/>
      </c:valAx>
      <c:valAx>
        <c:axId val="917020512"/>
        <c:scaling>
          <c:orientation val="minMax"/>
          <c:max val="120"/>
          <c:min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chemeClr val="tx1"/>
                    </a:solidFill>
                  </a:rPr>
                  <a:t>stock,</a:t>
                </a:r>
                <a:r>
                  <a:rPr lang="en-US" sz="900" b="1" baseline="0">
                    <a:solidFill>
                      <a:schemeClr val="tx1"/>
                    </a:solidFill>
                  </a:rPr>
                  <a:t> MgC/ha</a:t>
                </a:r>
                <a:endParaRPr lang="en-US" sz="900" b="1">
                  <a:solidFill>
                    <a:schemeClr val="tx1"/>
                  </a:solidFill>
                </a:endParaRPr>
              </a:p>
            </c:rich>
          </c:tx>
          <c:layout>
            <c:manualLayout>
              <c:xMode val="edge"/>
              <c:yMode val="edge"/>
              <c:x val="8.4619884490121748E-3"/>
              <c:y val="0.22568958291978206"/>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571412608"/>
        <c:crossesAt val="0"/>
        <c:crossBetween val="midCat"/>
      </c:val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57538675721412"/>
          <c:y val="0.1588217891956363"/>
          <c:w val="0.7576477347816003"/>
          <c:h val="0.6776670195468294"/>
        </c:manualLayout>
      </c:layout>
      <c:scatterChart>
        <c:scatterStyle val="lineMarker"/>
        <c:varyColors val="0"/>
        <c:ser>
          <c:idx val="4"/>
          <c:order val="0"/>
          <c:tx>
            <c:strRef>
              <c:f>'Figures 3-6'!$B$50</c:f>
              <c:strCache>
                <c:ptCount val="1"/>
              </c:strCache>
            </c:strRef>
          </c:tx>
          <c:spPr>
            <a:ln w="38100" cap="rnd">
              <a:solidFill>
                <a:srgbClr val="A1D99B"/>
              </a:solidFill>
              <a:prstDash val="solid"/>
              <a:round/>
            </a:ln>
            <a:effectLst/>
          </c:spPr>
          <c:marker>
            <c:symbol val="none"/>
          </c:marker>
          <c:xVal>
            <c:numRef>
              <c:f>'Figures 3-6'!$AH$49:$BU$49</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'Figures 3-6'!$AH$50:$BU$50</c:f>
              <c:numCache>
                <c:formatCode>#,##0.0</c:formatCode>
                <c:ptCount val="40"/>
                <c:pt idx="0">
                  <c:v>2.5722016505436329</c:v>
                </c:pt>
                <c:pt idx="1">
                  <c:v>5.1118194216959552</c:v>
                </c:pt>
                <c:pt idx="2">
                  <c:v>7.6130897487632083</c:v>
                </c:pt>
                <c:pt idx="3">
                  <c:v>10.071018121756346</c:v>
                </c:pt>
                <c:pt idx="4">
                  <c:v>12.481325001720705</c:v>
                </c:pt>
                <c:pt idx="5">
                  <c:v>14.840391761078536</c:v>
                </c:pt>
                <c:pt idx="6">
                  <c:v>17.145207482565837</c:v>
                </c:pt>
                <c:pt idx="7">
                  <c:v>19.393317248977837</c:v>
                </c:pt>
                <c:pt idx="8">
                  <c:v>21.582772390307461</c:v>
                </c:pt>
                <c:pt idx="9">
                  <c:v>23.712083020016088</c:v>
                </c:pt>
                <c:pt idx="10">
                  <c:v>25.780173083072235</c:v>
                </c:pt>
                <c:pt idx="11">
                  <c:v>27.786338050764591</c:v>
                </c:pt>
                <c:pt idx="12">
                  <c:v>29.730205327533263</c:v>
                </c:pt>
                <c:pt idx="13">
                  <c:v>31.611697380126508</c:v>
                </c:pt>
                <c:pt idx="14">
                  <c:v>33.430997556708583</c:v>
                </c:pt>
                <c:pt idx="15">
                  <c:v>35.188518530962604</c:v>
                </c:pt>
                <c:pt idx="16">
                  <c:v>36.884873281932123</c:v>
                </c:pt>
                <c:pt idx="17">
                  <c:v>38.520848502806196</c:v>
                </c:pt>
                <c:pt idx="18">
                  <c:v>40.097380319798894</c:v>
                </c:pt>
                <c:pt idx="19">
                  <c:v>41.615532194643201</c:v>
                </c:pt>
                <c:pt idx="20">
                  <c:v>43.076474880121829</c:v>
                </c:pt>
                <c:pt idx="21">
                  <c:v>44.481468296759083</c:v>
                </c:pt>
                <c:pt idx="22">
                  <c:v>45.831845199684714</c:v>
                </c:pt>
                <c:pt idx="23">
                  <c:v>47.128996507254378</c:v>
                </c:pt>
                <c:pt idx="24">
                  <c:v>48.374358166850179</c:v>
                </c:pt>
                <c:pt idx="25">
                  <c:v>49.569399438057836</c:v>
                </c:pt>
                <c:pt idx="26">
                  <c:v>50.715612478841713</c:v>
                </c:pt>
                <c:pt idx="27">
                  <c:v>51.814503126196477</c:v>
                </c:pt>
                <c:pt idx="28">
                  <c:v>52.867582768863933</c:v>
                </c:pt>
                <c:pt idx="29">
                  <c:v>53.876361215921442</c:v>
                </c:pt>
                <c:pt idx="30">
                  <c:v>54.842340471266702</c:v>
                </c:pt>
                <c:pt idx="31">
                  <c:v>55.767009330149982</c:v>
                </c:pt>
                <c:pt idx="32">
                  <c:v>56.651838719876729</c:v>
                </c:pt>
                <c:pt idx="33">
                  <c:v>57.498277712571515</c:v>
                </c:pt>
                <c:pt idx="34">
                  <c:v>58.307750143419092</c:v>
                </c:pt>
                <c:pt idx="35">
                  <c:v>59.081651773062681</c:v>
                </c:pt>
                <c:pt idx="36">
                  <c:v>59.821347937820583</c:v>
                </c:pt>
                <c:pt idx="37">
                  <c:v>60.52817163607768</c:v>
                </c:pt>
                <c:pt idx="38">
                  <c:v>61.203422003615735</c:v>
                </c:pt>
                <c:pt idx="39">
                  <c:v>61.848363134762344</c:v>
                </c:pt>
              </c:numCache>
            </c:numRef>
          </c:yVal>
          <c:smooth val="0"/>
          <c:extLst>
            <c:ext xmlns:c16="http://schemas.microsoft.com/office/drawing/2014/chart" uri="{C3380CC4-5D6E-409C-BE32-E72D297353CC}">
              <c16:uniqueId val="{00000000-BA6D-4820-B895-D1EB5AE3E3B7}"/>
            </c:ext>
          </c:extLst>
        </c:ser>
        <c:ser>
          <c:idx val="3"/>
          <c:order val="1"/>
          <c:tx>
            <c:strRef>
              <c:f>'Figures 2-5'!#REF!</c:f>
              <c:strCache>
                <c:ptCount val="1"/>
                <c:pt idx="0">
                  <c:v>#REF!</c:v>
                </c:pt>
              </c:strCache>
            </c:strRef>
          </c:tx>
          <c:spPr>
            <a:ln w="38100" cap="rnd">
              <a:solidFill>
                <a:srgbClr val="2171B5"/>
              </a:solidFill>
              <a:prstDash val="solid"/>
              <a:round/>
            </a:ln>
            <a:effectLst/>
          </c:spPr>
          <c:marker>
            <c:symbol val="none"/>
          </c:marker>
          <c:xVal>
            <c:numRef>
              <c:f>'Figures 3-6'!$AH$49:$BU$49</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'Figures 3-6'!$AH$51:$BU$51</c:f>
              <c:numCache>
                <c:formatCode>#,##0.0</c:formatCode>
                <c:ptCount val="40"/>
                <c:pt idx="0">
                  <c:v>1.3801503036642727E-2</c:v>
                </c:pt>
                <c:pt idx="1">
                  <c:v>0.10250810373022921</c:v>
                </c:pt>
                <c:pt idx="2">
                  <c:v>0.32140060564134304</c:v>
                </c:pt>
                <c:pt idx="3">
                  <c:v>0.70819088008020181</c:v>
                </c:pt>
                <c:pt idx="4">
                  <c:v>1.2865903014343147</c:v>
                </c:pt>
                <c:pt idx="5">
                  <c:v>2.0692648651289542</c:v>
                </c:pt>
                <c:pt idx="6">
                  <c:v>3.0602740346849182</c:v>
                </c:pt>
                <c:pt idx="7">
                  <c:v>4.2570757029793187</c:v>
                </c:pt>
                <c:pt idx="8">
                  <c:v>5.6521671458405169</c:v>
                </c:pt>
                <c:pt idx="9">
                  <c:v>7.2344211823897746</c:v>
                </c:pt>
                <c:pt idx="10">
                  <c:v>8.9901676693851371</c:v>
                </c:pt>
                <c:pt idx="11">
                  <c:v>10.904062717666822</c:v>
                </c:pt>
                <c:pt idx="12">
                  <c:v>12.959781431811036</c:v>
                </c:pt>
                <c:pt idx="13">
                  <c:v>15.140564371508987</c:v>
                </c:pt>
                <c:pt idx="14">
                  <c:v>17.4296431713258</c:v>
                </c:pt>
                <c:pt idx="15">
                  <c:v>19.810566711342741</c:v>
                </c:pt>
                <c:pt idx="16">
                  <c:v>22.267445799447479</c:v>
                </c:pt>
                <c:pt idx="17">
                  <c:v>24.785131416603353</c:v>
                </c:pt>
                <c:pt idx="18">
                  <c:v>27.349339112214277</c:v>
                </c:pt>
                <c:pt idx="19">
                  <c:v>29.946730051786854</c:v>
                </c:pt>
                <c:pt idx="20">
                  <c:v>32.564957457117195</c:v>
                </c:pt>
                <c:pt idx="21">
                  <c:v>35.192685692036868</c:v>
                </c:pt>
                <c:pt idx="22">
                  <c:v>37.819587993197999</c:v>
                </c:pt>
                <c:pt idx="23">
                  <c:v>40.436327790332221</c:v>
                </c:pt>
                <c:pt idx="24">
                  <c:v>43.034527673896086</c:v>
                </c:pt>
                <c:pt idx="25">
                  <c:v>45.606729324439719</c:v>
                </c:pt>
                <c:pt idx="26">
                  <c:v>48.146347095592041</c:v>
                </c:pt>
                <c:pt idx="27">
                  <c:v>50.647617422659295</c:v>
                </c:pt>
                <c:pt idx="28">
                  <c:v>53.105545795652432</c:v>
                </c:pt>
                <c:pt idx="29">
                  <c:v>55.515852675616792</c:v>
                </c:pt>
                <c:pt idx="30">
                  <c:v>57.874919434974622</c:v>
                </c:pt>
                <c:pt idx="31">
                  <c:v>60.179735156461923</c:v>
                </c:pt>
                <c:pt idx="32">
                  <c:v>62.427844922873923</c:v>
                </c:pt>
                <c:pt idx="33">
                  <c:v>64.617300064203548</c:v>
                </c:pt>
                <c:pt idx="34">
                  <c:v>66.746610693912174</c:v>
                </c:pt>
                <c:pt idx="35">
                  <c:v>68.814700756968321</c:v>
                </c:pt>
                <c:pt idx="36">
                  <c:v>70.820865724660678</c:v>
                </c:pt>
                <c:pt idx="37">
                  <c:v>72.764733001429349</c:v>
                </c:pt>
                <c:pt idx="38">
                  <c:v>74.646225054022594</c:v>
                </c:pt>
                <c:pt idx="39">
                  <c:v>76.465525230604669</c:v>
                </c:pt>
              </c:numCache>
            </c:numRef>
          </c:yVal>
          <c:smooth val="0"/>
          <c:extLst>
            <c:ext xmlns:c16="http://schemas.microsoft.com/office/drawing/2014/chart" uri="{C3380CC4-5D6E-409C-BE32-E72D297353CC}">
              <c16:uniqueId val="{00000001-BA6D-4820-B895-D1EB5AE3E3B7}"/>
            </c:ext>
          </c:extLst>
        </c:ser>
        <c:ser>
          <c:idx val="5"/>
          <c:order val="2"/>
          <c:tx>
            <c:strRef>
              <c:f>'Figures 3-6'!$B$52</c:f>
              <c:strCache>
                <c:ptCount val="1"/>
              </c:strCache>
            </c:strRef>
          </c:tx>
          <c:spPr>
            <a:ln w="15875" cap="rnd">
              <a:solidFill>
                <a:srgbClr val="E31A1C"/>
              </a:solidFill>
              <a:round/>
            </a:ln>
            <a:effectLst/>
          </c:spPr>
          <c:marker>
            <c:symbol val="none"/>
          </c:marker>
          <c:xVal>
            <c:numRef>
              <c:f>'Figures 3-6'!$AH$49:$BU$49</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'Figures 3-6'!$AH$52:$BU$52</c:f>
              <c:numCache>
                <c:formatCode>#,##0.0</c:formatCode>
                <c:ptCount val="40"/>
                <c:pt idx="0">
                  <c:v>-2.5584001475069904</c:v>
                </c:pt>
                <c:pt idx="1">
                  <c:v>-5.009311317965726</c:v>
                </c:pt>
                <c:pt idx="2">
                  <c:v>-7.2916891431218653</c:v>
                </c:pt>
                <c:pt idx="3">
                  <c:v>-9.3628272416761433</c:v>
                </c:pt>
                <c:pt idx="4">
                  <c:v>-11.194734700286391</c:v>
                </c:pt>
                <c:pt idx="5">
                  <c:v>-12.771126895949582</c:v>
                </c:pt>
                <c:pt idx="6">
                  <c:v>-14.084933447880919</c:v>
                </c:pt>
                <c:pt idx="7">
                  <c:v>-15.136241545998519</c:v>
                </c:pt>
                <c:pt idx="8">
                  <c:v>-15.930605244466944</c:v>
                </c:pt>
                <c:pt idx="9">
                  <c:v>-16.477661837626314</c:v>
                </c:pt>
                <c:pt idx="10">
                  <c:v>-16.790005413687098</c:v>
                </c:pt>
                <c:pt idx="11">
                  <c:v>-16.88227533309777</c:v>
                </c:pt>
                <c:pt idx="12">
                  <c:v>-16.770423895722224</c:v>
                </c:pt>
                <c:pt idx="13">
                  <c:v>-16.471133008617521</c:v>
                </c:pt>
                <c:pt idx="14">
                  <c:v>-16.001354385382783</c:v>
                </c:pt>
                <c:pt idx="15">
                  <c:v>-15.377951819619863</c:v>
                </c:pt>
                <c:pt idx="16">
                  <c:v>-14.617427482484644</c:v>
                </c:pt>
                <c:pt idx="17">
                  <c:v>-13.735717086202843</c:v>
                </c:pt>
                <c:pt idx="18">
                  <c:v>-12.748041207584617</c:v>
                </c:pt>
                <c:pt idx="19">
                  <c:v>-11.668802142856347</c:v>
                </c:pt>
                <c:pt idx="20">
                  <c:v>-10.511517423004634</c:v>
                </c:pt>
                <c:pt idx="21">
                  <c:v>-9.2887826047222148</c:v>
                </c:pt>
                <c:pt idx="22">
                  <c:v>-8.0122572064867157</c:v>
                </c:pt>
                <c:pt idx="23">
                  <c:v>-6.6926687169221566</c:v>
                </c:pt>
                <c:pt idx="24">
                  <c:v>-5.3398304929540927</c:v>
                </c:pt>
                <c:pt idx="25">
                  <c:v>-3.9626701136181168</c:v>
                </c:pt>
                <c:pt idx="26">
                  <c:v>-2.5692653832496717</c:v>
                </c:pt>
                <c:pt idx="27">
                  <c:v>-1.1668857035371829</c:v>
                </c:pt>
                <c:pt idx="28">
                  <c:v>0.23796302678849912</c:v>
                </c:pt>
                <c:pt idx="29">
                  <c:v>1.6394914596953498</c:v>
                </c:pt>
                <c:pt idx="30">
                  <c:v>3.0325789637079197</c:v>
                </c:pt>
                <c:pt idx="31">
                  <c:v>4.4127258263119415</c:v>
                </c:pt>
                <c:pt idx="32">
                  <c:v>5.7760062029971948</c:v>
                </c:pt>
                <c:pt idx="33">
                  <c:v>7.119022351632033</c:v>
                </c:pt>
                <c:pt idx="34">
                  <c:v>8.4388605504930823</c:v>
                </c:pt>
                <c:pt idx="35">
                  <c:v>9.7330489839056398</c:v>
                </c:pt>
                <c:pt idx="36">
                  <c:v>10.999517786840094</c:v>
                </c:pt>
                <c:pt idx="37">
                  <c:v>12.236561365351669</c:v>
                </c:pt>
                <c:pt idx="38">
                  <c:v>13.442803050406859</c:v>
                </c:pt>
                <c:pt idx="39">
                  <c:v>14.617162095842325</c:v>
                </c:pt>
              </c:numCache>
            </c:numRef>
          </c:yVal>
          <c:smooth val="0"/>
          <c:extLst>
            <c:ext xmlns:c16="http://schemas.microsoft.com/office/drawing/2014/chart" uri="{C3380CC4-5D6E-409C-BE32-E72D297353CC}">
              <c16:uniqueId val="{00000002-BA6D-4820-B895-D1EB5AE3E3B7}"/>
            </c:ext>
          </c:extLst>
        </c:ser>
        <c:dLbls>
          <c:showLegendKey val="0"/>
          <c:showVal val="0"/>
          <c:showCatName val="0"/>
          <c:showSerName val="0"/>
          <c:showPercent val="0"/>
          <c:showBubbleSize val="0"/>
        </c:dLbls>
        <c:axId val="571412608"/>
        <c:axId val="917020512"/>
      </c:scatterChart>
      <c:valAx>
        <c:axId val="571412608"/>
        <c:scaling>
          <c:orientation val="minMax"/>
          <c:max val="4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chemeClr val="tx1"/>
                    </a:solidFill>
                  </a:rPr>
                  <a:t>model year</a:t>
                </a:r>
              </a:p>
            </c:rich>
          </c:tx>
          <c:layout>
            <c:manualLayout>
              <c:xMode val="edge"/>
              <c:yMode val="edge"/>
              <c:x val="0.44701552628154734"/>
              <c:y val="0.922542344634560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cross"/>
        <c:minorTickMark val="cross"/>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917020512"/>
        <c:crosses val="autoZero"/>
        <c:crossBetween val="midCat"/>
        <c:majorUnit val="10"/>
        <c:minorUnit val="5"/>
      </c:valAx>
      <c:valAx>
        <c:axId val="917020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chemeClr val="tx1"/>
                    </a:solidFill>
                  </a:rPr>
                  <a:t>new stock,</a:t>
                </a:r>
                <a:r>
                  <a:rPr lang="en-US" sz="900" b="1" baseline="0">
                    <a:solidFill>
                      <a:schemeClr val="tx1"/>
                    </a:solidFill>
                  </a:rPr>
                  <a:t> MgC/ha</a:t>
                </a:r>
                <a:endParaRPr lang="en-US" sz="900" b="1">
                  <a:solidFill>
                    <a:schemeClr val="tx1"/>
                  </a:solidFill>
                </a:endParaRP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571412608"/>
        <c:crosses val="autoZero"/>
        <c:crossBetween val="midCat"/>
      </c:val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57538675721412"/>
          <c:y val="0.1588217891956363"/>
          <c:w val="0.7576477347816003"/>
          <c:h val="0.6776670195468294"/>
        </c:manualLayout>
      </c:layout>
      <c:scatterChart>
        <c:scatterStyle val="lineMarker"/>
        <c:varyColors val="0"/>
        <c:ser>
          <c:idx val="4"/>
          <c:order val="0"/>
          <c:tx>
            <c:strRef>
              <c:f>'Figures 3-6'!$G$72</c:f>
              <c:strCache>
                <c:ptCount val="1"/>
                <c:pt idx="0">
                  <c:v>REF</c:v>
                </c:pt>
              </c:strCache>
            </c:strRef>
          </c:tx>
          <c:spPr>
            <a:ln w="38100" cap="rnd">
              <a:solidFill>
                <a:srgbClr val="A1D99B"/>
              </a:solidFill>
              <a:prstDash val="solid"/>
              <a:round/>
            </a:ln>
            <a:effectLst/>
          </c:spPr>
          <c:marker>
            <c:symbol val="none"/>
          </c:marker>
          <c:xVal>
            <c:numRef>
              <c:f>'Figures 3-6'!$H$71:$AV$71</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numCache>
            </c:numRef>
          </c:xVal>
          <c:yVal>
            <c:numRef>
              <c:f>'Figures 3-6'!$H$72:$AV$72</c:f>
              <c:numCache>
                <c:formatCode>#,##0.0</c:formatCode>
                <c:ptCount val="41"/>
                <c:pt idx="1">
                  <c:v>-9.4247816429186848</c:v>
                </c:pt>
                <c:pt idx="2">
                  <c:v>-18.730172977430797</c:v>
                </c:pt>
                <c:pt idx="3">
                  <c:v>-27.895055776389551</c:v>
                </c:pt>
                <c:pt idx="4">
                  <c:v>-36.901129699286969</c:v>
                </c:pt>
                <c:pt idx="5">
                  <c:v>-45.732714124748938</c:v>
                </c:pt>
                <c:pt idx="6">
                  <c:v>-54.376550071015544</c:v>
                </c:pt>
                <c:pt idx="7">
                  <c:v>-62.821605262389397</c:v>
                </c:pt>
                <c:pt idx="8">
                  <c:v>-71.05888465814283</c:v>
                </c:pt>
                <c:pt idx="9">
                  <c:v>-79.0812481534917</c:v>
                </c:pt>
                <c:pt idx="10">
                  <c:v>-86.883236668158929</c:v>
                </c:pt>
                <c:pt idx="11">
                  <c:v>-94.460907438284835</c:v>
                </c:pt>
                <c:pt idx="12">
                  <c:v>-101.81167900636052</c:v>
                </c:pt>
                <c:pt idx="13">
                  <c:v>-108.9341861482433</c:v>
                </c:pt>
                <c:pt idx="14">
                  <c:v>-115.82814477502143</c:v>
                </c:pt>
                <c:pt idx="15">
                  <c:v>-122.4942266911051</c:v>
                </c:pt>
                <c:pt idx="16">
                  <c:v>-128.93394397053885</c:v>
                </c:pt>
                <c:pt idx="17">
                  <c:v>-135.14954262449214</c:v>
                </c:pt>
                <c:pt idx="18">
                  <c:v>-141.14390516862045</c:v>
                </c:pt>
                <c:pt idx="19">
                  <c:v>-146.9204616548235</c:v>
                </c:pt>
                <c:pt idx="20">
                  <c:v>-152.48310870396571</c:v>
                </c:pt>
                <c:pt idx="21">
                  <c:v>-157.83613606111138</c:v>
                </c:pt>
                <c:pt idx="22">
                  <c:v>-162.98416019006945</c:v>
                </c:pt>
                <c:pt idx="23">
                  <c:v>-167.93206442729166</c:v>
                </c:pt>
                <c:pt idx="24">
                  <c:v>-172.68494522459881</c:v>
                </c:pt>
                <c:pt idx="25">
                  <c:v>-177.24806402427478</c:v>
                </c:pt>
                <c:pt idx="26">
                  <c:v>-181.62680432755843</c:v>
                </c:pt>
                <c:pt idx="27">
                  <c:v>-185.82663353743811</c:v>
                </c:pt>
                <c:pt idx="28">
                  <c:v>-189.85306917811789</c:v>
                </c:pt>
                <c:pt idx="29">
                  <c:v>-193.71164911591009</c:v>
                </c:pt>
                <c:pt idx="30">
                  <c:v>-197.4079054290923</c:v>
                </c:pt>
                <c:pt idx="31">
                  <c:v>-200.94734159705141</c:v>
                </c:pt>
                <c:pt idx="32">
                  <c:v>-204.33541270148439</c:v>
                </c:pt>
                <c:pt idx="33">
                  <c:v>-207.57750835430735</c:v>
                </c:pt>
                <c:pt idx="34">
                  <c:v>-210.67893808805874</c:v>
                </c:pt>
                <c:pt idx="35">
                  <c:v>-213.64491896482579</c:v>
                </c:pt>
                <c:pt idx="36">
                  <c:v>-216.48056517901284</c:v>
                </c:pt>
                <c:pt idx="37">
                  <c:v>-219.19087944752062</c:v>
                </c:pt>
                <c:pt idx="38">
                  <c:v>-221.78074599810984</c:v>
                </c:pt>
                <c:pt idx="39">
                  <c:v>-224.25492498287244</c:v>
                </c:pt>
                <c:pt idx="40">
                  <c:v>-226.61804815881362</c:v>
                </c:pt>
              </c:numCache>
            </c:numRef>
          </c:yVal>
          <c:smooth val="0"/>
          <c:extLst>
            <c:ext xmlns:c16="http://schemas.microsoft.com/office/drawing/2014/chart" uri="{C3380CC4-5D6E-409C-BE32-E72D297353CC}">
              <c16:uniqueId val="{00000000-E735-4F04-AE60-1EC95C160681}"/>
            </c:ext>
          </c:extLst>
        </c:ser>
        <c:ser>
          <c:idx val="3"/>
          <c:order val="1"/>
          <c:tx>
            <c:strRef>
              <c:f>'Figures 3-6'!$G$73</c:f>
              <c:strCache>
                <c:ptCount val="1"/>
                <c:pt idx="0">
                  <c:v>LOG</c:v>
                </c:pt>
              </c:strCache>
            </c:strRef>
          </c:tx>
          <c:spPr>
            <a:ln w="38100" cap="rnd">
              <a:solidFill>
                <a:srgbClr val="2171B5"/>
              </a:solidFill>
              <a:prstDash val="solid"/>
              <a:round/>
            </a:ln>
            <a:effectLst/>
          </c:spPr>
          <c:marker>
            <c:symbol val="none"/>
          </c:marker>
          <c:xVal>
            <c:numRef>
              <c:f>'Figures 3-6'!$H$71:$AV$71</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numCache>
            </c:numRef>
          </c:xVal>
          <c:yVal>
            <c:numRef>
              <c:f>'Figures 3-6'!$H$73:$AV$73</c:f>
              <c:numCache>
                <c:formatCode>#,##0.0</c:formatCode>
                <c:ptCount val="41"/>
                <c:pt idx="1">
                  <c:v>-5.056996695299739E-2</c:v>
                </c:pt>
                <c:pt idx="2">
                  <c:v>-0.37559904919697124</c:v>
                </c:pt>
                <c:pt idx="3">
                  <c:v>-1.1776411571119523</c:v>
                </c:pt>
                <c:pt idx="4">
                  <c:v>-2.5948760295879811</c:v>
                </c:pt>
                <c:pt idx="5">
                  <c:v>-4.7141843067990257</c:v>
                </c:pt>
                <c:pt idx="6">
                  <c:v>-7.5819753521587874</c:v>
                </c:pt>
                <c:pt idx="7">
                  <c:v>-11.213123410562812</c:v>
                </c:pt>
                <c:pt idx="8">
                  <c:v>-15.598313969464595</c:v>
                </c:pt>
                <c:pt idx="9">
                  <c:v>-20.710056362636706</c:v>
                </c:pt>
                <c:pt idx="10">
                  <c:v>-26.507579583629784</c:v>
                </c:pt>
                <c:pt idx="11">
                  <c:v>-32.940794979769336</c:v>
                </c:pt>
                <c:pt idx="12">
                  <c:v>-39.953481140555311</c:v>
                </c:pt>
                <c:pt idx="13">
                  <c:v>-47.485822158988285</c:v>
                </c:pt>
                <c:pt idx="14">
                  <c:v>-55.476409915944096</c:v>
                </c:pt>
                <c:pt idx="15">
                  <c:v>-63.863803589821948</c:v>
                </c:pt>
                <c:pt idx="16">
                  <c:v>-72.587724775550925</c:v>
                </c:pt>
                <c:pt idx="17">
                  <c:v>-81.589954022836579</c:v>
                </c:pt>
                <c:pt idx="18">
                  <c:v>-90.814983943098099</c:v>
                </c:pt>
                <c:pt idx="19">
                  <c:v>-100.21047500544034</c:v>
                </c:pt>
                <c:pt idx="20">
                  <c:v>-109.727552502686</c:v>
                </c:pt>
                <c:pt idx="21">
                  <c:v>-119.32097671245926</c:v>
                </c:pt>
                <c:pt idx="22">
                  <c:v>-128.94921282910113</c:v>
                </c:pt>
                <c:pt idx="23">
                  <c:v>-138.57442264905893</c:v>
                </c:pt>
                <c:pt idx="24">
                  <c:v>-148.16239612660999</c:v>
                </c:pt>
                <c:pt idx="25">
                  <c:v>-157.68243766848164</c:v>
                </c:pt>
                <c:pt idx="26">
                  <c:v>-167.10721931140031</c:v>
                </c:pt>
                <c:pt idx="27">
                  <c:v>-176.41261064591242</c:v>
                </c:pt>
                <c:pt idx="28">
                  <c:v>-185.57749344487118</c:v>
                </c:pt>
                <c:pt idx="29">
                  <c:v>-194.58356736776861</c:v>
                </c:pt>
                <c:pt idx="30">
                  <c:v>-203.41515179323056</c:v>
                </c:pt>
                <c:pt idx="31">
                  <c:v>-212.05898773949718</c:v>
                </c:pt>
                <c:pt idx="32">
                  <c:v>-220.50404293087104</c:v>
                </c:pt>
                <c:pt idx="33">
                  <c:v>-228.74132232662444</c:v>
                </c:pt>
                <c:pt idx="34">
                  <c:v>-236.76368582197333</c:v>
                </c:pt>
                <c:pt idx="35">
                  <c:v>-244.56567433664057</c:v>
                </c:pt>
                <c:pt idx="36">
                  <c:v>-252.14334510676647</c:v>
                </c:pt>
                <c:pt idx="37">
                  <c:v>-259.49411667484213</c:v>
                </c:pt>
                <c:pt idx="38">
                  <c:v>-266.61662381672494</c:v>
                </c:pt>
                <c:pt idx="39">
                  <c:v>-273.51058244350304</c:v>
                </c:pt>
                <c:pt idx="40">
                  <c:v>-280.17666435958671</c:v>
                </c:pt>
              </c:numCache>
            </c:numRef>
          </c:yVal>
          <c:smooth val="0"/>
          <c:extLst>
            <c:ext xmlns:c16="http://schemas.microsoft.com/office/drawing/2014/chart" uri="{C3380CC4-5D6E-409C-BE32-E72D297353CC}">
              <c16:uniqueId val="{00000001-E735-4F04-AE60-1EC95C160681}"/>
            </c:ext>
          </c:extLst>
        </c:ser>
        <c:ser>
          <c:idx val="5"/>
          <c:order val="2"/>
          <c:tx>
            <c:strRef>
              <c:f>'Figures 3-6'!$G$74</c:f>
              <c:strCache>
                <c:ptCount val="1"/>
                <c:pt idx="0">
                  <c:v>LOG-REF</c:v>
                </c:pt>
              </c:strCache>
            </c:strRef>
          </c:tx>
          <c:spPr>
            <a:ln w="15875" cap="rnd">
              <a:solidFill>
                <a:srgbClr val="E31A1C"/>
              </a:solidFill>
              <a:round/>
            </a:ln>
            <a:effectLst/>
          </c:spPr>
          <c:marker>
            <c:symbol val="none"/>
          </c:marker>
          <c:xVal>
            <c:numRef>
              <c:f>'Figures 3-6'!$H$71:$AV$71</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numCache>
            </c:numRef>
          </c:xVal>
          <c:yVal>
            <c:numRef>
              <c:f>'Figures 3-6'!$H$74:$AV$74</c:f>
              <c:numCache>
                <c:formatCode>#,##0.0</c:formatCode>
                <c:ptCount val="41"/>
                <c:pt idx="1">
                  <c:v>9.3742116759656877</c:v>
                </c:pt>
                <c:pt idx="2">
                  <c:v>18.354573928233826</c:v>
                </c:pt>
                <c:pt idx="3">
                  <c:v>26.717414619277601</c:v>
                </c:pt>
                <c:pt idx="4">
                  <c:v>34.306253669698989</c:v>
                </c:pt>
                <c:pt idx="5">
                  <c:v>41.018529817949911</c:v>
                </c:pt>
                <c:pt idx="6">
                  <c:v>46.794574718856758</c:v>
                </c:pt>
                <c:pt idx="7">
                  <c:v>51.608481851826582</c:v>
                </c:pt>
                <c:pt idx="8">
                  <c:v>55.460570688678231</c:v>
                </c:pt>
                <c:pt idx="9">
                  <c:v>58.371191790855001</c:v>
                </c:pt>
                <c:pt idx="10">
                  <c:v>60.375657084529145</c:v>
                </c:pt>
                <c:pt idx="11">
                  <c:v>61.520112458515506</c:v>
                </c:pt>
                <c:pt idx="12">
                  <c:v>61.858197865805209</c:v>
                </c:pt>
                <c:pt idx="13">
                  <c:v>61.448363989255014</c:v>
                </c:pt>
                <c:pt idx="14">
                  <c:v>60.351734859077332</c:v>
                </c:pt>
                <c:pt idx="15">
                  <c:v>58.630423101283142</c:v>
                </c:pt>
                <c:pt idx="16">
                  <c:v>56.346219194987924</c:v>
                </c:pt>
                <c:pt idx="17">
                  <c:v>53.559588601655548</c:v>
                </c:pt>
                <c:pt idx="18">
                  <c:v>50.328921225522357</c:v>
                </c:pt>
                <c:pt idx="19">
                  <c:v>46.709986649383168</c:v>
                </c:pt>
                <c:pt idx="20">
                  <c:v>42.755556201279703</c:v>
                </c:pt>
                <c:pt idx="21">
                  <c:v>38.515159348652112</c:v>
                </c:pt>
                <c:pt idx="22">
                  <c:v>34.034947360968303</c:v>
                </c:pt>
                <c:pt idx="23">
                  <c:v>29.357641778232729</c:v>
                </c:pt>
                <c:pt idx="24">
                  <c:v>24.522549097988808</c:v>
                </c:pt>
                <c:pt idx="25">
                  <c:v>19.565626355793157</c:v>
                </c:pt>
                <c:pt idx="26">
                  <c:v>14.519585016158123</c:v>
                </c:pt>
                <c:pt idx="27">
                  <c:v>9.4140228915256987</c:v>
                </c:pt>
                <c:pt idx="28">
                  <c:v>4.2755757332467121</c:v>
                </c:pt>
                <c:pt idx="29">
                  <c:v>-0.87191825185852379</c:v>
                </c:pt>
                <c:pt idx="30">
                  <c:v>-6.0072463641382683</c:v>
                </c:pt>
                <c:pt idx="31">
                  <c:v>-11.111646142445759</c:v>
                </c:pt>
                <c:pt idx="32">
                  <c:v>-16.168630229386633</c:v>
                </c:pt>
                <c:pt idx="33">
                  <c:v>-21.16381397231709</c:v>
                </c:pt>
                <c:pt idx="34">
                  <c:v>-26.08474773391459</c:v>
                </c:pt>
                <c:pt idx="35">
                  <c:v>-30.920755371814774</c:v>
                </c:pt>
                <c:pt idx="36">
                  <c:v>-35.662779927753633</c:v>
                </c:pt>
                <c:pt idx="37">
                  <c:v>-40.303237227321553</c:v>
                </c:pt>
                <c:pt idx="38">
                  <c:v>-44.835877818615096</c:v>
                </c:pt>
                <c:pt idx="39">
                  <c:v>-49.255657460630609</c:v>
                </c:pt>
                <c:pt idx="40">
                  <c:v>-53.558616200773109</c:v>
                </c:pt>
              </c:numCache>
            </c:numRef>
          </c:yVal>
          <c:smooth val="0"/>
          <c:extLst>
            <c:ext xmlns:c16="http://schemas.microsoft.com/office/drawing/2014/chart" uri="{C3380CC4-5D6E-409C-BE32-E72D297353CC}">
              <c16:uniqueId val="{00000002-E735-4F04-AE60-1EC95C160681}"/>
            </c:ext>
          </c:extLst>
        </c:ser>
        <c:dLbls>
          <c:showLegendKey val="0"/>
          <c:showVal val="0"/>
          <c:showCatName val="0"/>
          <c:showSerName val="0"/>
          <c:showPercent val="0"/>
          <c:showBubbleSize val="0"/>
        </c:dLbls>
        <c:axId val="571412608"/>
        <c:axId val="917020512"/>
      </c:scatterChart>
      <c:valAx>
        <c:axId val="571412608"/>
        <c:scaling>
          <c:orientation val="minMax"/>
          <c:max val="4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chemeClr val="tx1"/>
                    </a:solidFill>
                  </a:rPr>
                  <a:t>model year</a:t>
                </a:r>
              </a:p>
            </c:rich>
          </c:tx>
          <c:layout>
            <c:manualLayout>
              <c:xMode val="edge"/>
              <c:yMode val="edge"/>
              <c:x val="0.44701552628154734"/>
              <c:y val="0.922542344634560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cross"/>
        <c:minorTickMark val="cross"/>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917020512"/>
        <c:crosses val="autoZero"/>
        <c:crossBetween val="midCat"/>
        <c:majorUnit val="10"/>
        <c:minorUnit val="5"/>
      </c:valAx>
      <c:valAx>
        <c:axId val="917020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chemeClr val="tx1"/>
                    </a:solidFill>
                  </a:rPr>
                  <a:t>cumulative emissions,</a:t>
                </a:r>
                <a:r>
                  <a:rPr lang="en-US" sz="900" b="1" baseline="0">
                    <a:solidFill>
                      <a:schemeClr val="tx1"/>
                    </a:solidFill>
                  </a:rPr>
                  <a:t> MgCO</a:t>
                </a:r>
                <a:r>
                  <a:rPr lang="en-US" sz="900" b="1" baseline="-25000">
                    <a:solidFill>
                      <a:schemeClr val="tx1"/>
                    </a:solidFill>
                  </a:rPr>
                  <a:t>2</a:t>
                </a:r>
                <a:r>
                  <a:rPr lang="en-US" sz="900" b="1" baseline="0">
                    <a:solidFill>
                      <a:schemeClr val="tx1"/>
                    </a:solidFill>
                  </a:rPr>
                  <a:t>e/ha</a:t>
                </a:r>
                <a:endParaRPr lang="en-US" sz="900" b="1">
                  <a:solidFill>
                    <a:schemeClr val="tx1"/>
                  </a:solidFill>
                </a:endParaRP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571412608"/>
        <c:crosses val="autoZero"/>
        <c:crossBetween val="midCat"/>
      </c:val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57538675721412"/>
          <c:y val="0.1588217891956363"/>
          <c:w val="0.7576477347816003"/>
          <c:h val="0.6776670195468294"/>
        </c:manualLayout>
      </c:layout>
      <c:scatterChart>
        <c:scatterStyle val="lineMarker"/>
        <c:varyColors val="0"/>
        <c:ser>
          <c:idx val="4"/>
          <c:order val="0"/>
          <c:tx>
            <c:strRef>
              <c:f>'Figure 7'!$G$24</c:f>
              <c:strCache>
                <c:ptCount val="1"/>
                <c:pt idx="0">
                  <c:v>REF</c:v>
                </c:pt>
              </c:strCache>
            </c:strRef>
          </c:tx>
          <c:spPr>
            <a:ln w="38100" cap="rnd">
              <a:solidFill>
                <a:srgbClr val="A1D99B"/>
              </a:solidFill>
              <a:prstDash val="solid"/>
              <a:round/>
            </a:ln>
            <a:effectLst/>
          </c:spPr>
          <c:marker>
            <c:symbol val="none"/>
          </c:marker>
          <c:xVal>
            <c:numRef>
              <c:f>'Figure 7'!$H$23:$AV$23</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numCache>
            </c:numRef>
          </c:xVal>
          <c:yVal>
            <c:numRef>
              <c:f>'Figure 7'!$H$24:$AV$24</c:f>
              <c:numCache>
                <c:formatCode>#,##0</c:formatCode>
                <c:ptCount val="41"/>
                <c:pt idx="1">
                  <c:v>-0.38262403172455495</c:v>
                </c:pt>
                <c:pt idx="2">
                  <c:v>-1.1430251286462565</c:v>
                </c:pt>
                <c:pt idx="3">
                  <c:v>-2.275498973741958</c:v>
                </c:pt>
                <c:pt idx="4">
                  <c:v>-3.7735982990818089</c:v>
                </c:pt>
                <c:pt idx="5">
                  <c:v>-5.6302392402823305</c:v>
                </c:pt>
                <c:pt idx="6">
                  <c:v>-7.8377996493955253</c:v>
                </c:pt>
                <c:pt idx="7">
                  <c:v>-10.388209493952953</c:v>
                </c:pt>
                <c:pt idx="8">
                  <c:v>-13.273033563927781</c:v>
                </c:pt>
                <c:pt idx="9">
                  <c:v>-16.4835467777839</c:v>
                </c:pt>
                <c:pt idx="10">
                  <c:v>-20.010802428128571</c:v>
                </c:pt>
                <c:pt idx="11">
                  <c:v>-23.845693740602915</c:v>
                </c:pt>
                <c:pt idx="12">
                  <c:v>-27.979009139727221</c:v>
                </c:pt>
                <c:pt idx="13">
                  <c:v>-32.40148162512331</c:v>
                </c:pt>
                <c:pt idx="14">
                  <c:v>-37.103832663069426</c:v>
                </c:pt>
                <c:pt idx="15">
                  <c:v>-42.076810993527346</c:v>
                </c:pt>
                <c:pt idx="16">
                  <c:v>-47.311226743118951</c:v>
                </c:pt>
                <c:pt idx="17">
                  <c:v>-52.797981221252265</c:v>
                </c:pt>
                <c:pt idx="18">
                  <c:v>-58.528092760710848</c:v>
                </c:pt>
                <c:pt idx="19">
                  <c:v>-64.492718946341242</c:v>
                </c:pt>
                <c:pt idx="20">
                  <c:v>-70.683175556658739</c:v>
                </c:pt>
                <c:pt idx="21">
                  <c:v>-77.090952523767925</c:v>
                </c:pt>
                <c:pt idx="22">
                  <c:v>-83.707727197377523</c:v>
                </c:pt>
                <c:pt idx="23">
                  <c:v>-90.52537517920382</c:v>
                </c:pt>
                <c:pt idx="24">
                  <c:v>-97.535978974954801</c:v>
                </c:pt>
                <c:pt idx="25">
                  <c:v>-104.73183469255609</c:v>
                </c:pt>
                <c:pt idx="26">
                  <c:v>-111.72283296573366</c:v>
                </c:pt>
                <c:pt idx="27">
                  <c:v>-118.50655739020462</c:v>
                </c:pt>
                <c:pt idx="28">
                  <c:v>-125.08167291072485</c:v>
                </c:pt>
                <c:pt idx="29">
                  <c:v>-131.4478122473418</c:v>
                </c:pt>
                <c:pt idx="30">
                  <c:v>-137.60546930596081</c:v>
                </c:pt>
                <c:pt idx="31">
                  <c:v>-143.55589970440806</c:v>
                </c:pt>
                <c:pt idx="32">
                  <c:v>-149.30102840855389</c:v>
                </c:pt>
                <c:pt idx="33">
                  <c:v>-154.84336436743106</c:v>
                </c:pt>
                <c:pt idx="34">
                  <c:v>-160.18592195615082</c:v>
                </c:pt>
                <c:pt idx="35">
                  <c:v>-165.33214897616671</c:v>
                </c:pt>
                <c:pt idx="36">
                  <c:v>-170.28586092019742</c:v>
                </c:pt>
                <c:pt idx="37">
                  <c:v>-175.0511811806563</c:v>
                </c:pt>
                <c:pt idx="38">
                  <c:v>-179.63248686304777</c:v>
                </c:pt>
                <c:pt idx="39">
                  <c:v>-184.03435985723127</c:v>
                </c:pt>
                <c:pt idx="40">
                  <c:v>-188.26154281785469</c:v>
                </c:pt>
              </c:numCache>
            </c:numRef>
          </c:yVal>
          <c:smooth val="0"/>
          <c:extLst>
            <c:ext xmlns:c16="http://schemas.microsoft.com/office/drawing/2014/chart" uri="{C3380CC4-5D6E-409C-BE32-E72D297353CC}">
              <c16:uniqueId val="{00000000-C328-42FE-B97F-B9DA08170184}"/>
            </c:ext>
          </c:extLst>
        </c:ser>
        <c:ser>
          <c:idx val="3"/>
          <c:order val="1"/>
          <c:tx>
            <c:strRef>
              <c:f>'Figure 7'!$G$25</c:f>
              <c:strCache>
                <c:ptCount val="1"/>
                <c:pt idx="0">
                  <c:v>LOG</c:v>
                </c:pt>
              </c:strCache>
            </c:strRef>
          </c:tx>
          <c:spPr>
            <a:ln w="38100" cap="rnd">
              <a:solidFill>
                <a:srgbClr val="2171B5"/>
              </a:solidFill>
              <a:prstDash val="solid"/>
              <a:round/>
            </a:ln>
            <a:effectLst/>
          </c:spPr>
          <c:marker>
            <c:symbol val="none"/>
          </c:marker>
          <c:xVal>
            <c:numRef>
              <c:f>'Figure 7'!$H$23:$AV$23</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numCache>
            </c:numRef>
          </c:xVal>
          <c:yVal>
            <c:numRef>
              <c:f>'Figure 7'!$H$25:$AV$25</c:f>
              <c:numCache>
                <c:formatCode>#,##0</c:formatCode>
                <c:ptCount val="41"/>
                <c:pt idx="1">
                  <c:v>-2.0530220617123222E-3</c:v>
                </c:pt>
                <c:pt idx="2">
                  <c:v>-1.730146260501484E-2</c:v>
                </c:pt>
                <c:pt idx="3">
                  <c:v>-6.5110931782213138E-2</c:v>
                </c:pt>
                <c:pt idx="4">
                  <c:v>-0.17045681308571753</c:v>
                </c:pt>
                <c:pt idx="5">
                  <c:v>-0.36184164024670817</c:v>
                </c:pt>
                <c:pt idx="6">
                  <c:v>-0.66965205831182062</c:v>
                </c:pt>
                <c:pt idx="7">
                  <c:v>-1.1248785717874021</c:v>
                </c:pt>
                <c:pt idx="8">
                  <c:v>-1.7581335378147869</c:v>
                </c:pt>
                <c:pt idx="9">
                  <c:v>-2.5989132569575273</c:v>
                </c:pt>
                <c:pt idx="10">
                  <c:v>-3.6750588225334102</c:v>
                </c:pt>
                <c:pt idx="11">
                  <c:v>-5.0123778460294401</c:v>
                </c:pt>
                <c:pt idx="12">
                  <c:v>-6.6343954815166519</c:v>
                </c:pt>
                <c:pt idx="13">
                  <c:v>-8.5622084975220414</c:v>
                </c:pt>
                <c:pt idx="14">
                  <c:v>-10.814420636950357</c:v>
                </c:pt>
                <c:pt idx="15">
                  <c:v>-13.407141289440238</c:v>
                </c:pt>
                <c:pt idx="16">
                  <c:v>-16.354032682749231</c:v>
                </c:pt>
                <c:pt idx="17">
                  <c:v>-19.666393471489062</c:v>
                </c:pt>
                <c:pt idx="18">
                  <c:v>-23.353268840470882</c:v>
                </c:pt>
                <c:pt idx="19">
                  <c:v>-27.421579112298062</c:v>
                </c:pt>
                <c:pt idx="20">
                  <c:v>-31.876260411083429</c:v>
                </c:pt>
                <c:pt idx="21">
                  <c:v>-36.72041223430746</c:v>
                </c:pt>
                <c:pt idx="22">
                  <c:v>-41.955447863748205</c:v>
                </c:pt>
                <c:pt idx="23">
                  <c:v>-47.581244438857553</c:v>
                </c:pt>
                <c:pt idx="24">
                  <c:v>-53.596290251460388</c:v>
                </c:pt>
                <c:pt idx="25">
                  <c:v>-59.997827424281958</c:v>
                </c:pt>
                <c:pt idx="26">
                  <c:v>-66.399364597103528</c:v>
                </c:pt>
                <c:pt idx="27">
                  <c:v>-72.80090176992509</c:v>
                </c:pt>
                <c:pt idx="28">
                  <c:v>-79.202438942746653</c:v>
                </c:pt>
                <c:pt idx="29">
                  <c:v>-85.603976115568216</c:v>
                </c:pt>
                <c:pt idx="30">
                  <c:v>-92.005513288389778</c:v>
                </c:pt>
                <c:pt idx="31">
                  <c:v>-98.407050461211341</c:v>
                </c:pt>
                <c:pt idx="32">
                  <c:v>-104.8085876340329</c:v>
                </c:pt>
                <c:pt idx="33">
                  <c:v>-111.21012480685447</c:v>
                </c:pt>
                <c:pt idx="34">
                  <c:v>-117.61166197967603</c:v>
                </c:pt>
                <c:pt idx="35">
                  <c:v>-124.01319915249759</c:v>
                </c:pt>
                <c:pt idx="36">
                  <c:v>-130.41473632531915</c:v>
                </c:pt>
                <c:pt idx="37">
                  <c:v>-136.81627349814073</c:v>
                </c:pt>
                <c:pt idx="38">
                  <c:v>-143.21781067096231</c:v>
                </c:pt>
                <c:pt idx="39">
                  <c:v>-149.61934784378388</c:v>
                </c:pt>
                <c:pt idx="40">
                  <c:v>-156.02088501660546</c:v>
                </c:pt>
              </c:numCache>
            </c:numRef>
          </c:yVal>
          <c:smooth val="0"/>
          <c:extLst>
            <c:ext xmlns:c16="http://schemas.microsoft.com/office/drawing/2014/chart" uri="{C3380CC4-5D6E-409C-BE32-E72D297353CC}">
              <c16:uniqueId val="{00000001-C328-42FE-B97F-B9DA08170184}"/>
            </c:ext>
          </c:extLst>
        </c:ser>
        <c:ser>
          <c:idx val="5"/>
          <c:order val="2"/>
          <c:tx>
            <c:strRef>
              <c:f>'Figure 7'!$G$26</c:f>
              <c:strCache>
                <c:ptCount val="1"/>
                <c:pt idx="0">
                  <c:v>LOG-REF</c:v>
                </c:pt>
              </c:strCache>
            </c:strRef>
          </c:tx>
          <c:spPr>
            <a:ln w="15875" cap="rnd">
              <a:solidFill>
                <a:srgbClr val="E31A1C"/>
              </a:solidFill>
              <a:round/>
            </a:ln>
            <a:effectLst/>
          </c:spPr>
          <c:marker>
            <c:symbol val="none"/>
          </c:marker>
          <c:xVal>
            <c:numRef>
              <c:f>'Figure 7'!$H$23:$AV$23</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numCache>
            </c:numRef>
          </c:xVal>
          <c:yVal>
            <c:numRef>
              <c:f>'Figure 7'!$H$26:$AV$26</c:f>
              <c:numCache>
                <c:formatCode>#,##0</c:formatCode>
                <c:ptCount val="41"/>
                <c:pt idx="1">
                  <c:v>0.38057100966284263</c:v>
                </c:pt>
                <c:pt idx="2">
                  <c:v>1.1257236660412417</c:v>
                </c:pt>
                <c:pt idx="3">
                  <c:v>2.210388041959745</c:v>
                </c:pt>
                <c:pt idx="4">
                  <c:v>3.6031414859960913</c:v>
                </c:pt>
                <c:pt idx="5">
                  <c:v>5.2683976000356223</c:v>
                </c:pt>
                <c:pt idx="6">
                  <c:v>7.1681475910837049</c:v>
                </c:pt>
                <c:pt idx="7">
                  <c:v>9.2633309221655509</c:v>
                </c:pt>
                <c:pt idx="8">
                  <c:v>11.514900026112993</c:v>
                </c:pt>
                <c:pt idx="9">
                  <c:v>13.884633520826373</c:v>
                </c:pt>
                <c:pt idx="10">
                  <c:v>16.335743605595162</c:v>
                </c:pt>
                <c:pt idx="11">
                  <c:v>18.833315894573474</c:v>
                </c:pt>
                <c:pt idx="12">
                  <c:v>21.344613658210569</c:v>
                </c:pt>
                <c:pt idx="13">
                  <c:v>23.839273127601267</c:v>
                </c:pt>
                <c:pt idx="14">
                  <c:v>26.289412026119066</c:v>
                </c:pt>
                <c:pt idx="15">
                  <c:v>28.669669704087106</c:v>
                </c:pt>
                <c:pt idx="16">
                  <c:v>30.957194060369719</c:v>
                </c:pt>
                <c:pt idx="17">
                  <c:v>33.131587749763199</c:v>
                </c:pt>
                <c:pt idx="18">
                  <c:v>35.174823920239966</c:v>
                </c:pt>
                <c:pt idx="19">
                  <c:v>37.07113983404318</c:v>
                </c:pt>
                <c:pt idx="20">
                  <c:v>38.80691514557531</c:v>
                </c:pt>
                <c:pt idx="21">
                  <c:v>40.370540289460465</c:v>
                </c:pt>
                <c:pt idx="22">
                  <c:v>41.752279333629318</c:v>
                </c:pt>
                <c:pt idx="23">
                  <c:v>42.944130740346267</c:v>
                </c:pt>
                <c:pt idx="24">
                  <c:v>43.939688723494413</c:v>
                </c:pt>
                <c:pt idx="25">
                  <c:v>44.734007268274134</c:v>
                </c:pt>
                <c:pt idx="26">
                  <c:v>45.323468368630131</c:v>
                </c:pt>
                <c:pt idx="27">
                  <c:v>45.705655620279529</c:v>
                </c:pt>
                <c:pt idx="28">
                  <c:v>45.879233967978195</c:v>
                </c:pt>
                <c:pt idx="29">
                  <c:v>45.843836131773585</c:v>
                </c:pt>
                <c:pt idx="30">
                  <c:v>45.599956017571031</c:v>
                </c:pt>
                <c:pt idx="31">
                  <c:v>45.148849243196722</c:v>
                </c:pt>
                <c:pt idx="32">
                  <c:v>44.492440774520986</c:v>
                </c:pt>
                <c:pt idx="33">
                  <c:v>43.633239560576598</c:v>
                </c:pt>
                <c:pt idx="34">
                  <c:v>42.574259976474792</c:v>
                </c:pt>
                <c:pt idx="35">
                  <c:v>41.318949823669115</c:v>
                </c:pt>
                <c:pt idx="36">
                  <c:v>39.871124594878268</c:v>
                </c:pt>
                <c:pt idx="37">
                  <c:v>38.234907682515569</c:v>
                </c:pt>
                <c:pt idx="38">
                  <c:v>36.414676192085466</c:v>
                </c:pt>
                <c:pt idx="39">
                  <c:v>34.415012013447381</c:v>
                </c:pt>
                <c:pt idx="40">
                  <c:v>32.240657801249228</c:v>
                </c:pt>
              </c:numCache>
            </c:numRef>
          </c:yVal>
          <c:smooth val="0"/>
          <c:extLst>
            <c:ext xmlns:c16="http://schemas.microsoft.com/office/drawing/2014/chart" uri="{C3380CC4-5D6E-409C-BE32-E72D297353CC}">
              <c16:uniqueId val="{00000002-C328-42FE-B97F-B9DA08170184}"/>
            </c:ext>
          </c:extLst>
        </c:ser>
        <c:dLbls>
          <c:showLegendKey val="0"/>
          <c:showVal val="0"/>
          <c:showCatName val="0"/>
          <c:showSerName val="0"/>
          <c:showPercent val="0"/>
          <c:showBubbleSize val="0"/>
        </c:dLbls>
        <c:axId val="571412608"/>
        <c:axId val="917020512"/>
      </c:scatterChart>
      <c:valAx>
        <c:axId val="571412608"/>
        <c:scaling>
          <c:orientation val="minMax"/>
          <c:max val="4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chemeClr val="tx1"/>
                    </a:solidFill>
                  </a:rPr>
                  <a:t>model year</a:t>
                </a:r>
              </a:p>
            </c:rich>
          </c:tx>
          <c:layout>
            <c:manualLayout>
              <c:xMode val="edge"/>
              <c:yMode val="edge"/>
              <c:x val="0.44701552628154734"/>
              <c:y val="0.922542344634560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cross"/>
        <c:minorTickMark val="cross"/>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917020512"/>
        <c:crosses val="autoZero"/>
        <c:crossBetween val="midCat"/>
        <c:majorUnit val="10"/>
        <c:minorUnit val="5"/>
      </c:valAx>
      <c:valAx>
        <c:axId val="917020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chemeClr val="tx1"/>
                    </a:solidFill>
                  </a:rPr>
                  <a:t>cumulative emissions,</a:t>
                </a:r>
                <a:r>
                  <a:rPr lang="en-US" sz="900" b="1" baseline="0">
                    <a:solidFill>
                      <a:schemeClr val="tx1"/>
                    </a:solidFill>
                  </a:rPr>
                  <a:t> TgCO</a:t>
                </a:r>
                <a:r>
                  <a:rPr lang="en-US" sz="900" b="1" baseline="-25000">
                    <a:solidFill>
                      <a:schemeClr val="tx1"/>
                    </a:solidFill>
                  </a:rPr>
                  <a:t>2</a:t>
                </a:r>
                <a:r>
                  <a:rPr lang="en-US" sz="900" b="1" baseline="0">
                    <a:solidFill>
                      <a:schemeClr val="tx1"/>
                    </a:solidFill>
                  </a:rPr>
                  <a:t>e</a:t>
                </a:r>
                <a:endParaRPr lang="en-US" sz="900" b="1">
                  <a:solidFill>
                    <a:schemeClr val="tx1"/>
                  </a:solidFill>
                </a:endParaRP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571412608"/>
        <c:crosses val="autoZero"/>
        <c:crossBetween val="midCat"/>
      </c:val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croll" dx="22" fmlaLink="params!$F$145" horiz="1" max="100" page="10" val="0"/>
</file>

<file path=xl/ctrlProps/ctrlProp2.xml><?xml version="1.0" encoding="utf-8"?>
<formControlPr xmlns="http://schemas.microsoft.com/office/spreadsheetml/2009/9/main" objectType="Scroll" dx="22" fmlaLink="params!$F$146" horiz="1" max="100" page="10" val="0"/>
</file>

<file path=xl/ctrlProps/ctrlProp3.xml><?xml version="1.0" encoding="utf-8"?>
<formControlPr xmlns="http://schemas.microsoft.com/office/spreadsheetml/2009/9/main" objectType="Scroll" dx="22" fmlaLink="params!$F$147" horiz="1" max="100" page="10" val="100"/>
</file>

<file path=xl/ctrlProps/ctrlProp4.xml><?xml version="1.0" encoding="utf-8"?>
<formControlPr xmlns="http://schemas.microsoft.com/office/spreadsheetml/2009/9/main" objectType="Scroll" dx="22" fmlaLink="params!$F$148" horiz="1" max="100" page="10" val="100"/>
</file>

<file path=xl/ctrlProps/ctrlProp5.xml><?xml version="1.0" encoding="utf-8"?>
<formControlPr xmlns="http://schemas.microsoft.com/office/spreadsheetml/2009/9/main" objectType="Scroll" dx="22" fmlaLink="params!$F$149" horiz="1" max="100" page="10" val="0"/>
</file>

<file path=xl/ctrlProps/ctrlProp6.xml><?xml version="1.0" encoding="utf-8"?>
<formControlPr xmlns="http://schemas.microsoft.com/office/spreadsheetml/2009/9/main" objectType="Scroll" dx="22" fmlaLink="params!$F$150" horiz="1" max="100" page="10" val="0"/>
</file>

<file path=xl/ctrlProps/ctrlProp7.xml><?xml version="1.0" encoding="utf-8"?>
<formControlPr xmlns="http://schemas.microsoft.com/office/spreadsheetml/2009/9/main" objectType="Scroll" dx="22" fmlaLink="params!$F$151" horiz="1" max="100" page="10"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95250</xdr:rowOff>
    </xdr:from>
    <xdr:to>
      <xdr:col>3</xdr:col>
      <xdr:colOff>57150</xdr:colOff>
      <xdr:row>1</xdr:row>
      <xdr:rowOff>495915</xdr:rowOff>
    </xdr:to>
    <xdr:pic>
      <xdr:nvPicPr>
        <xdr:cNvPr id="3" name="Picture 2">
          <a:extLst>
            <a:ext uri="{FF2B5EF4-FFF2-40B4-BE49-F238E27FC236}">
              <a16:creationId xmlns:a16="http://schemas.microsoft.com/office/drawing/2014/main" id="{65B020AC-168D-46DD-9899-3E888CBE92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5" y="247650"/>
          <a:ext cx="3105150" cy="4006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2</xdr:row>
      <xdr:rowOff>24849</xdr:rowOff>
    </xdr:from>
    <xdr:to>
      <xdr:col>12</xdr:col>
      <xdr:colOff>276225</xdr:colOff>
      <xdr:row>21</xdr:row>
      <xdr:rowOff>144947</xdr:rowOff>
    </xdr:to>
    <xdr:graphicFrame macro="">
      <xdr:nvGraphicFramePr>
        <xdr:cNvPr id="35" name="Chart 34">
          <a:extLst>
            <a:ext uri="{FF2B5EF4-FFF2-40B4-BE49-F238E27FC236}">
              <a16:creationId xmlns:a16="http://schemas.microsoft.com/office/drawing/2014/main" id="{673ACACC-501B-4746-908C-E4BA0DAB61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6</xdr:col>
      <xdr:colOff>386383</xdr:colOff>
      <xdr:row>24</xdr:row>
      <xdr:rowOff>25261</xdr:rowOff>
    </xdr:from>
    <xdr:ext cx="6229350" cy="3362326"/>
    <xdr:graphicFrame macro="">
      <xdr:nvGraphicFramePr>
        <xdr:cNvPr id="37" name="Chart 36">
          <a:extLst>
            <a:ext uri="{FF2B5EF4-FFF2-40B4-BE49-F238E27FC236}">
              <a16:creationId xmlns:a16="http://schemas.microsoft.com/office/drawing/2014/main" id="{525071E3-EC71-4825-9B0A-412983A86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mc:AlternateContent xmlns:mc="http://schemas.openxmlformats.org/markup-compatibility/2006">
    <mc:Choice xmlns:a14="http://schemas.microsoft.com/office/drawing/2010/main" Requires="a14">
      <xdr:twoCellAnchor editAs="oneCell">
        <xdr:from>
          <xdr:col>2</xdr:col>
          <xdr:colOff>9525</xdr:colOff>
          <xdr:row>14</xdr:row>
          <xdr:rowOff>19050</xdr:rowOff>
        </xdr:from>
        <xdr:to>
          <xdr:col>3</xdr:col>
          <xdr:colOff>514350</xdr:colOff>
          <xdr:row>14</xdr:row>
          <xdr:rowOff>180975</xdr:rowOff>
        </xdr:to>
        <xdr:sp macro="" textlink="">
          <xdr:nvSpPr>
            <xdr:cNvPr id="2050" name="Scroll Bar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19050</xdr:rowOff>
        </xdr:from>
        <xdr:to>
          <xdr:col>3</xdr:col>
          <xdr:colOff>514350</xdr:colOff>
          <xdr:row>15</xdr:row>
          <xdr:rowOff>180975</xdr:rowOff>
        </xdr:to>
        <xdr:sp macro="" textlink="">
          <xdr:nvSpPr>
            <xdr:cNvPr id="2051" name="Scroll Bar 3" hidden="1">
              <a:extLst>
                <a:ext uri="{63B3BB69-23CF-44E3-9099-C40C66FF867C}">
                  <a14:compatExt spid="_x0000_s2051"/>
                </a:ext>
                <a:ext uri="{FF2B5EF4-FFF2-40B4-BE49-F238E27FC236}">
                  <a16:creationId xmlns:a16="http://schemas.microsoft.com/office/drawing/2014/main" id="{2BE3D246-96E7-4A04-90C0-E6AD41B653AE}"/>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xdr:row>
          <xdr:rowOff>19050</xdr:rowOff>
        </xdr:from>
        <xdr:to>
          <xdr:col>3</xdr:col>
          <xdr:colOff>514350</xdr:colOff>
          <xdr:row>16</xdr:row>
          <xdr:rowOff>180975</xdr:rowOff>
        </xdr:to>
        <xdr:sp macro="" textlink="">
          <xdr:nvSpPr>
            <xdr:cNvPr id="2052" name="Scroll Bar 4" hidden="1">
              <a:extLst>
                <a:ext uri="{63B3BB69-23CF-44E3-9099-C40C66FF867C}">
                  <a14:compatExt spid="_x0000_s2052"/>
                </a:ext>
                <a:ext uri="{FF2B5EF4-FFF2-40B4-BE49-F238E27FC236}">
                  <a16:creationId xmlns:a16="http://schemas.microsoft.com/office/drawing/2014/main" id="{E571D162-6444-452C-A895-2C2241D073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xdr:row>
          <xdr:rowOff>19050</xdr:rowOff>
        </xdr:from>
        <xdr:to>
          <xdr:col>3</xdr:col>
          <xdr:colOff>514350</xdr:colOff>
          <xdr:row>17</xdr:row>
          <xdr:rowOff>180975</xdr:rowOff>
        </xdr:to>
        <xdr:sp macro="" textlink="">
          <xdr:nvSpPr>
            <xdr:cNvPr id="2053" name="Scroll Bar 5" hidden="1">
              <a:extLst>
                <a:ext uri="{63B3BB69-23CF-44E3-9099-C40C66FF867C}">
                  <a14:compatExt spid="_x0000_s2053"/>
                </a:ext>
                <a:ext uri="{FF2B5EF4-FFF2-40B4-BE49-F238E27FC236}">
                  <a16:creationId xmlns:a16="http://schemas.microsoft.com/office/drawing/2014/main" id="{3836F392-F553-4B0F-89B4-BE17A68D393D}"/>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xdr:row>
          <xdr:rowOff>19050</xdr:rowOff>
        </xdr:from>
        <xdr:to>
          <xdr:col>3</xdr:col>
          <xdr:colOff>514350</xdr:colOff>
          <xdr:row>18</xdr:row>
          <xdr:rowOff>180975</xdr:rowOff>
        </xdr:to>
        <xdr:sp macro="" textlink="">
          <xdr:nvSpPr>
            <xdr:cNvPr id="2054" name="Scroll Bar 6" hidden="1">
              <a:extLst>
                <a:ext uri="{63B3BB69-23CF-44E3-9099-C40C66FF867C}">
                  <a14:compatExt spid="_x0000_s2054"/>
                </a:ext>
                <a:ext uri="{FF2B5EF4-FFF2-40B4-BE49-F238E27FC236}">
                  <a16:creationId xmlns:a16="http://schemas.microsoft.com/office/drawing/2014/main" id="{F6B2AA56-5899-433F-B7F4-CCE06D9AA9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xdr:row>
          <xdr:rowOff>19050</xdr:rowOff>
        </xdr:from>
        <xdr:to>
          <xdr:col>3</xdr:col>
          <xdr:colOff>514350</xdr:colOff>
          <xdr:row>19</xdr:row>
          <xdr:rowOff>180975</xdr:rowOff>
        </xdr:to>
        <xdr:sp macro="" textlink="">
          <xdr:nvSpPr>
            <xdr:cNvPr id="2055" name="Scroll Bar 7" hidden="1">
              <a:extLst>
                <a:ext uri="{63B3BB69-23CF-44E3-9099-C40C66FF867C}">
                  <a14:compatExt spid="_x0000_s2055"/>
                </a:ext>
                <a:ext uri="{FF2B5EF4-FFF2-40B4-BE49-F238E27FC236}">
                  <a16:creationId xmlns:a16="http://schemas.microsoft.com/office/drawing/2014/main" id="{7E9F3E5D-DE9B-44DD-BA84-C2C693FB007F}"/>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xdr:row>
          <xdr:rowOff>19050</xdr:rowOff>
        </xdr:from>
        <xdr:to>
          <xdr:col>3</xdr:col>
          <xdr:colOff>514350</xdr:colOff>
          <xdr:row>20</xdr:row>
          <xdr:rowOff>180975</xdr:rowOff>
        </xdr:to>
        <xdr:sp macro="" textlink="">
          <xdr:nvSpPr>
            <xdr:cNvPr id="2056" name="Scroll Bar 8" hidden="1">
              <a:extLst>
                <a:ext uri="{63B3BB69-23CF-44E3-9099-C40C66FF867C}">
                  <a14:compatExt spid="_x0000_s2056"/>
                </a:ext>
                <a:ext uri="{FF2B5EF4-FFF2-40B4-BE49-F238E27FC236}">
                  <a16:creationId xmlns:a16="http://schemas.microsoft.com/office/drawing/2014/main" id="{07F01278-8569-4FA7-A977-5BBFF44017A2}"/>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7</xdr:col>
      <xdr:colOff>276225</xdr:colOff>
      <xdr:row>34</xdr:row>
      <xdr:rowOff>85725</xdr:rowOff>
    </xdr:from>
    <xdr:to>
      <xdr:col>14</xdr:col>
      <xdr:colOff>323850</xdr:colOff>
      <xdr:row>44</xdr:row>
      <xdr:rowOff>104775</xdr:rowOff>
    </xdr:to>
    <xdr:graphicFrame macro="">
      <xdr:nvGraphicFramePr>
        <xdr:cNvPr id="2" name="Chart 1">
          <a:extLst>
            <a:ext uri="{FF2B5EF4-FFF2-40B4-BE49-F238E27FC236}">
              <a16:creationId xmlns:a16="http://schemas.microsoft.com/office/drawing/2014/main" id="{0A5C9055-F5CD-4EB5-8B64-9ECC4AD4E4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48</xdr:row>
      <xdr:rowOff>0</xdr:rowOff>
    </xdr:from>
    <xdr:to>
      <xdr:col>11</xdr:col>
      <xdr:colOff>28575</xdr:colOff>
      <xdr:row>59</xdr:row>
      <xdr:rowOff>114299</xdr:rowOff>
    </xdr:to>
    <xdr:graphicFrame macro="">
      <xdr:nvGraphicFramePr>
        <xdr:cNvPr id="3" name="Chart 2">
          <a:extLst>
            <a:ext uri="{FF2B5EF4-FFF2-40B4-BE49-F238E27FC236}">
              <a16:creationId xmlns:a16="http://schemas.microsoft.com/office/drawing/2014/main" id="{ADCA58FC-D875-4E53-B4EC-FE48008A2A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absSizeAnchor xmlns:cdr="http://schemas.openxmlformats.org/drawingml/2006/chartDrawing">
    <cdr:from>
      <cdr:x>0.95714</cdr:x>
      <cdr:y>0.89754</cdr:y>
    </cdr:from>
    <cdr:ext cx="171450" cy="136542"/>
    <cdr:sp macro="" textlink="">
      <cdr:nvSpPr>
        <cdr:cNvPr id="2" name="TextBox 1">
          <a:extLst xmlns:a="http://schemas.openxmlformats.org/drawingml/2006/main">
            <a:ext uri="{FF2B5EF4-FFF2-40B4-BE49-F238E27FC236}">
              <a16:creationId xmlns:a16="http://schemas.microsoft.com/office/drawing/2014/main" id="{AF997ED4-B563-4F9E-8BAB-D5D9BA2CD2BD}"/>
            </a:ext>
          </a:extLst>
        </cdr:cNvPr>
        <cdr:cNvSpPr txBox="1"/>
      </cdr:nvSpPr>
      <cdr:spPr>
        <a:xfrm xmlns:a="http://schemas.openxmlformats.org/drawingml/2006/main">
          <a:off x="3829050" y="1701264"/>
          <a:ext cx="171450" cy="13654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900" b="1">
              <a:solidFill>
                <a:schemeClr val="tx1"/>
              </a:solidFill>
            </a:rPr>
            <a:t>yr</a:t>
          </a:r>
        </a:p>
      </cdr:txBody>
    </cdr:sp>
  </cdr:absSizeAnchor>
</c:userShapes>
</file>

<file path=xl/drawings/drawing5.xml><?xml version="1.0" encoding="utf-8"?>
<c:userShapes xmlns:c="http://schemas.openxmlformats.org/drawingml/2006/chart">
  <cdr:absSizeAnchor xmlns:cdr="http://schemas.openxmlformats.org/drawingml/2006/chartDrawing">
    <cdr:from>
      <cdr:x>0.77967</cdr:x>
      <cdr:y>0.89754</cdr:y>
    </cdr:from>
    <cdr:ext cx="171450" cy="136542"/>
    <cdr:sp macro="" textlink="">
      <cdr:nvSpPr>
        <cdr:cNvPr id="2" name="TextBox 1">
          <a:extLst xmlns:a="http://schemas.openxmlformats.org/drawingml/2006/main">
            <a:ext uri="{FF2B5EF4-FFF2-40B4-BE49-F238E27FC236}">
              <a16:creationId xmlns:a16="http://schemas.microsoft.com/office/drawing/2014/main" id="{AF997ED4-B563-4F9E-8BAB-D5D9BA2CD2BD}"/>
            </a:ext>
          </a:extLst>
        </cdr:cNvPr>
        <cdr:cNvSpPr txBox="1"/>
      </cdr:nvSpPr>
      <cdr:spPr>
        <a:xfrm xmlns:a="http://schemas.openxmlformats.org/drawingml/2006/main">
          <a:off x="3341850" y="1974830"/>
          <a:ext cx="171450" cy="13654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900" b="1">
              <a:solidFill>
                <a:schemeClr val="tx1"/>
              </a:solidFill>
            </a:rPr>
            <a:t>yr</a:t>
          </a:r>
        </a:p>
      </cdr:txBody>
    </cdr:sp>
  </cdr:absSizeAnchor>
</c:userShapes>
</file>

<file path=xl/drawings/drawing6.xml><?xml version="1.0" encoding="utf-8"?>
<xdr:wsDr xmlns:xdr="http://schemas.openxmlformats.org/drawingml/2006/spreadsheetDrawing" xmlns:a="http://schemas.openxmlformats.org/drawingml/2006/main">
  <xdr:oneCellAnchor>
    <xdr:from>
      <xdr:col>1</xdr:col>
      <xdr:colOff>38100</xdr:colOff>
      <xdr:row>53</xdr:row>
      <xdr:rowOff>142875</xdr:rowOff>
    </xdr:from>
    <xdr:ext cx="7989966" cy="2266950"/>
    <xdr:graphicFrame macro="">
      <xdr:nvGraphicFramePr>
        <xdr:cNvPr id="20" name="Chart 19">
          <a:extLst>
            <a:ext uri="{FF2B5EF4-FFF2-40B4-BE49-F238E27FC236}">
              <a16:creationId xmlns:a16="http://schemas.microsoft.com/office/drawing/2014/main" id="{4867DDCB-CD18-453E-9A53-C4DCD33DEF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xdr:col>
      <xdr:colOff>0</xdr:colOff>
      <xdr:row>30</xdr:row>
      <xdr:rowOff>0</xdr:rowOff>
    </xdr:from>
    <xdr:ext cx="7989966" cy="2266950"/>
    <xdr:graphicFrame macro="">
      <xdr:nvGraphicFramePr>
        <xdr:cNvPr id="2" name="Chart 1">
          <a:extLst>
            <a:ext uri="{FF2B5EF4-FFF2-40B4-BE49-F238E27FC236}">
              <a16:creationId xmlns:a16="http://schemas.microsoft.com/office/drawing/2014/main" id="{56FFB5D0-41DB-4AD7-90D1-80C3179B7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twoCellAnchor>
    <xdr:from>
      <xdr:col>13</xdr:col>
      <xdr:colOff>104775</xdr:colOff>
      <xdr:row>62</xdr:row>
      <xdr:rowOff>19050</xdr:rowOff>
    </xdr:from>
    <xdr:to>
      <xdr:col>17</xdr:col>
      <xdr:colOff>323851</xdr:colOff>
      <xdr:row>65</xdr:row>
      <xdr:rowOff>38100</xdr:rowOff>
    </xdr:to>
    <xdr:sp macro="" textlink="">
      <xdr:nvSpPr>
        <xdr:cNvPr id="15" name="Speech Bubble: Oval 14">
          <a:extLst>
            <a:ext uri="{FF2B5EF4-FFF2-40B4-BE49-F238E27FC236}">
              <a16:creationId xmlns:a16="http://schemas.microsoft.com/office/drawing/2014/main" id="{04B430C7-948A-455B-AEDB-01CDD1E00AFF}"/>
            </a:ext>
          </a:extLst>
        </xdr:cNvPr>
        <xdr:cNvSpPr/>
      </xdr:nvSpPr>
      <xdr:spPr>
        <a:xfrm>
          <a:off x="5238750" y="11249025"/>
          <a:ext cx="1781176" cy="504825"/>
        </a:xfrm>
        <a:prstGeom prst="wedgeEllipseCallout">
          <a:avLst>
            <a:gd name="adj1" fmla="val -60532"/>
            <a:gd name="adj2" fmla="val -95009"/>
          </a:avLst>
        </a:prstGeom>
        <a:solidFill>
          <a:srgbClr val="FFFFFF"/>
        </a:solidFill>
        <a:ln w="12700" cap="flat" cmpd="sng" algn="ctr">
          <a:solidFill>
            <a:srgbClr val="954F72">
              <a:lumMod val="60000"/>
              <a:lumOff val="40000"/>
            </a:srgbClr>
          </a:solid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Text" lastClr="000000"/>
              </a:solidFill>
              <a:effectLst/>
              <a:uLnTx/>
              <a:uFillTx/>
              <a:latin typeface="Arial Narrow" panose="020B0606020202030204" pitchFamily="34" charset="0"/>
              <a:ea typeface="+mn-ea"/>
              <a:cs typeface="+mn-cs"/>
            </a:rPr>
            <a:t>differential new stock: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Text" lastClr="000000"/>
              </a:solidFill>
              <a:effectLst/>
              <a:uLnTx/>
              <a:uFillTx/>
              <a:latin typeface="Arial Narrow" panose="020B0606020202030204" pitchFamily="34" charset="0"/>
              <a:ea typeface="+mn-ea"/>
              <a:cs typeface="+mn-cs"/>
            </a:rPr>
            <a:t>−  foregone sequestration</a:t>
          </a:r>
          <a:br>
            <a:rPr kumimoji="0" lang="en-US" sz="800" b="1" i="0" u="none" strike="noStrike" kern="0" cap="none" spc="0" normalizeH="0" baseline="0" noProof="0">
              <a:ln>
                <a:noFill/>
              </a:ln>
              <a:solidFill>
                <a:sysClr val="windowText" lastClr="000000"/>
              </a:solidFill>
              <a:effectLst/>
              <a:uLnTx/>
              <a:uFillTx/>
              <a:latin typeface="Arial Narrow" panose="020B0606020202030204" pitchFamily="34" charset="0"/>
              <a:ea typeface="+mn-ea"/>
              <a:cs typeface="+mn-cs"/>
            </a:rPr>
          </a:br>
          <a:r>
            <a:rPr kumimoji="0" lang="en-US" sz="800" b="1" i="0" u="none" strike="noStrike" kern="0" cap="none" spc="0" normalizeH="0" baseline="0" noProof="0">
              <a:ln>
                <a:noFill/>
              </a:ln>
              <a:solidFill>
                <a:sysClr val="windowText" lastClr="000000"/>
              </a:solidFill>
              <a:effectLst/>
              <a:uLnTx/>
              <a:uFillTx/>
              <a:latin typeface="Arial Narrow" panose="020B0606020202030204" pitchFamily="34" charset="0"/>
              <a:ea typeface="+mn-ea"/>
              <a:cs typeface="+mn-cs"/>
            </a:rPr>
            <a:t>+ augmented sequestration</a:t>
          </a:r>
        </a:p>
      </xdr:txBody>
    </xdr:sp>
    <xdr:clientData/>
  </xdr:twoCellAnchor>
  <xdr:twoCellAnchor>
    <xdr:from>
      <xdr:col>14</xdr:col>
      <xdr:colOff>352423</xdr:colOff>
      <xdr:row>39</xdr:row>
      <xdr:rowOff>47626</xdr:rowOff>
    </xdr:from>
    <xdr:to>
      <xdr:col>16</xdr:col>
      <xdr:colOff>200024</xdr:colOff>
      <xdr:row>40</xdr:row>
      <xdr:rowOff>95250</xdr:rowOff>
    </xdr:to>
    <xdr:sp macro="" textlink="">
      <xdr:nvSpPr>
        <xdr:cNvPr id="18" name="Speech Bubble: Oval 17">
          <a:extLst>
            <a:ext uri="{FF2B5EF4-FFF2-40B4-BE49-F238E27FC236}">
              <a16:creationId xmlns:a16="http://schemas.microsoft.com/office/drawing/2014/main" id="{B008E4FD-23ED-4FB2-B6B6-EE468EE17D31}"/>
            </a:ext>
          </a:extLst>
        </xdr:cNvPr>
        <xdr:cNvSpPr/>
      </xdr:nvSpPr>
      <xdr:spPr>
        <a:xfrm flipH="1">
          <a:off x="5876923" y="8524876"/>
          <a:ext cx="628651" cy="209549"/>
        </a:xfrm>
        <a:prstGeom prst="wedgeEllipseCallout">
          <a:avLst>
            <a:gd name="adj1" fmla="val 63532"/>
            <a:gd name="adj2" fmla="val -78028"/>
          </a:avLst>
        </a:prstGeom>
        <a:solidFill>
          <a:srgbClr val="FFFFFF"/>
        </a:solidFill>
        <a:ln w="12700" cap="flat" cmpd="sng" algn="ctr">
          <a:solidFill>
            <a:srgbClr val="954F72">
              <a:lumMod val="60000"/>
              <a:lumOff val="40000"/>
            </a:srgbClr>
          </a:solidFill>
          <a:prstDash val="solid"/>
          <a:miter lim="800000"/>
        </a:ln>
        <a:effectLst/>
      </xdr:spPr>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Text" lastClr="000000"/>
              </a:solidFill>
              <a:effectLst/>
              <a:uLnTx/>
              <a:uFillTx/>
              <a:latin typeface="Arial Narrow" panose="020B0606020202030204" pitchFamily="34" charset="0"/>
              <a:ea typeface="+mn-ea"/>
              <a:cs typeface="+mn-cs"/>
            </a:rPr>
            <a:t>difference</a:t>
          </a:r>
        </a:p>
      </xdr:txBody>
    </xdr:sp>
    <xdr:clientData/>
  </xdr:twoCellAnchor>
  <xdr:oneCellAnchor>
    <xdr:from>
      <xdr:col>21</xdr:col>
      <xdr:colOff>47625</xdr:colOff>
      <xdr:row>52</xdr:row>
      <xdr:rowOff>0</xdr:rowOff>
    </xdr:from>
    <xdr:ext cx="3142750" cy="2562224"/>
    <xdr:graphicFrame macro="">
      <xdr:nvGraphicFramePr>
        <xdr:cNvPr id="26" name="Chart 25">
          <a:extLst>
            <a:ext uri="{FF2B5EF4-FFF2-40B4-BE49-F238E27FC236}">
              <a16:creationId xmlns:a16="http://schemas.microsoft.com/office/drawing/2014/main" id="{68DB1EDB-48E4-4526-B874-57C21E7B99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twoCellAnchor>
    <xdr:from>
      <xdr:col>11</xdr:col>
      <xdr:colOff>238121</xdr:colOff>
      <xdr:row>34</xdr:row>
      <xdr:rowOff>104776</xdr:rowOff>
    </xdr:from>
    <xdr:to>
      <xdr:col>14</xdr:col>
      <xdr:colOff>38099</xdr:colOff>
      <xdr:row>36</xdr:row>
      <xdr:rowOff>114300</xdr:rowOff>
    </xdr:to>
    <xdr:sp macro="" textlink="">
      <xdr:nvSpPr>
        <xdr:cNvPr id="30" name="Speech Bubble: Oval 29">
          <a:extLst>
            <a:ext uri="{FF2B5EF4-FFF2-40B4-BE49-F238E27FC236}">
              <a16:creationId xmlns:a16="http://schemas.microsoft.com/office/drawing/2014/main" id="{0045F840-4B6B-4D70-A474-E3D27C7E0365}"/>
            </a:ext>
          </a:extLst>
        </xdr:cNvPr>
        <xdr:cNvSpPr/>
      </xdr:nvSpPr>
      <xdr:spPr>
        <a:xfrm flipH="1">
          <a:off x="4591046" y="7772401"/>
          <a:ext cx="971553" cy="333374"/>
        </a:xfrm>
        <a:prstGeom prst="wedgeEllipseCallout">
          <a:avLst>
            <a:gd name="adj1" fmla="val 63532"/>
            <a:gd name="adj2" fmla="val -78028"/>
          </a:avLst>
        </a:prstGeom>
        <a:solidFill>
          <a:srgbClr val="FFFFFF"/>
        </a:solidFill>
        <a:ln w="12700" cap="flat" cmpd="sng" algn="ctr">
          <a:solidFill>
            <a:srgbClr val="954F72">
              <a:lumMod val="60000"/>
              <a:lumOff val="40000"/>
            </a:srgbClr>
          </a:solidFill>
          <a:prstDash val="solid"/>
          <a:miter lim="800000"/>
        </a:ln>
        <a:effectLst/>
      </xdr:spPr>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Text" lastClr="000000"/>
              </a:solidFill>
              <a:effectLst/>
              <a:uLnTx/>
              <a:uFillTx/>
              <a:latin typeface="Arial Narrow" panose="020B0606020202030204" pitchFamily="34" charset="0"/>
              <a:ea typeface="+mn-ea"/>
              <a:cs typeface="+mn-cs"/>
            </a:rPr>
            <a:t>stock with clearcut at year 0</a:t>
          </a:r>
        </a:p>
      </xdr:txBody>
    </xdr:sp>
    <xdr:clientData/>
  </xdr:twoCellAnchor>
  <xdr:twoCellAnchor>
    <xdr:from>
      <xdr:col>5</xdr:col>
      <xdr:colOff>180969</xdr:colOff>
      <xdr:row>30</xdr:row>
      <xdr:rowOff>114300</xdr:rowOff>
    </xdr:from>
    <xdr:to>
      <xdr:col>6</xdr:col>
      <xdr:colOff>533397</xdr:colOff>
      <xdr:row>33</xdr:row>
      <xdr:rowOff>133350</xdr:rowOff>
    </xdr:to>
    <xdr:sp macro="" textlink="">
      <xdr:nvSpPr>
        <xdr:cNvPr id="31" name="Speech Bubble: Oval 30">
          <a:extLst>
            <a:ext uri="{FF2B5EF4-FFF2-40B4-BE49-F238E27FC236}">
              <a16:creationId xmlns:a16="http://schemas.microsoft.com/office/drawing/2014/main" id="{F7662CEE-0153-4AD7-A0D1-A90AE3647380}"/>
            </a:ext>
          </a:extLst>
        </xdr:cNvPr>
        <xdr:cNvSpPr/>
      </xdr:nvSpPr>
      <xdr:spPr>
        <a:xfrm flipH="1">
          <a:off x="1733544" y="7134225"/>
          <a:ext cx="971553" cy="504825"/>
        </a:xfrm>
        <a:prstGeom prst="wedgeEllipseCallout">
          <a:avLst>
            <a:gd name="adj1" fmla="val -65879"/>
            <a:gd name="adj2" fmla="val 59115"/>
          </a:avLst>
        </a:prstGeom>
        <a:solidFill>
          <a:srgbClr val="FFFFFF"/>
        </a:solidFill>
        <a:ln w="12700" cap="flat" cmpd="sng" algn="ctr">
          <a:solidFill>
            <a:srgbClr val="954F72">
              <a:lumMod val="60000"/>
              <a:lumOff val="40000"/>
            </a:srgbClr>
          </a:solidFill>
          <a:prstDash val="solid"/>
          <a:miter lim="800000"/>
        </a:ln>
        <a:effectLst/>
      </xdr:spPr>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Text" lastClr="000000"/>
              </a:solidFill>
              <a:effectLst/>
              <a:uLnTx/>
              <a:uFillTx/>
              <a:latin typeface="Arial Narrow" panose="020B0606020202030204" pitchFamily="34" charset="0"/>
              <a:ea typeface="+mn-ea"/>
              <a:cs typeface="+mn-cs"/>
            </a:rPr>
            <a:t>stock in undisturbed forest</a:t>
          </a:r>
        </a:p>
      </xdr:txBody>
    </xdr:sp>
    <xdr:clientData/>
  </xdr:twoCellAnchor>
  <xdr:twoCellAnchor>
    <xdr:from>
      <xdr:col>5</xdr:col>
      <xdr:colOff>323850</xdr:colOff>
      <xdr:row>57</xdr:row>
      <xdr:rowOff>95249</xdr:rowOff>
    </xdr:from>
    <xdr:to>
      <xdr:col>7</xdr:col>
      <xdr:colOff>152394</xdr:colOff>
      <xdr:row>59</xdr:row>
      <xdr:rowOff>133350</xdr:rowOff>
    </xdr:to>
    <xdr:sp macro="" textlink="">
      <xdr:nvSpPr>
        <xdr:cNvPr id="32" name="Speech Bubble: Oval 31">
          <a:extLst>
            <a:ext uri="{FF2B5EF4-FFF2-40B4-BE49-F238E27FC236}">
              <a16:creationId xmlns:a16="http://schemas.microsoft.com/office/drawing/2014/main" id="{B2ED49A9-3299-43BF-BD51-8B6630488174}"/>
            </a:ext>
          </a:extLst>
        </xdr:cNvPr>
        <xdr:cNvSpPr/>
      </xdr:nvSpPr>
      <xdr:spPr>
        <a:xfrm flipH="1">
          <a:off x="1876425" y="10515599"/>
          <a:ext cx="1066794" cy="361951"/>
        </a:xfrm>
        <a:prstGeom prst="wedgeEllipseCallout">
          <a:avLst>
            <a:gd name="adj1" fmla="val -65879"/>
            <a:gd name="adj2" fmla="val 59115"/>
          </a:avLst>
        </a:prstGeom>
        <a:solidFill>
          <a:srgbClr val="FFFFFF"/>
        </a:solidFill>
        <a:ln w="12700" cap="flat" cmpd="sng" algn="ctr">
          <a:solidFill>
            <a:srgbClr val="954F72">
              <a:lumMod val="60000"/>
              <a:lumOff val="40000"/>
            </a:srgbClr>
          </a:solidFill>
          <a:prstDash val="solid"/>
          <a:miter lim="800000"/>
        </a:ln>
        <a:effectLst/>
      </xdr:spPr>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Text" lastClr="000000"/>
              </a:solidFill>
              <a:effectLst/>
              <a:uLnTx/>
              <a:uFillTx/>
              <a:latin typeface="Arial Narrow" panose="020B0606020202030204" pitchFamily="34" charset="0"/>
              <a:ea typeface="+mn-ea"/>
              <a:cs typeface="+mn-cs"/>
            </a:rPr>
            <a:t>new stock in undisturbed forest</a:t>
          </a:r>
        </a:p>
      </xdr:txBody>
    </xdr:sp>
    <xdr:clientData/>
  </xdr:twoCellAnchor>
  <xdr:twoCellAnchor>
    <xdr:from>
      <xdr:col>9</xdr:col>
      <xdr:colOff>123825</xdr:colOff>
      <xdr:row>55</xdr:row>
      <xdr:rowOff>19050</xdr:rowOff>
    </xdr:from>
    <xdr:to>
      <xdr:col>11</xdr:col>
      <xdr:colOff>180971</xdr:colOff>
      <xdr:row>57</xdr:row>
      <xdr:rowOff>28575</xdr:rowOff>
    </xdr:to>
    <xdr:sp macro="" textlink="">
      <xdr:nvSpPr>
        <xdr:cNvPr id="33" name="Speech Bubble: Oval 32">
          <a:extLst>
            <a:ext uri="{FF2B5EF4-FFF2-40B4-BE49-F238E27FC236}">
              <a16:creationId xmlns:a16="http://schemas.microsoft.com/office/drawing/2014/main" id="{8ED0BAFB-596D-4D39-A4E3-225C0FB7EAE9}"/>
            </a:ext>
          </a:extLst>
        </xdr:cNvPr>
        <xdr:cNvSpPr/>
      </xdr:nvSpPr>
      <xdr:spPr>
        <a:xfrm flipH="1">
          <a:off x="3695700" y="10115550"/>
          <a:ext cx="838196" cy="333375"/>
        </a:xfrm>
        <a:prstGeom prst="wedgeEllipseCallout">
          <a:avLst>
            <a:gd name="adj1" fmla="val -65879"/>
            <a:gd name="adj2" fmla="val 59115"/>
          </a:avLst>
        </a:prstGeom>
        <a:solidFill>
          <a:srgbClr val="FFFFFF"/>
        </a:solidFill>
        <a:ln w="12700" cap="flat" cmpd="sng" algn="ctr">
          <a:solidFill>
            <a:srgbClr val="954F72">
              <a:lumMod val="60000"/>
              <a:lumOff val="40000"/>
            </a:srgbClr>
          </a:solidFill>
          <a:prstDash val="solid"/>
          <a:miter lim="800000"/>
        </a:ln>
        <a:effectLst/>
      </xdr:spPr>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Text" lastClr="000000"/>
              </a:solidFill>
              <a:effectLst/>
              <a:uLnTx/>
              <a:uFillTx/>
              <a:latin typeface="Arial Narrow" panose="020B0606020202030204" pitchFamily="34" charset="0"/>
              <a:ea typeface="+mn-ea"/>
              <a:cs typeface="+mn-cs"/>
            </a:rPr>
            <a:t>new stock after clearcut</a:t>
          </a:r>
        </a:p>
      </xdr:txBody>
    </xdr:sp>
    <xdr:clientData/>
  </xdr:twoCellAnchor>
  <xdr:oneCellAnchor>
    <xdr:from>
      <xdr:col>1</xdr:col>
      <xdr:colOff>123825</xdr:colOff>
      <xdr:row>74</xdr:row>
      <xdr:rowOff>0</xdr:rowOff>
    </xdr:from>
    <xdr:ext cx="3142750" cy="2562224"/>
    <xdr:graphicFrame macro="">
      <xdr:nvGraphicFramePr>
        <xdr:cNvPr id="34" name="Chart 33">
          <a:extLst>
            <a:ext uri="{FF2B5EF4-FFF2-40B4-BE49-F238E27FC236}">
              <a16:creationId xmlns:a16="http://schemas.microsoft.com/office/drawing/2014/main" id="{ECE42BE7-EB25-4BF7-9D82-4660AAC309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twoCellAnchor>
    <xdr:from>
      <xdr:col>6</xdr:col>
      <xdr:colOff>247650</xdr:colOff>
      <xdr:row>78</xdr:row>
      <xdr:rowOff>152400</xdr:rowOff>
    </xdr:from>
    <xdr:to>
      <xdr:col>6</xdr:col>
      <xdr:colOff>333375</xdr:colOff>
      <xdr:row>79</xdr:row>
      <xdr:rowOff>76200</xdr:rowOff>
    </xdr:to>
    <xdr:sp macro="" textlink="">
      <xdr:nvSpPr>
        <xdr:cNvPr id="35" name="Oval 34">
          <a:extLst>
            <a:ext uri="{FF2B5EF4-FFF2-40B4-BE49-F238E27FC236}">
              <a16:creationId xmlns:a16="http://schemas.microsoft.com/office/drawing/2014/main" id="{399AA57D-B513-4D87-8EE5-FECB1678AA02}"/>
            </a:ext>
          </a:extLst>
        </xdr:cNvPr>
        <xdr:cNvSpPr/>
      </xdr:nvSpPr>
      <xdr:spPr>
        <a:xfrm>
          <a:off x="2419350" y="13001625"/>
          <a:ext cx="85725" cy="85725"/>
        </a:xfrm>
        <a:prstGeom prst="ellipse">
          <a:avLst/>
        </a:prstGeom>
        <a:noFill/>
        <a:ln w="15875">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123825</xdr:colOff>
      <xdr:row>26</xdr:row>
      <xdr:rowOff>0</xdr:rowOff>
    </xdr:from>
    <xdr:ext cx="3142750" cy="2562224"/>
    <xdr:graphicFrame macro="">
      <xdr:nvGraphicFramePr>
        <xdr:cNvPr id="11" name="Chart 10">
          <a:extLst>
            <a:ext uri="{FF2B5EF4-FFF2-40B4-BE49-F238E27FC236}">
              <a16:creationId xmlns:a16="http://schemas.microsoft.com/office/drawing/2014/main" id="{996BF495-730F-4EF7-9213-C349750240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xdr:col>
      <xdr:colOff>123825</xdr:colOff>
      <xdr:row>49</xdr:row>
      <xdr:rowOff>0</xdr:rowOff>
    </xdr:from>
    <xdr:ext cx="3142750" cy="2562224"/>
    <xdr:graphicFrame macro="">
      <xdr:nvGraphicFramePr>
        <xdr:cNvPr id="13" name="Chart 12">
          <a:extLst>
            <a:ext uri="{FF2B5EF4-FFF2-40B4-BE49-F238E27FC236}">
              <a16:creationId xmlns:a16="http://schemas.microsoft.com/office/drawing/2014/main" id="{7F2C4C5D-322B-4DE2-9D64-75C53172AC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8.xml><?xml version="1.0" encoding="utf-8"?>
<xdr:wsDr xmlns:xdr="http://schemas.openxmlformats.org/drawingml/2006/spreadsheetDrawing" xmlns:a="http://schemas.openxmlformats.org/drawingml/2006/main">
  <xdr:oneCellAnchor>
    <xdr:from>
      <xdr:col>4</xdr:col>
      <xdr:colOff>161926</xdr:colOff>
      <xdr:row>25</xdr:row>
      <xdr:rowOff>104775</xdr:rowOff>
    </xdr:from>
    <xdr:ext cx="6381750" cy="2705100"/>
    <xdr:graphicFrame macro="">
      <xdr:nvGraphicFramePr>
        <xdr:cNvPr id="2" name="Chart 1">
          <a:extLst>
            <a:ext uri="{FF2B5EF4-FFF2-40B4-BE49-F238E27FC236}">
              <a16:creationId xmlns:a16="http://schemas.microsoft.com/office/drawing/2014/main" id="{1CA0CD51-21D8-4754-88CB-9E8B97696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4</xdr:col>
      <xdr:colOff>161925</xdr:colOff>
      <xdr:row>43</xdr:row>
      <xdr:rowOff>104775</xdr:rowOff>
    </xdr:from>
    <xdr:ext cx="6381750" cy="2705100"/>
    <xdr:graphicFrame macro="">
      <xdr:nvGraphicFramePr>
        <xdr:cNvPr id="4" name="Chart 3">
          <a:extLst>
            <a:ext uri="{FF2B5EF4-FFF2-40B4-BE49-F238E27FC236}">
              <a16:creationId xmlns:a16="http://schemas.microsoft.com/office/drawing/2014/main" id="{5945F3CA-283A-4322-88F5-A373AF9603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4</xdr:col>
      <xdr:colOff>152400</xdr:colOff>
      <xdr:row>61</xdr:row>
      <xdr:rowOff>57150</xdr:rowOff>
    </xdr:from>
    <xdr:ext cx="6381750" cy="2705100"/>
    <xdr:graphicFrame macro="">
      <xdr:nvGraphicFramePr>
        <xdr:cNvPr id="5" name="Chart 4">
          <a:extLst>
            <a:ext uri="{FF2B5EF4-FFF2-40B4-BE49-F238E27FC236}">
              <a16:creationId xmlns:a16="http://schemas.microsoft.com/office/drawing/2014/main" id="{11B647E0-EA8F-4F31-B548-C69C57BF2F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theme/theme1.xml><?xml version="1.0" encoding="utf-8"?>
<a:theme xmlns:a="http://schemas.openxmlformats.org/drawingml/2006/main" name="Hammerschlag">
  <a:themeElements>
    <a:clrScheme name="Hammerschlag">
      <a:dk1>
        <a:sysClr val="windowText" lastClr="000000"/>
      </a:dk1>
      <a:lt1>
        <a:srgbClr val="FFFFFF"/>
      </a:lt1>
      <a:dk2>
        <a:srgbClr val="0563C1"/>
      </a:dk2>
      <a:lt2>
        <a:srgbClr val="E7E6E6"/>
      </a:lt2>
      <a:accent1>
        <a:srgbClr val="C00000"/>
      </a:accent1>
      <a:accent2>
        <a:srgbClr val="ED7D31"/>
      </a:accent2>
      <a:accent3>
        <a:srgbClr val="FFC000"/>
      </a:accent3>
      <a:accent4>
        <a:srgbClr val="954F72"/>
      </a:accent4>
      <a:accent5>
        <a:srgbClr val="4472C4"/>
      </a:accent5>
      <a:accent6>
        <a:srgbClr val="70AD47"/>
      </a:accent6>
      <a:hlink>
        <a:srgbClr val="00B0F0"/>
      </a:hlink>
      <a:folHlink>
        <a:srgbClr val="7030A0"/>
      </a:folHlink>
    </a:clrScheme>
    <a:fontScheme name="HCL">
      <a:majorFont>
        <a:latin typeface="Arial Narrow"/>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Hammerschlag">
    <a:dk1>
      <a:sysClr val="windowText" lastClr="000000"/>
    </a:dk1>
    <a:lt1>
      <a:srgbClr val="FFFFFF"/>
    </a:lt1>
    <a:dk2>
      <a:srgbClr val="0563C1"/>
    </a:dk2>
    <a:lt2>
      <a:srgbClr val="E7E6E6"/>
    </a:lt2>
    <a:accent1>
      <a:srgbClr val="C00000"/>
    </a:accent1>
    <a:accent2>
      <a:srgbClr val="ED7D31"/>
    </a:accent2>
    <a:accent3>
      <a:srgbClr val="FFC000"/>
    </a:accent3>
    <a:accent4>
      <a:srgbClr val="954F72"/>
    </a:accent4>
    <a:accent5>
      <a:srgbClr val="4472C4"/>
    </a:accent5>
    <a:accent6>
      <a:srgbClr val="70AD47"/>
    </a:accent6>
    <a:hlink>
      <a:srgbClr val="00B0F0"/>
    </a:hlink>
    <a:folHlink>
      <a:srgbClr val="7030A0"/>
    </a:folHlink>
  </a:clrScheme>
  <a:fontScheme name="HCL">
    <a:majorFont>
      <a:latin typeface="Arial Narrow"/>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dimension ref="A1:K100"/>
  <sheetViews>
    <sheetView tabSelected="1" workbookViewId="0">
      <selection activeCell="B3" sqref="B3:D3"/>
    </sheetView>
  </sheetViews>
  <sheetFormatPr defaultColWidth="10.83203125" defaultRowHeight="12" x14ac:dyDescent="0.2"/>
  <cols>
    <col min="1" max="1" width="2.83203125" style="47" customWidth="1"/>
    <col min="2" max="2" width="12.83203125" style="47" customWidth="1"/>
    <col min="3" max="3" width="40.83203125" style="47" customWidth="1"/>
    <col min="4" max="4" width="60.83203125" style="47" customWidth="1"/>
    <col min="5" max="16384" width="10.83203125" style="47"/>
  </cols>
  <sheetData>
    <row r="1" spans="1:11" x14ac:dyDescent="0.2">
      <c r="I1"/>
      <c r="J1"/>
      <c r="K1"/>
    </row>
    <row r="2" spans="1:11" ht="60" customHeight="1" x14ac:dyDescent="0.2">
      <c r="I2"/>
      <c r="J2"/>
      <c r="K2"/>
    </row>
    <row r="3" spans="1:11" ht="32.1" customHeight="1" x14ac:dyDescent="0.2">
      <c r="A3" s="48"/>
      <c r="B3" s="364" t="s">
        <v>1088</v>
      </c>
      <c r="C3" s="364"/>
      <c r="D3" s="364"/>
      <c r="I3"/>
      <c r="J3"/>
      <c r="K3"/>
    </row>
    <row r="4" spans="1:11" s="253" customFormat="1" ht="48" customHeight="1" x14ac:dyDescent="0.2">
      <c r="A4" s="48"/>
      <c r="B4" s="368" t="s">
        <v>1388</v>
      </c>
      <c r="C4" s="368"/>
      <c r="D4" s="368"/>
    </row>
    <row r="5" spans="1:11" ht="13.5" x14ac:dyDescent="0.2">
      <c r="A5" s="48"/>
      <c r="B5" s="21" t="s">
        <v>331</v>
      </c>
      <c r="C5" s="47" t="s">
        <v>391</v>
      </c>
      <c r="I5"/>
      <c r="J5"/>
      <c r="K5"/>
    </row>
    <row r="6" spans="1:11" ht="13.5" x14ac:dyDescent="0.2">
      <c r="A6" s="48"/>
      <c r="B6" s="21" t="s">
        <v>330</v>
      </c>
      <c r="C6" s="47" t="s">
        <v>1389</v>
      </c>
    </row>
    <row r="7" spans="1:11" ht="13.5" x14ac:dyDescent="0.2">
      <c r="A7" s="48"/>
      <c r="B7" s="21" t="s">
        <v>329</v>
      </c>
      <c r="C7" s="76">
        <v>44438</v>
      </c>
    </row>
    <row r="8" spans="1:11" s="54" customFormat="1" ht="13.5" x14ac:dyDescent="0.2">
      <c r="A8" s="48"/>
      <c r="B8" s="21"/>
      <c r="C8" s="53"/>
    </row>
    <row r="9" spans="1:11" ht="13.5" x14ac:dyDescent="0.2">
      <c r="A9" s="48"/>
      <c r="B9" s="77" t="s">
        <v>350</v>
      </c>
      <c r="C9" s="53"/>
    </row>
    <row r="10" spans="1:11" ht="13.5" x14ac:dyDescent="0.2">
      <c r="A10" s="48"/>
      <c r="B10" s="77" t="s">
        <v>334</v>
      </c>
      <c r="C10" s="53"/>
    </row>
    <row r="11" spans="1:11" s="54" customFormat="1" ht="13.5" x14ac:dyDescent="0.2">
      <c r="A11" s="48"/>
      <c r="B11" s="115" t="s">
        <v>618</v>
      </c>
      <c r="C11" s="53"/>
    </row>
    <row r="13" spans="1:11" ht="80.099999999999994" customHeight="1" x14ac:dyDescent="0.2">
      <c r="B13" s="363" t="s">
        <v>619</v>
      </c>
      <c r="C13" s="363"/>
      <c r="D13" s="363"/>
    </row>
    <row r="14" spans="1:11" s="54" customFormat="1" ht="300" customHeight="1" x14ac:dyDescent="0.2">
      <c r="B14" s="365" t="s">
        <v>900</v>
      </c>
      <c r="C14" s="366"/>
      <c r="D14" s="367"/>
    </row>
    <row r="15" spans="1:11" s="54" customFormat="1" ht="12.95" customHeight="1" x14ac:dyDescent="0.2">
      <c r="B15" s="89"/>
      <c r="C15" s="89"/>
      <c r="D15" s="89"/>
    </row>
    <row r="16" spans="1:11" ht="12.75" x14ac:dyDescent="0.25">
      <c r="B16" s="112" t="s">
        <v>358</v>
      </c>
      <c r="C16" s="106"/>
      <c r="D16" s="106"/>
      <c r="E16"/>
    </row>
    <row r="17" spans="2:5" ht="12.75" x14ac:dyDescent="0.25">
      <c r="B17" s="49" t="s">
        <v>310</v>
      </c>
      <c r="C17" s="49" t="s">
        <v>311</v>
      </c>
      <c r="D17" s="49" t="s">
        <v>2</v>
      </c>
      <c r="E17"/>
    </row>
    <row r="18" spans="2:5" x14ac:dyDescent="0.2">
      <c r="B18" s="47" t="s">
        <v>312</v>
      </c>
      <c r="C18" s="50" t="s">
        <v>313</v>
      </c>
      <c r="E18"/>
    </row>
    <row r="19" spans="2:5" s="253" customFormat="1" x14ac:dyDescent="0.2">
      <c r="B19" s="51" t="s">
        <v>954</v>
      </c>
      <c r="C19" s="21" t="s">
        <v>1259</v>
      </c>
      <c r="E19"/>
    </row>
    <row r="20" spans="2:5" s="253" customFormat="1" x14ac:dyDescent="0.2">
      <c r="B20" s="51" t="s">
        <v>1008</v>
      </c>
      <c r="C20" s="27" t="str">
        <f t="shared" ref="C20:C49" ca="1" si="0">INDIRECT("'"&amp;B20&amp;"'!B1")</f>
        <v>landscape inputs: herbaceous crop</v>
      </c>
      <c r="E20"/>
    </row>
    <row r="21" spans="2:5" s="253" customFormat="1" x14ac:dyDescent="0.2">
      <c r="B21" s="51" t="s">
        <v>446</v>
      </c>
      <c r="C21" s="27" t="str">
        <f t="shared" ca="1" si="0"/>
        <v>landscape inputs: SRWC</v>
      </c>
      <c r="E21"/>
    </row>
    <row r="22" spans="2:5" s="253" customFormat="1" x14ac:dyDescent="0.2">
      <c r="B22" s="51" t="s">
        <v>1006</v>
      </c>
      <c r="C22" s="27" t="str">
        <f t="shared" ca="1" si="0"/>
        <v>landscape inputs: clearcutting (pulpwood plantation)</v>
      </c>
      <c r="E22"/>
    </row>
    <row r="23" spans="2:5" s="253" customFormat="1" x14ac:dyDescent="0.2">
      <c r="B23" s="51" t="s">
        <v>1007</v>
      </c>
      <c r="C23" s="27" t="str">
        <f t="shared" ca="1" si="0"/>
        <v>landscape inputs: forest thinning</v>
      </c>
      <c r="E23"/>
    </row>
    <row r="24" spans="2:5" s="253" customFormat="1" x14ac:dyDescent="0.2">
      <c r="B24" s="51" t="s">
        <v>1025</v>
      </c>
      <c r="C24" s="27" t="str">
        <f t="shared" ca="1" si="0"/>
        <v>landscape inputs: forestry waste</v>
      </c>
      <c r="E24"/>
    </row>
    <row r="25" spans="2:5" s="253" customFormat="1" x14ac:dyDescent="0.2">
      <c r="B25" s="51" t="s">
        <v>1009</v>
      </c>
      <c r="C25" s="27" t="str">
        <f t="shared" ca="1" si="0"/>
        <v>landscape inputs: agricultural waste</v>
      </c>
      <c r="E25"/>
    </row>
    <row r="26" spans="2:5" s="253" customFormat="1" x14ac:dyDescent="0.2">
      <c r="B26" s="51" t="s">
        <v>1010</v>
      </c>
      <c r="C26" s="27" t="str">
        <f t="shared" ca="1" si="0"/>
        <v>landscape inputs: industrial waste</v>
      </c>
      <c r="E26"/>
    </row>
    <row r="27" spans="2:5" s="253" customFormat="1" x14ac:dyDescent="0.2">
      <c r="B27" s="51" t="s">
        <v>1199</v>
      </c>
      <c r="C27" s="27" t="str">
        <f t="shared" ca="1" si="0"/>
        <v>multi-year decay and sequestration - HERB harvest type</v>
      </c>
      <c r="E27"/>
    </row>
    <row r="28" spans="2:5" s="253" customFormat="1" x14ac:dyDescent="0.2">
      <c r="B28" s="51" t="s">
        <v>1200</v>
      </c>
      <c r="C28" s="27" t="str">
        <f t="shared" ca="1" si="0"/>
        <v>multi-year decay and sequestration - SRWC harvest type</v>
      </c>
      <c r="E28"/>
    </row>
    <row r="29" spans="2:5" s="253" customFormat="1" x14ac:dyDescent="0.2">
      <c r="B29" s="51" t="s">
        <v>1201</v>
      </c>
      <c r="C29" s="27" t="str">
        <f t="shared" ca="1" si="0"/>
        <v>multi-year decay and sequestration - LOG harvest type</v>
      </c>
      <c r="E29"/>
    </row>
    <row r="30" spans="2:5" s="253" customFormat="1" x14ac:dyDescent="0.2">
      <c r="B30" s="51" t="s">
        <v>1202</v>
      </c>
      <c r="C30" s="27" t="str">
        <f t="shared" ca="1" si="0"/>
        <v>multi-year decay and sequestration - THIN harvest type</v>
      </c>
      <c r="E30"/>
    </row>
    <row r="31" spans="2:5" s="253" customFormat="1" x14ac:dyDescent="0.2">
      <c r="B31" s="51" t="s">
        <v>1203</v>
      </c>
      <c r="C31" s="27" t="str">
        <f t="shared" ca="1" si="0"/>
        <v>multi-year decay and sequestration - SLASH harvest type</v>
      </c>
      <c r="E31"/>
    </row>
    <row r="32" spans="2:5" s="253" customFormat="1" x14ac:dyDescent="0.2">
      <c r="B32" s="51" t="s">
        <v>1204</v>
      </c>
      <c r="C32" s="27" t="str">
        <f t="shared" ca="1" si="0"/>
        <v>results rollup, BECCS case</v>
      </c>
      <c r="E32"/>
    </row>
    <row r="33" spans="2:5" s="253" customFormat="1" x14ac:dyDescent="0.2">
      <c r="B33" s="51" t="s">
        <v>1205</v>
      </c>
      <c r="C33" s="27" t="str">
        <f t="shared" ca="1" si="0"/>
        <v>results rollup, REF case</v>
      </c>
      <c r="E33"/>
    </row>
    <row r="34" spans="2:5" s="253" customFormat="1" x14ac:dyDescent="0.2">
      <c r="B34" s="51" t="s">
        <v>1206</v>
      </c>
      <c r="C34" s="27" t="str">
        <f t="shared" ca="1" si="0"/>
        <v>Constants and precalculations</v>
      </c>
      <c r="E34"/>
    </row>
    <row r="35" spans="2:5" s="253" customFormat="1" x14ac:dyDescent="0.2">
      <c r="B35" s="51" t="s">
        <v>955</v>
      </c>
      <c r="C35" s="27" t="str">
        <f t="shared" ca="1" si="0"/>
        <v>growth tables</v>
      </c>
      <c r="E35"/>
    </row>
    <row r="36" spans="2:5" s="253" customFormat="1" x14ac:dyDescent="0.2">
      <c r="B36" s="51" t="s">
        <v>1207</v>
      </c>
      <c r="C36" s="27" t="str">
        <f t="shared" ca="1" si="0"/>
        <v>decay curve for forestry slash</v>
      </c>
      <c r="E36"/>
    </row>
    <row r="37" spans="2:5" s="253" customFormat="1" x14ac:dyDescent="0.2">
      <c r="B37" s="51" t="s">
        <v>956</v>
      </c>
      <c r="C37" s="27" t="str">
        <f t="shared" ca="1" si="0"/>
        <v>Table 1 - slash (tree crown) as fraction of harvest</v>
      </c>
      <c r="E37"/>
    </row>
    <row r="38" spans="2:5" s="253" customFormat="1" x14ac:dyDescent="0.2">
      <c r="B38" s="51" t="s">
        <v>726</v>
      </c>
      <c r="C38" s="27" t="str">
        <f t="shared" ca="1" si="0"/>
        <v>Table 2 - energy requirement of drying from literature</v>
      </c>
      <c r="E38"/>
    </row>
    <row r="39" spans="2:5" s="253" customFormat="1" x14ac:dyDescent="0.2">
      <c r="B39" s="51" t="s">
        <v>957</v>
      </c>
      <c r="C39" s="27" t="str">
        <f t="shared" ca="1" si="0"/>
        <v>Tables 3 &amp; 4 - Foregone Sequestration summaries</v>
      </c>
      <c r="E39"/>
    </row>
    <row r="40" spans="2:5" s="253" customFormat="1" x14ac:dyDescent="0.2">
      <c r="B40" s="51" t="s">
        <v>958</v>
      </c>
      <c r="C40" s="27" t="str">
        <f t="shared" ca="1" si="0"/>
        <v>Table 5</v>
      </c>
      <c r="E40"/>
    </row>
    <row r="41" spans="2:5" s="253" customFormat="1" x14ac:dyDescent="0.2">
      <c r="B41" s="51" t="s">
        <v>1376</v>
      </c>
      <c r="C41" s="27" t="str">
        <f t="shared" ca="1" si="0"/>
        <v>Tables C1-C4 - Alternative Presentation of Results</v>
      </c>
      <c r="E41"/>
    </row>
    <row r="42" spans="2:5" s="253" customFormat="1" x14ac:dyDescent="0.2">
      <c r="B42" s="51" t="s">
        <v>1208</v>
      </c>
      <c r="C42" s="27" t="str">
        <f t="shared" ca="1" si="0"/>
        <v>Figures 3-6: Foregone sequestration on single tract, LOG harvest type</v>
      </c>
      <c r="E42"/>
    </row>
    <row r="43" spans="2:5" s="253" customFormat="1" x14ac:dyDescent="0.2">
      <c r="B43" s="51" t="s">
        <v>1209</v>
      </c>
      <c r="C43" s="27" t="str">
        <f t="shared" ca="1" si="0"/>
        <v>Figure 7, Foregone Sequestration on Multiple Tracts, LOG harvest type</v>
      </c>
      <c r="E43"/>
    </row>
    <row r="44" spans="2:5" s="253" customFormat="1" x14ac:dyDescent="0.2">
      <c r="B44" s="51" t="s">
        <v>959</v>
      </c>
      <c r="C44" s="27" t="str">
        <f t="shared" ca="1" si="0"/>
        <v>Figures B1-B3: Foregone sequestration on single tract, THIN harvest type</v>
      </c>
      <c r="E44"/>
    </row>
    <row r="45" spans="2:5" s="253" customFormat="1" x14ac:dyDescent="0.2">
      <c r="B45" s="51" t="s">
        <v>1258</v>
      </c>
      <c r="C45" s="27" t="str">
        <f t="shared" ca="1" si="0"/>
        <v>Appendix D: landscape scale comparators</v>
      </c>
      <c r="E45"/>
    </row>
    <row r="46" spans="2:5" s="253" customFormat="1" x14ac:dyDescent="0.2">
      <c r="B46" s="51" t="s">
        <v>960</v>
      </c>
      <c r="C46" s="27" t="str">
        <f t="shared" ca="1" si="0"/>
        <v>Lookup Tables</v>
      </c>
      <c r="E46"/>
    </row>
    <row r="47" spans="2:5" s="253" customFormat="1" x14ac:dyDescent="0.2">
      <c r="B47" s="51" t="s">
        <v>1</v>
      </c>
      <c r="C47" s="27" t="str">
        <f t="shared" ca="1" si="0"/>
        <v>Conversion factors for physical units</v>
      </c>
      <c r="E47"/>
    </row>
    <row r="48" spans="2:5" s="253" customFormat="1" x14ac:dyDescent="0.2">
      <c r="B48" s="51" t="s">
        <v>314</v>
      </c>
      <c r="C48" s="27" t="str">
        <f t="shared" ca="1" si="0"/>
        <v>Bibliography</v>
      </c>
      <c r="E48"/>
    </row>
    <row r="49" spans="2:5" s="253" customFormat="1" x14ac:dyDescent="0.2">
      <c r="B49" s="51" t="s">
        <v>1210</v>
      </c>
      <c r="C49" s="27" t="str">
        <f t="shared" ca="1" si="0"/>
        <v>Release Notes</v>
      </c>
      <c r="E49"/>
    </row>
    <row r="50" spans="2:5" s="54" customFormat="1" x14ac:dyDescent="0.2">
      <c r="B50" s="52"/>
      <c r="C50" s="27"/>
    </row>
    <row r="51" spans="2:5" s="54" customFormat="1" ht="12.75" x14ac:dyDescent="0.25">
      <c r="B51" s="112" t="s">
        <v>356</v>
      </c>
      <c r="C51" s="106"/>
      <c r="D51" s="108"/>
    </row>
    <row r="52" spans="2:5" s="54" customFormat="1" ht="12.75" x14ac:dyDescent="0.25">
      <c r="B52" s="49" t="s">
        <v>341</v>
      </c>
      <c r="C52" s="49" t="s">
        <v>342</v>
      </c>
      <c r="D52" s="49" t="s">
        <v>2</v>
      </c>
    </row>
    <row r="53" spans="2:5" s="54" customFormat="1" x14ac:dyDescent="0.2">
      <c r="B53" s="71"/>
      <c r="C53" s="54" t="s">
        <v>354</v>
      </c>
    </row>
    <row r="54" spans="2:5" s="54" customFormat="1" x14ac:dyDescent="0.2">
      <c r="B54" s="69"/>
      <c r="C54" s="54" t="s">
        <v>343</v>
      </c>
    </row>
    <row r="55" spans="2:5" s="54" customFormat="1" x14ac:dyDescent="0.2">
      <c r="B55" s="70"/>
      <c r="C55" s="54" t="s">
        <v>353</v>
      </c>
      <c r="D55" s="54" t="s">
        <v>355</v>
      </c>
    </row>
    <row r="56" spans="2:5" s="54" customFormat="1" x14ac:dyDescent="0.2">
      <c r="B56" s="72"/>
      <c r="C56" s="54" t="s">
        <v>344</v>
      </c>
    </row>
    <row r="58" spans="2:5" ht="12.75" x14ac:dyDescent="0.25">
      <c r="B58" s="112" t="s">
        <v>357</v>
      </c>
      <c r="C58" s="106"/>
      <c r="D58" s="108"/>
    </row>
    <row r="59" spans="2:5" ht="12.75" x14ac:dyDescent="0.25">
      <c r="B59" s="49" t="s">
        <v>320</v>
      </c>
      <c r="C59" s="49" t="s">
        <v>321</v>
      </c>
      <c r="D59" s="49" t="s">
        <v>2</v>
      </c>
    </row>
    <row r="60" spans="2:5" s="54" customFormat="1" ht="3.95" customHeight="1" x14ac:dyDescent="0.2">
      <c r="B60" s="12"/>
    </row>
    <row r="61" spans="2:5" s="54" customFormat="1" ht="12.75" x14ac:dyDescent="0.2">
      <c r="B61" s="102" t="s">
        <v>372</v>
      </c>
      <c r="C61" s="14"/>
    </row>
    <row r="62" spans="2:5" s="54" customFormat="1" ht="3.95" customHeight="1" x14ac:dyDescent="0.2"/>
    <row r="63" spans="2:5" ht="26.1" customHeight="1" x14ac:dyDescent="0.2">
      <c r="B63" s="90" t="s">
        <v>323</v>
      </c>
      <c r="C63" s="47" t="s">
        <v>307</v>
      </c>
      <c r="D63" s="87" t="s">
        <v>375</v>
      </c>
    </row>
    <row r="64" spans="2:5" s="54" customFormat="1" ht="3.95" customHeight="1" x14ac:dyDescent="0.2"/>
    <row r="65" spans="2:4" ht="12.75" x14ac:dyDescent="0.25">
      <c r="B65" s="57" t="s">
        <v>309</v>
      </c>
      <c r="C65" s="14" t="s">
        <v>325</v>
      </c>
    </row>
    <row r="66" spans="2:4" s="54" customFormat="1" ht="3.95" customHeight="1" x14ac:dyDescent="0.2"/>
    <row r="67" spans="2:4" ht="12.75" x14ac:dyDescent="0.2">
      <c r="B67" s="92" t="s">
        <v>317</v>
      </c>
      <c r="C67" s="14" t="s">
        <v>326</v>
      </c>
    </row>
    <row r="68" spans="2:4" s="54" customFormat="1" ht="3.95" customHeight="1" x14ac:dyDescent="0.2"/>
    <row r="69" spans="2:4" ht="12.75" x14ac:dyDescent="0.25">
      <c r="B69" s="91" t="s">
        <v>322</v>
      </c>
      <c r="C69" s="47" t="s">
        <v>324</v>
      </c>
    </row>
    <row r="70" spans="2:4" s="54" customFormat="1" ht="3.95" customHeight="1" x14ac:dyDescent="0.2"/>
    <row r="71" spans="2:4" s="54" customFormat="1" ht="12.75" x14ac:dyDescent="0.25">
      <c r="B71" s="103" t="s">
        <v>376</v>
      </c>
      <c r="C71" s="14" t="s">
        <v>377</v>
      </c>
    </row>
    <row r="72" spans="2:4" s="54" customFormat="1" ht="3.95" customHeight="1" x14ac:dyDescent="0.2"/>
    <row r="73" spans="2:4" x14ac:dyDescent="0.2">
      <c r="B73" s="12" t="s">
        <v>315</v>
      </c>
      <c r="C73" s="14" t="s">
        <v>332</v>
      </c>
    </row>
    <row r="74" spans="2:4" s="54" customFormat="1" ht="3.95" customHeight="1" x14ac:dyDescent="0.2">
      <c r="B74" s="12"/>
      <c r="C74" s="14"/>
    </row>
    <row r="75" spans="2:4" x14ac:dyDescent="0.2">
      <c r="B75" s="96" t="s">
        <v>318</v>
      </c>
      <c r="C75" s="14" t="s">
        <v>318</v>
      </c>
    </row>
    <row r="76" spans="2:4" s="54" customFormat="1" x14ac:dyDescent="0.2"/>
    <row r="77" spans="2:4" s="54" customFormat="1" ht="12.75" x14ac:dyDescent="0.2">
      <c r="B77" s="102" t="s">
        <v>373</v>
      </c>
      <c r="C77" s="14"/>
    </row>
    <row r="78" spans="2:4" s="54" customFormat="1" ht="3.95" customHeight="1" x14ac:dyDescent="0.2">
      <c r="B78" s="102"/>
      <c r="C78" s="14"/>
    </row>
    <row r="79" spans="2:4" x14ac:dyDescent="0.2">
      <c r="B79" s="97" t="s">
        <v>335</v>
      </c>
      <c r="C79" s="47" t="s">
        <v>336</v>
      </c>
      <c r="D79" s="47" t="s">
        <v>379</v>
      </c>
    </row>
    <row r="80" spans="2:4" s="54" customFormat="1" ht="3.95" customHeight="1" x14ac:dyDescent="0.2"/>
    <row r="81" spans="2:4" x14ac:dyDescent="0.2">
      <c r="B81" s="78" t="s">
        <v>333</v>
      </c>
      <c r="C81" s="14" t="s">
        <v>369</v>
      </c>
    </row>
    <row r="82" spans="2:4" s="54" customFormat="1" ht="3.95" customHeight="1" x14ac:dyDescent="0.2"/>
    <row r="83" spans="2:4" s="54" customFormat="1" x14ac:dyDescent="0.2">
      <c r="B83" s="98" t="s">
        <v>366</v>
      </c>
      <c r="C83" s="14" t="s">
        <v>367</v>
      </c>
    </row>
    <row r="84" spans="2:4" s="54" customFormat="1" ht="12.95" customHeight="1" x14ac:dyDescent="0.2">
      <c r="B84" s="12"/>
    </row>
    <row r="85" spans="2:4" s="54" customFormat="1" ht="12.75" x14ac:dyDescent="0.2">
      <c r="B85" s="102" t="s">
        <v>371</v>
      </c>
      <c r="C85" s="14"/>
    </row>
    <row r="86" spans="2:4" s="54" customFormat="1" ht="3.95" customHeight="1" x14ac:dyDescent="0.2"/>
    <row r="87" spans="2:4" x14ac:dyDescent="0.2">
      <c r="B87" s="93" t="s">
        <v>316</v>
      </c>
      <c r="C87" s="14" t="s">
        <v>327</v>
      </c>
      <c r="D87" s="47" t="s">
        <v>359</v>
      </c>
    </row>
    <row r="88" spans="2:4" s="54" customFormat="1" ht="3.95" customHeight="1" x14ac:dyDescent="0.2"/>
    <row r="89" spans="2:4" x14ac:dyDescent="0.2">
      <c r="B89" s="94" t="s">
        <v>319</v>
      </c>
      <c r="C89" s="14" t="s">
        <v>328</v>
      </c>
      <c r="D89" s="47" t="s">
        <v>368</v>
      </c>
    </row>
    <row r="90" spans="2:4" s="54" customFormat="1" ht="3.95" customHeight="1" x14ac:dyDescent="0.2"/>
    <row r="91" spans="2:4" s="54" customFormat="1" x14ac:dyDescent="0.2">
      <c r="B91" s="95" t="s">
        <v>364</v>
      </c>
      <c r="C91" s="14" t="s">
        <v>365</v>
      </c>
      <c r="D91" s="54" t="s">
        <v>380</v>
      </c>
    </row>
    <row r="92" spans="2:4" s="54" customFormat="1" ht="3.95" customHeight="1" x14ac:dyDescent="0.2"/>
    <row r="93" spans="2:4" s="54" customFormat="1" ht="12.75" x14ac:dyDescent="0.2">
      <c r="B93" s="100" t="s">
        <v>352</v>
      </c>
      <c r="C93" s="54" t="s">
        <v>378</v>
      </c>
    </row>
    <row r="94" spans="2:4" s="54" customFormat="1" ht="12.95" customHeight="1" x14ac:dyDescent="0.2">
      <c r="B94" s="12"/>
    </row>
    <row r="95" spans="2:4" s="54" customFormat="1" ht="12.75" x14ac:dyDescent="0.2">
      <c r="B95" s="102" t="s">
        <v>374</v>
      </c>
      <c r="C95" s="14"/>
    </row>
    <row r="96" spans="2:4" s="54" customFormat="1" ht="3.95" customHeight="1" x14ac:dyDescent="0.2"/>
    <row r="97" spans="2:3" x14ac:dyDescent="0.2">
      <c r="B97" s="99" t="s">
        <v>345</v>
      </c>
      <c r="C97" s="47" t="s">
        <v>346</v>
      </c>
    </row>
    <row r="98" spans="2:3" s="54" customFormat="1" ht="3.95" customHeight="1" x14ac:dyDescent="0.2"/>
    <row r="99" spans="2:3" s="54" customFormat="1" x14ac:dyDescent="0.2">
      <c r="B99" s="101" t="s">
        <v>360</v>
      </c>
      <c r="C99" s="54" t="s">
        <v>361</v>
      </c>
    </row>
    <row r="100" spans="2:3" s="54" customFormat="1" x14ac:dyDescent="0.2"/>
  </sheetData>
  <mergeCells count="4">
    <mergeCell ref="B13:D13"/>
    <mergeCell ref="B3:D3"/>
    <mergeCell ref="B14:D14"/>
    <mergeCell ref="B4:D4"/>
  </mergeCells>
  <hyperlinks>
    <hyperlink ref="B19" location="'dashboard'!A1" display="'dashboard'!A1" xr:uid="{ADBCCC4E-1650-498C-B2D4-4590F3627A1D}"/>
    <hyperlink ref="B20" location="'HERB'!A1" display="'HERB'!A1" xr:uid="{4E749313-C08F-4CC1-BB5D-569F6F62663E}"/>
    <hyperlink ref="B21" location="'SRWC'!A1" display="'SRWC'!A1" xr:uid="{CC3FC66F-A14E-4063-A572-E8C374E47DD7}"/>
    <hyperlink ref="B22" location="'LOG'!A1" display="'LOG'!A1" xr:uid="{890673BE-4C37-4890-98A6-7AFEEBD2976B}"/>
    <hyperlink ref="B23" location="'THIN'!A1" display="'THIN'!A1" xr:uid="{BA8A1F07-239B-40E2-893E-5DD3FEC896C2}"/>
    <hyperlink ref="B24" location="'SLASH'!A1" display="'SLASH'!A1" xr:uid="{A5BF7C99-9D9F-4361-A64E-E12E6B27EA90}"/>
    <hyperlink ref="B25" location="'AG'!A1" display="'AG'!A1" xr:uid="{A9FF7807-B25B-449A-9D17-8732B66F95DA}"/>
    <hyperlink ref="B26" location="'MILL'!A1" display="'MILL'!A1" xr:uid="{538D06EE-32F7-4F44-8A4C-0B94C59B4309}"/>
    <hyperlink ref="B27" location="'tsHERB'!A1" display="'tsHERB'!A1" xr:uid="{9C0BFDDE-B90C-4020-B65D-B44ED42DDA91}"/>
    <hyperlink ref="B28" location="'tsSRWC'!A1" display="'tsSRWC'!A1" xr:uid="{7732B39F-5BE8-41D3-94FC-3C3666120FDB}"/>
    <hyperlink ref="B29" location="'tsLOG'!A1" display="'tsLOG'!A1" xr:uid="{E434A9FF-ACAB-47BC-BDCD-4F857E76B5C6}"/>
    <hyperlink ref="B30" location="'tsTHIN'!A1" display="'tsTHIN'!A1" xr:uid="{AE209C7B-DA8B-42A1-9BCB-E1C89EDD9076}"/>
    <hyperlink ref="B31" location="'tsSLASH'!A1" display="'tsSLASH'!A1" xr:uid="{4B0DB5FF-FD5D-4F0F-95F9-978AE7931892}"/>
    <hyperlink ref="B32" location="'BECCS rollup'!A1" display="'BECCS rollup'!A1" xr:uid="{2214318D-3FB0-446F-96D7-47D345ACF407}"/>
    <hyperlink ref="B33" location="'REF rollup'!A1" display="'REF rollup'!A1" xr:uid="{A25FE132-F369-47EB-82FD-CA6D1991669B}"/>
    <hyperlink ref="B34" location="'params'!A1" display="'params'!A1" xr:uid="{71A1B3FB-53E6-4826-8752-D878641DA13B}"/>
    <hyperlink ref="B35" location="'growth'!A1" display="'growth'!A1" xr:uid="{DEF849D4-DD2D-4B34-B4FE-D2A7464F3ECD}"/>
    <hyperlink ref="B36" location="'decay'!A1" display="'decay'!A1" xr:uid="{FE7C0EF1-B8AF-4CFE-9F44-07CD039DDBF5}"/>
    <hyperlink ref="B37" location="'Table 1'!A1" display="'Table 1'!A1" xr:uid="{2EDCCE9C-9A46-4A45-A451-66C832608E59}"/>
    <hyperlink ref="B38" location="'Table 2'!A1" display="'Table 2'!A1" xr:uid="{8921628A-86CE-465D-BDA3-EAF423490B8B}"/>
    <hyperlink ref="B39" location="'Tables 3-4'!A1" display="'Tables 3-4'!A1" xr:uid="{975330EB-FD29-4AAC-A064-5E690F00545D}"/>
    <hyperlink ref="B40" location="'Table 5'!A1" display="'Table 5'!A1" xr:uid="{14A18002-1D5A-4DBD-BE83-A07321F816BE}"/>
    <hyperlink ref="B41" location="'Tables C1-C2'!A1" display="'Tables C1-C2'!A1" xr:uid="{795761CD-152F-4079-9810-C04FF7761DB1}"/>
    <hyperlink ref="B42" location="'Figures 3-6'!A1" display="'Figures 3-6'!A1" xr:uid="{93FBA111-B08C-4B32-BA63-C101C9102288}"/>
    <hyperlink ref="B43" location="'Figure 7'!A1" display="'Figure 7'!A1" xr:uid="{D9EEE73F-01F7-4BF1-B0E9-65AAD10DCCC3}"/>
    <hyperlink ref="B44" location="'Figures B1-B3'!A1" display="'Figures B1-B3'!A1" xr:uid="{0FABFCF2-0FAD-4B33-9D25-C6804891C900}"/>
    <hyperlink ref="B45" location="'Appendix D'!A1" display="Appendix D" xr:uid="{224003FB-2DB6-4096-98E9-B062B5576354}"/>
    <hyperlink ref="B46" location="'lookup'!A1" display="'lookup'!A1" xr:uid="{889835A1-9617-45EB-96DF-B81B26EC1B78}"/>
    <hyperlink ref="B47" location="'units'!A1" display="'units'!A1" xr:uid="{19A64ADE-B1D3-4C63-ADBA-2D38D76457F6}"/>
    <hyperlink ref="B48" location="'cites'!A1" display="'cites'!A1" xr:uid="{925AA19B-A88E-45C2-829C-02DFB793C2EC}"/>
    <hyperlink ref="B49" location="'releases'!A1" display="'releases'!A1" xr:uid="{5E58FACF-C702-45C9-BE9D-4DCB0B9A6250}"/>
  </hyperlinks>
  <pageMargins left="0.7" right="0.7" top="0.75" bottom="0.75" header="0.3" footer="0.3"/>
  <pageSetup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codeName="Sheet2">
    <tabColor rgb="FF2171B5"/>
  </sheetPr>
  <dimension ref="A1:AX936"/>
  <sheetViews>
    <sheetView workbookViewId="0"/>
  </sheetViews>
  <sheetFormatPr defaultColWidth="10.83203125" defaultRowHeight="12.95" customHeight="1" x14ac:dyDescent="0.2"/>
  <cols>
    <col min="1" max="1" width="1.83203125" style="54" customWidth="1"/>
    <col min="2" max="4" width="2.83203125" style="54" customWidth="1"/>
    <col min="5" max="5" width="32.83203125" style="54" customWidth="1"/>
    <col min="6" max="6" width="8.83203125" style="54" customWidth="1"/>
    <col min="7" max="8" width="10.83203125" style="54" customWidth="1"/>
    <col min="9" max="9" width="8.83203125" style="54" customWidth="1"/>
    <col min="10" max="48" width="8.83203125" style="12" customWidth="1"/>
    <col min="49" max="49" width="75.83203125" style="54" customWidth="1"/>
    <col min="50" max="50" width="10.83203125" style="54" customWidth="1"/>
    <col min="51" max="16384" width="10.83203125" style="54"/>
  </cols>
  <sheetData>
    <row r="1" spans="1:50" ht="30" customHeight="1" x14ac:dyDescent="0.2">
      <c r="A1" s="85"/>
      <c r="B1" s="86" t="s">
        <v>1017</v>
      </c>
      <c r="C1" s="104"/>
      <c r="D1" s="104"/>
      <c r="E1" s="104"/>
      <c r="F1" s="166"/>
      <c r="G1" s="14"/>
      <c r="H1" s="14"/>
      <c r="I1" s="14"/>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14"/>
      <c r="AX1" s="14"/>
    </row>
    <row r="2" spans="1:50" ht="12.95" customHeight="1" x14ac:dyDescent="0.2">
      <c r="A2" s="85"/>
      <c r="B2" s="81" t="s">
        <v>349</v>
      </c>
      <c r="C2" s="21"/>
      <c r="D2" s="21"/>
      <c r="E2" s="21"/>
      <c r="F2" s="21"/>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row>
    <row r="3" spans="1:50" ht="12.95" customHeight="1" x14ac:dyDescent="0.2">
      <c r="B3" s="21"/>
      <c r="C3" s="21"/>
      <c r="D3" s="21"/>
      <c r="E3" s="21"/>
      <c r="F3" s="21"/>
      <c r="I3" s="81"/>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row>
    <row r="4" spans="1:50" ht="12.95" customHeight="1" x14ac:dyDescent="0.25">
      <c r="B4" s="307" t="s">
        <v>975</v>
      </c>
      <c r="C4" s="106"/>
      <c r="D4" s="106"/>
      <c r="E4" s="106"/>
      <c r="F4" s="106"/>
      <c r="G4" s="106"/>
      <c r="H4" s="106"/>
      <c r="I4" s="106"/>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8"/>
    </row>
    <row r="5" spans="1:50" ht="12.95" customHeight="1" x14ac:dyDescent="0.25">
      <c r="B5" s="19" t="s">
        <v>300</v>
      </c>
      <c r="C5" s="75"/>
      <c r="D5" s="75"/>
      <c r="E5" s="74"/>
      <c r="F5" s="56" t="s">
        <v>491</v>
      </c>
      <c r="G5" s="113" t="s">
        <v>1</v>
      </c>
      <c r="H5" s="114" t="s">
        <v>456</v>
      </c>
      <c r="I5" s="114" t="s">
        <v>381</v>
      </c>
      <c r="J5" s="56" t="s">
        <v>382</v>
      </c>
      <c r="K5" s="56" t="s">
        <v>383</v>
      </c>
      <c r="L5" s="56" t="s">
        <v>384</v>
      </c>
      <c r="M5" s="56" t="s">
        <v>385</v>
      </c>
      <c r="N5" s="56" t="s">
        <v>386</v>
      </c>
      <c r="O5" s="56" t="s">
        <v>387</v>
      </c>
      <c r="P5" s="56" t="s">
        <v>388</v>
      </c>
      <c r="Q5" s="56" t="s">
        <v>389</v>
      </c>
      <c r="R5" s="56" t="s">
        <v>390</v>
      </c>
      <c r="S5" s="56" t="s">
        <v>401</v>
      </c>
      <c r="T5" s="56" t="s">
        <v>402</v>
      </c>
      <c r="U5" s="56" t="s">
        <v>403</v>
      </c>
      <c r="V5" s="56" t="s">
        <v>404</v>
      </c>
      <c r="W5" s="56" t="s">
        <v>405</v>
      </c>
      <c r="X5" s="56" t="s">
        <v>406</v>
      </c>
      <c r="Y5" s="56" t="s">
        <v>407</v>
      </c>
      <c r="Z5" s="56" t="s">
        <v>408</v>
      </c>
      <c r="AA5" s="56" t="s">
        <v>409</v>
      </c>
      <c r="AB5" s="56" t="s">
        <v>410</v>
      </c>
      <c r="AC5" s="56" t="s">
        <v>411</v>
      </c>
      <c r="AD5" s="56" t="s">
        <v>412</v>
      </c>
      <c r="AE5" s="56" t="s">
        <v>413</v>
      </c>
      <c r="AF5" s="56" t="s">
        <v>414</v>
      </c>
      <c r="AG5" s="56" t="s">
        <v>415</v>
      </c>
      <c r="AH5" s="56" t="s">
        <v>416</v>
      </c>
      <c r="AI5" s="56" t="s">
        <v>417</v>
      </c>
      <c r="AJ5" s="56" t="s">
        <v>418</v>
      </c>
      <c r="AK5" s="56" t="s">
        <v>419</v>
      </c>
      <c r="AL5" s="56" t="s">
        <v>420</v>
      </c>
      <c r="AM5" s="56" t="s">
        <v>421</v>
      </c>
      <c r="AN5" s="56" t="s">
        <v>422</v>
      </c>
      <c r="AO5" s="56" t="s">
        <v>423</v>
      </c>
      <c r="AP5" s="56" t="s">
        <v>424</v>
      </c>
      <c r="AQ5" s="56" t="s">
        <v>425</v>
      </c>
      <c r="AR5" s="56" t="s">
        <v>426</v>
      </c>
      <c r="AS5" s="56" t="s">
        <v>427</v>
      </c>
      <c r="AT5" s="56" t="s">
        <v>428</v>
      </c>
      <c r="AU5" s="56" t="s">
        <v>429</v>
      </c>
      <c r="AV5" s="56" t="s">
        <v>430</v>
      </c>
      <c r="AW5" s="5" t="s">
        <v>2</v>
      </c>
      <c r="AX5" s="14"/>
    </row>
    <row r="6" spans="1:50" ht="12.95" customHeight="1" x14ac:dyDescent="0.2">
      <c r="B6" s="54" t="s">
        <v>496</v>
      </c>
      <c r="C6" s="14"/>
      <c r="F6" s="54" t="s">
        <v>492</v>
      </c>
      <c r="G6" s="253" t="s">
        <v>395</v>
      </c>
      <c r="H6" s="124"/>
      <c r="I6" s="147">
        <f>tsSRWC!I29</f>
        <v>1.3801503036642727E-2</v>
      </c>
      <c r="J6" s="147">
        <f>tsSRWC!J29</f>
        <v>8.870660069358649E-2</v>
      </c>
      <c r="K6" s="147">
        <f>tsSRWC!K29</f>
        <v>0.21889250191111381</v>
      </c>
      <c r="L6" s="147">
        <f>tsSRWC!L29</f>
        <v>0.38679027443885877</v>
      </c>
      <c r="M6" s="147">
        <f>tsSRWC!M29</f>
        <v>0.57839942135411293</v>
      </c>
      <c r="N6" s="147">
        <f>tsSRWC!N29</f>
        <v>0.7826745636946395</v>
      </c>
      <c r="O6" s="147">
        <f>tsSRWC!O29</f>
        <v>0.99100916955596396</v>
      </c>
      <c r="P6" s="147">
        <f>tsSRWC!P29</f>
        <v>1.1968016682944005</v>
      </c>
      <c r="Q6" s="147">
        <f>tsSRWC!Q29</f>
        <v>1.3950914428611982</v>
      </c>
      <c r="R6" s="147">
        <f>tsSRWC!R29</f>
        <v>1.5822540365492577</v>
      </c>
      <c r="S6" s="147">
        <f>tsSRWC!S29</f>
        <v>1.7557464869953625</v>
      </c>
      <c r="T6" s="147">
        <f>tsSRWC!T29</f>
        <v>1.9138950482816846</v>
      </c>
      <c r="U6" s="147">
        <f>tsSRWC!U29</f>
        <v>2.0557187141442146</v>
      </c>
      <c r="V6" s="147">
        <f>tsSRWC!V29</f>
        <v>2.1807829396979503</v>
      </c>
      <c r="W6" s="147">
        <f>tsSRWC!W29</f>
        <v>2.2890787998168136</v>
      </c>
      <c r="X6" s="147">
        <f>tsSRWC!X29</f>
        <v>2.3809235400169406</v>
      </c>
      <c r="Y6" s="147">
        <f>tsSRWC!Y29</f>
        <v>2.4568790881047384</v>
      </c>
      <c r="Z6" s="147">
        <f>tsSRWC!Z29</f>
        <v>2.5176856171558732</v>
      </c>
      <c r="AA6" s="147">
        <f>tsSRWC!AA29</f>
        <v>2.564207695610925</v>
      </c>
      <c r="AB6" s="147">
        <f>tsSRWC!AB29</f>
        <v>2.5973909395725769</v>
      </c>
      <c r="AC6" s="147">
        <f>tsSRWC!AC29</f>
        <v>2.6182274053303409</v>
      </c>
      <c r="AD6" s="147">
        <f>tsSRWC!AD29</f>
        <v>2.6277282349196724</v>
      </c>
      <c r="AE6" s="147">
        <f>tsSRWC!AE29</f>
        <v>2.626902301161131</v>
      </c>
      <c r="AF6" s="147">
        <f>tsSRWC!AF29</f>
        <v>2.6167397971342226</v>
      </c>
      <c r="AG6" s="147">
        <f>tsSRWC!AG29</f>
        <v>2.5981998835638649</v>
      </c>
      <c r="AH6" s="147">
        <f>tsSRWC!AH29</f>
        <v>2.5722016505436329</v>
      </c>
      <c r="AI6" s="147">
        <f>tsSRWC!AI29</f>
        <v>2.5396177711523222</v>
      </c>
      <c r="AJ6" s="147">
        <f>tsSRWC!AJ29</f>
        <v>2.5012703270672532</v>
      </c>
      <c r="AK6" s="147">
        <f>tsSRWC!AK29</f>
        <v>2.4579283729931376</v>
      </c>
      <c r="AL6" s="147">
        <f>tsSRWC!AL29</f>
        <v>2.4103068799643594</v>
      </c>
      <c r="AM6" s="147">
        <f>tsSRWC!AM29</f>
        <v>2.3590667593578303</v>
      </c>
      <c r="AN6" s="147">
        <f>tsSRWC!AN29</f>
        <v>2.3048157214873015</v>
      </c>
      <c r="AO6" s="147">
        <f>tsSRWC!AO29</f>
        <v>2.248109766412</v>
      </c>
      <c r="AP6" s="147">
        <f>tsSRWC!AP29</f>
        <v>2.1894551413296242</v>
      </c>
      <c r="AQ6" s="147">
        <f>tsSRWC!AQ29</f>
        <v>2.1293106297086268</v>
      </c>
      <c r="AR6" s="147">
        <f>tsSRWC!AR29</f>
        <v>2.0680900630561467</v>
      </c>
      <c r="AS6" s="147">
        <f>tsSRWC!AS29</f>
        <v>2.0061649676923565</v>
      </c>
      <c r="AT6" s="147">
        <f>tsSRWC!AT29</f>
        <v>1.9438672767686711</v>
      </c>
      <c r="AU6" s="147">
        <f>tsSRWC!AU29</f>
        <v>1.881492052593245</v>
      </c>
      <c r="AV6" s="147">
        <f>tsSRWC!AV29</f>
        <v>1.8193001765820753</v>
      </c>
    </row>
    <row r="7" spans="1:50" ht="12.95" customHeight="1" x14ac:dyDescent="0.2">
      <c r="B7" s="54" t="s">
        <v>495</v>
      </c>
      <c r="C7" s="14"/>
      <c r="F7" s="54" t="s">
        <v>492</v>
      </c>
      <c r="G7" s="54" t="s">
        <v>432</v>
      </c>
      <c r="H7" s="124"/>
      <c r="I7" s="124">
        <f>I6*HERB!$F$25</f>
        <v>0</v>
      </c>
      <c r="J7" s="124">
        <f>J6*HERB!$F$25</f>
        <v>0</v>
      </c>
      <c r="K7" s="124">
        <f>K6*HERB!$F$25</f>
        <v>0</v>
      </c>
      <c r="L7" s="124">
        <f>L6*HERB!$F$25</f>
        <v>0</v>
      </c>
      <c r="M7" s="124">
        <f>M6*HERB!$F$25</f>
        <v>0</v>
      </c>
      <c r="N7" s="124">
        <f>N6*HERB!$F$25</f>
        <v>0</v>
      </c>
      <c r="O7" s="124">
        <f>O6*HERB!$F$25</f>
        <v>0</v>
      </c>
      <c r="P7" s="124">
        <f>P6*HERB!$F$25</f>
        <v>0</v>
      </c>
      <c r="Q7" s="124">
        <f>Q6*HERB!$F$25</f>
        <v>0</v>
      </c>
      <c r="R7" s="124">
        <f>R6*HERB!$F$25</f>
        <v>0</v>
      </c>
      <c r="S7" s="124">
        <f>S6*HERB!$F$25</f>
        <v>0</v>
      </c>
      <c r="T7" s="124">
        <f>T6*HERB!$F$25</f>
        <v>0</v>
      </c>
      <c r="U7" s="124">
        <f>U6*HERB!$F$25</f>
        <v>0</v>
      </c>
      <c r="V7" s="124">
        <f>V6*HERB!$F$25</f>
        <v>0</v>
      </c>
      <c r="W7" s="124">
        <f>W6*HERB!$F$25</f>
        <v>0</v>
      </c>
      <c r="X7" s="124">
        <f>X6*HERB!$F$25</f>
        <v>0</v>
      </c>
      <c r="Y7" s="124">
        <f>Y6*HERB!$F$25</f>
        <v>0</v>
      </c>
      <c r="Z7" s="124">
        <f>Z6*HERB!$F$25</f>
        <v>0</v>
      </c>
      <c r="AA7" s="124">
        <f>AA6*HERB!$F$25</f>
        <v>0</v>
      </c>
      <c r="AB7" s="124">
        <f>AB6*HERB!$F$25</f>
        <v>0</v>
      </c>
      <c r="AC7" s="124">
        <f>AC6*HERB!$F$25</f>
        <v>0</v>
      </c>
      <c r="AD7" s="124">
        <f>AD6*HERB!$F$25</f>
        <v>0</v>
      </c>
      <c r="AE7" s="124">
        <f>AE6*HERB!$F$25</f>
        <v>0</v>
      </c>
      <c r="AF7" s="124">
        <f>AF6*HERB!$F$25</f>
        <v>0</v>
      </c>
      <c r="AG7" s="124">
        <f>AG6*HERB!$F$25</f>
        <v>0</v>
      </c>
      <c r="AH7" s="124">
        <f>AH6*HERB!$F$25</f>
        <v>0</v>
      </c>
      <c r="AI7" s="124">
        <f>AI6*HERB!$F$25</f>
        <v>0</v>
      </c>
      <c r="AJ7" s="124">
        <f>AJ6*HERB!$F$25</f>
        <v>0</v>
      </c>
      <c r="AK7" s="124">
        <f>AK6*HERB!$F$25</f>
        <v>0</v>
      </c>
      <c r="AL7" s="124">
        <f>AL6*HERB!$F$25</f>
        <v>0</v>
      </c>
      <c r="AM7" s="124">
        <f>AM6*HERB!$F$25</f>
        <v>0</v>
      </c>
      <c r="AN7" s="124">
        <f>AN6*HERB!$F$25</f>
        <v>0</v>
      </c>
      <c r="AO7" s="124">
        <f>AO6*HERB!$F$25</f>
        <v>0</v>
      </c>
      <c r="AP7" s="124">
        <f>AP6*HERB!$F$25</f>
        <v>0</v>
      </c>
      <c r="AQ7" s="124">
        <f>AQ6*HERB!$F$25</f>
        <v>0</v>
      </c>
      <c r="AR7" s="124">
        <f>AR6*HERB!$F$25</f>
        <v>0</v>
      </c>
      <c r="AS7" s="124">
        <f>AS6*HERB!$F$25</f>
        <v>0</v>
      </c>
      <c r="AT7" s="124">
        <f>AT6*HERB!$F$25</f>
        <v>0</v>
      </c>
      <c r="AU7" s="124">
        <f>AU6*HERB!$F$25</f>
        <v>0</v>
      </c>
      <c r="AV7" s="124">
        <f>AV6*HERB!$F$25</f>
        <v>0</v>
      </c>
    </row>
    <row r="8" spans="1:50" s="253" customFormat="1" ht="12.95" customHeight="1" x14ac:dyDescent="0.2">
      <c r="C8" s="14"/>
      <c r="H8" s="124"/>
      <c r="I8" s="124"/>
      <c r="J8" s="124"/>
      <c r="K8" s="124"/>
      <c r="L8" s="124"/>
      <c r="M8" s="124"/>
      <c r="N8" s="124"/>
      <c r="O8" s="124"/>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row>
    <row r="9" spans="1:50" s="253" customFormat="1" ht="12.95" customHeight="1" x14ac:dyDescent="0.2">
      <c r="B9" s="203" t="s">
        <v>1142</v>
      </c>
      <c r="C9" s="14"/>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row>
    <row r="10" spans="1:50" ht="12.95" customHeight="1" x14ac:dyDescent="0.2">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row>
    <row r="11" spans="1:50" s="253" customFormat="1" ht="12.95" customHeight="1" x14ac:dyDescent="0.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row>
    <row r="12" spans="1:50" s="170" customFormat="1" ht="12.95" customHeight="1" x14ac:dyDescent="0.2">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row>
    <row r="13" spans="1:50" ht="12.95" customHeight="1" x14ac:dyDescent="0.2">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row>
    <row r="14" spans="1:50" ht="12.95" customHeight="1" x14ac:dyDescent="0.2">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row>
    <row r="15" spans="1:50" ht="12.95"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row>
    <row r="16" spans="1:50" ht="12.95"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row>
    <row r="17" spans="1:50" ht="12.95" customHeight="1" x14ac:dyDescent="0.2">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row>
    <row r="18" spans="1:50" ht="12.9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row>
    <row r="19" spans="1:50" ht="12.9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row>
    <row r="20" spans="1:50" ht="12.95" customHeight="1" x14ac:dyDescent="0.2">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row>
    <row r="21" spans="1:50" ht="12.95" customHeight="1" x14ac:dyDescent="0.2">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row>
    <row r="22" spans="1:50" ht="12.95" customHeight="1" x14ac:dyDescent="0.2">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row>
    <row r="23" spans="1:50" ht="12.95" customHeight="1" x14ac:dyDescent="0.2">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row>
    <row r="24" spans="1:50" ht="12.95" customHeight="1" x14ac:dyDescent="0.2">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row>
    <row r="25" spans="1:50" ht="12.95" customHeight="1" x14ac:dyDescent="0.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row>
    <row r="26" spans="1:50" ht="12.95" customHeight="1" x14ac:dyDescent="0.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row>
    <row r="27" spans="1:50" ht="12.95" customHeight="1" x14ac:dyDescent="0.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row>
    <row r="28" spans="1:50" ht="12.95" customHeight="1" x14ac:dyDescent="0.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row>
    <row r="29" spans="1:50" ht="12.95" customHeight="1" x14ac:dyDescent="0.2">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row>
    <row r="30" spans="1:50" ht="12.95" customHeight="1" x14ac:dyDescent="0.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row>
    <row r="31" spans="1:50" ht="12.95" customHeight="1" x14ac:dyDescent="0.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row>
    <row r="32" spans="1:50" ht="12.95" customHeight="1" x14ac:dyDescent="0.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row>
    <row r="33" spans="1:50" ht="12.95" customHeight="1" x14ac:dyDescent="0.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row>
    <row r="34" spans="1:50" ht="12.95" customHeight="1" x14ac:dyDescent="0.2">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row>
    <row r="35" spans="1:50" ht="12.95" customHeight="1" x14ac:dyDescent="0.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row>
    <row r="36" spans="1:50" ht="12.95" customHeight="1" x14ac:dyDescent="0.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row>
    <row r="37" spans="1:50" ht="12.95" customHeight="1" x14ac:dyDescent="0.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row>
    <row r="38" spans="1:50" ht="12.95" customHeight="1" x14ac:dyDescent="0.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row>
    <row r="39" spans="1:50" ht="12.95" customHeight="1" x14ac:dyDescent="0.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row>
    <row r="40" spans="1:50" ht="12.95" customHeight="1" x14ac:dyDescent="0.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row>
    <row r="41" spans="1:50" ht="12.95" customHeight="1" x14ac:dyDescent="0.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row>
    <row r="42" spans="1:50" ht="12.95" customHeight="1" x14ac:dyDescent="0.2">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row>
    <row r="43" spans="1:50" ht="12.95" customHeight="1" x14ac:dyDescent="0.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row>
    <row r="44" spans="1:50" ht="12.95" customHeight="1" x14ac:dyDescent="0.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row>
    <row r="45" spans="1:50" ht="12.95" customHeight="1" x14ac:dyDescent="0.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row>
    <row r="46" spans="1:50" ht="12.95" customHeight="1" x14ac:dyDescent="0.2">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row>
    <row r="47" spans="1:50" ht="12.95" customHeight="1" x14ac:dyDescent="0.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row>
    <row r="48" spans="1:50" ht="12.95" customHeight="1" x14ac:dyDescent="0.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row>
    <row r="49" spans="1:50" ht="12.95" customHeight="1" x14ac:dyDescent="0.2">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row>
    <row r="50" spans="1:50" ht="12.95" customHeight="1" x14ac:dyDescent="0.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row>
    <row r="51" spans="1:50" ht="12.95" customHeight="1" x14ac:dyDescent="0.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row>
    <row r="52" spans="1:50" ht="12.95" customHeigh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row>
    <row r="53" spans="1:50" ht="12.95" customHeigh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row>
    <row r="54" spans="1:50" ht="12.95" customHeigh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row>
    <row r="55" spans="1:50" ht="12.95" customHeight="1" x14ac:dyDescent="0.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row>
    <row r="56" spans="1:50" ht="12.95" customHeight="1" x14ac:dyDescent="0.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row>
    <row r="57" spans="1:50" ht="12.9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row>
    <row r="58" spans="1:50" ht="12.9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row>
    <row r="59" spans="1:50" ht="12.95" customHeight="1"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row>
    <row r="60" spans="1:50" ht="12.95" customHeight="1"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row>
    <row r="61" spans="1:50" ht="12.95" customHeight="1"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row>
    <row r="62" spans="1:50" ht="12.95" customHeight="1"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row>
    <row r="63" spans="1:50" ht="12.95" customHeight="1"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row>
    <row r="64" spans="1:50" ht="12.9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row>
    <row r="65" spans="1:50" ht="12.95" customHeight="1"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row>
    <row r="66" spans="1:50" ht="12.95" customHeight="1"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row>
    <row r="67" spans="1:50" ht="12.95" customHeight="1"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row>
    <row r="68" spans="1:50" ht="12.95" customHeight="1"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row>
    <row r="69" spans="1:50" ht="12.95" customHeight="1"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row>
    <row r="70" spans="1:50" ht="12.95" customHeight="1"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row>
    <row r="71" spans="1:50" ht="12.95" customHeight="1"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row>
    <row r="72" spans="1:50" ht="12.95" customHeight="1"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row>
    <row r="73" spans="1:50" ht="12.9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row>
    <row r="74" spans="1:50" ht="12.95" customHeight="1"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row>
    <row r="75" spans="1:50" ht="12.95" customHeight="1"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row>
    <row r="76" spans="1:50" ht="12.9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row>
    <row r="77" spans="1:50" ht="12.95" customHeight="1"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row>
    <row r="78" spans="1:50" ht="12.95" customHeight="1"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row>
    <row r="79" spans="1:50" ht="12.95" customHeight="1"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row>
    <row r="80" spans="1:50" ht="12.95" customHeight="1"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row>
    <row r="81" spans="1:50" ht="12.9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row>
    <row r="82" spans="1:50" ht="12.95" customHeight="1"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row>
    <row r="83" spans="1:50" ht="12.95" customHeight="1"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row>
    <row r="84" spans="1:50" ht="12.95" customHeight="1"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row>
    <row r="85" spans="1:50" ht="12.95" customHeight="1"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row>
    <row r="86" spans="1:50" ht="12.95" customHeight="1" x14ac:dyDescent="0.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row>
    <row r="87" spans="1:50" ht="12.95" customHeight="1"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row>
    <row r="88" spans="1:50" ht="12.95" customHeight="1" x14ac:dyDescent="0.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row>
    <row r="89" spans="1:50" ht="12.95" customHeight="1" x14ac:dyDescent="0.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row>
    <row r="90" spans="1:50" ht="12.95" customHeight="1" x14ac:dyDescent="0.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row>
    <row r="91" spans="1:50" ht="12.95" customHeight="1" x14ac:dyDescent="0.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row>
    <row r="92" spans="1:50" ht="12.95" customHeight="1" x14ac:dyDescent="0.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row>
    <row r="93" spans="1:50" ht="12.95" customHeight="1" x14ac:dyDescent="0.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row>
    <row r="94" spans="1:50" ht="12.95" customHeight="1" x14ac:dyDescent="0.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row>
    <row r="95" spans="1:50" ht="12.95" customHeight="1" x14ac:dyDescent="0.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row>
    <row r="96" spans="1:50" ht="12.95" customHeight="1" x14ac:dyDescent="0.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row>
    <row r="97" spans="1:50" ht="12.95" customHeight="1" x14ac:dyDescent="0.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row>
    <row r="98" spans="1:50" ht="12.95" customHeight="1" x14ac:dyDescent="0.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row>
    <row r="99" spans="1:50" ht="12.95" customHeight="1" x14ac:dyDescent="0.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row>
    <row r="100" spans="1:50" ht="12.95" customHeight="1" x14ac:dyDescent="0.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row>
    <row r="101" spans="1:50" ht="12.95" customHeight="1" x14ac:dyDescent="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row>
    <row r="102" spans="1:50" ht="12.95" customHeight="1" x14ac:dyDescent="0.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row>
    <row r="103" spans="1:50" ht="12.95" customHeight="1" x14ac:dyDescent="0.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row>
    <row r="104" spans="1:50" ht="12.95" customHeight="1"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row>
    <row r="105" spans="1:50" ht="12.95" customHeight="1" x14ac:dyDescent="0.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row>
    <row r="106" spans="1:50" ht="12.95" customHeight="1"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row>
    <row r="107" spans="1:50" ht="12.95" customHeight="1" x14ac:dyDescent="0.2">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row>
    <row r="108" spans="1:50" ht="12.95" customHeight="1"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row>
    <row r="109" spans="1:50" ht="12.95" customHeight="1"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row>
    <row r="110" spans="1:50" ht="12.95" customHeight="1" x14ac:dyDescent="0.2">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row>
    <row r="111" spans="1:50" ht="12.95" customHeight="1"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row>
    <row r="112" spans="1:50" ht="12.95" customHeight="1"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row>
    <row r="113" spans="1:50" ht="12.95" customHeight="1"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row>
    <row r="114" spans="1:50" ht="12.95" customHeight="1" x14ac:dyDescent="0.2">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row>
    <row r="115" spans="1:50" ht="12.95" customHeight="1" x14ac:dyDescent="0.2">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row>
    <row r="116" spans="1:50" ht="12.95" customHeight="1"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row>
    <row r="117" spans="1:50" ht="12.95" customHeight="1"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row>
    <row r="118" spans="1:50" ht="12.95" customHeight="1"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row>
    <row r="119" spans="1:50" ht="12.95" customHeight="1"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row>
    <row r="120" spans="1:50" ht="12.95" customHeight="1"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row>
    <row r="121" spans="1:50" ht="12.95" customHeight="1"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row>
    <row r="122" spans="1:50" ht="12.95" customHeight="1"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row>
    <row r="123" spans="1:50" ht="12.95" customHeight="1"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row>
    <row r="124" spans="1:50" ht="12.95" customHeight="1"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row>
    <row r="125" spans="1:50" ht="12.95" customHeight="1"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row>
    <row r="126" spans="1:50" ht="12.95" customHeight="1"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row>
    <row r="127" spans="1:50" ht="12.95" customHeight="1"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row>
    <row r="128" spans="1:50" ht="12.95" customHeight="1"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row>
    <row r="129" spans="1:50" ht="12.95" customHeight="1"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row>
    <row r="130" spans="1:50" ht="12.95" customHeight="1"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row>
    <row r="131" spans="1:50" ht="12.95" customHeight="1"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row>
    <row r="132" spans="1:50" ht="12.95" customHeight="1"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row>
    <row r="133" spans="1:50" ht="12.95" customHeight="1"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row>
    <row r="134" spans="1:50" ht="12.95" customHeight="1"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row>
    <row r="135" spans="1:50" ht="12.95" customHeight="1"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row>
    <row r="136" spans="1:50" ht="12.95" customHeight="1"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row>
    <row r="137" spans="1:50" ht="12.95" customHeight="1"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row>
    <row r="138" spans="1:50" ht="12.95" customHeight="1"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row>
    <row r="139" spans="1:50" ht="12.95" customHeight="1"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row>
    <row r="140" spans="1:50" ht="12.95" customHeight="1"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row>
    <row r="141" spans="1:50" ht="12.95" customHeight="1"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row>
    <row r="142" spans="1:50" ht="12.95" customHeight="1"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row>
    <row r="143" spans="1:50" ht="12.95" customHeight="1"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row>
    <row r="144" spans="1:50" ht="12.95" customHeight="1"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row>
    <row r="145" spans="1:50" ht="12.95" customHeight="1"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row>
    <row r="146" spans="1:50" ht="12.95" customHeight="1"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row>
    <row r="147" spans="1:50" ht="12.95" customHeight="1"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row>
    <row r="148" spans="1:50" ht="12.95" customHeight="1"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row>
    <row r="149" spans="1:50" ht="12.95" customHeight="1"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row>
    <row r="150" spans="1:50" ht="12.95" customHeight="1"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row>
    <row r="151" spans="1:50" ht="12.95" customHeight="1"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row>
    <row r="152" spans="1:50" ht="12.95" customHeight="1"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row>
    <row r="153" spans="1:50" ht="12.95" customHeight="1"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row>
    <row r="154" spans="1:50" ht="12.95" customHeight="1"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row>
    <row r="155" spans="1:50" ht="12.95" customHeight="1"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row>
    <row r="156" spans="1:50" ht="12.95" customHeight="1"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row>
    <row r="157" spans="1:50" ht="12.95" customHeight="1"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row>
    <row r="158" spans="1:50" ht="12.95" customHeight="1"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row>
    <row r="159" spans="1:50" ht="12.95" customHeight="1"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row>
    <row r="160" spans="1:50" ht="12.95" customHeight="1"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row>
    <row r="161" spans="1:50" ht="12.95" customHeight="1"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row>
    <row r="162" spans="1:50" ht="12.95" customHeight="1"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row>
    <row r="163" spans="1:50" ht="12.95" customHeight="1"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row>
    <row r="164" spans="1:50" ht="12.95" customHeight="1"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row>
    <row r="165" spans="1:50" ht="12.95" customHeight="1"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row>
    <row r="166" spans="1:50" ht="12.95" customHeight="1"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row>
    <row r="167" spans="1:50" ht="12.95" customHeight="1"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row>
    <row r="168" spans="1:50" ht="12.95" customHeight="1"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row>
    <row r="169" spans="1:50" ht="12.95" customHeight="1"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row>
    <row r="170" spans="1:50" ht="12.95" customHeight="1"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row>
    <row r="171" spans="1:50" ht="12.95" customHeight="1"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row>
    <row r="172" spans="1:50" ht="12.95" customHeight="1"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row>
    <row r="173" spans="1:50" ht="12.95" customHeight="1"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row>
    <row r="174" spans="1:50" ht="12.95" customHeight="1"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row>
    <row r="175" spans="1:50" ht="12.95" customHeight="1"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row>
    <row r="176" spans="1:50" ht="12.95" customHeight="1"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row>
    <row r="177" spans="1:50" ht="12.95" customHeight="1"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row>
    <row r="178" spans="1:50" ht="12.95" customHeight="1"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row>
    <row r="179" spans="1:50" ht="12.95" customHeight="1"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row>
    <row r="180" spans="1:50" ht="12.95" customHeight="1"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row>
    <row r="181" spans="1:50" ht="12.95" customHeight="1"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row>
    <row r="182" spans="1:50" ht="12.95" customHeight="1"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row>
    <row r="183" spans="1:50" ht="12.95" customHeight="1" x14ac:dyDescent="0.2">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row>
    <row r="184" spans="1:50" ht="12.95" customHeight="1" x14ac:dyDescent="0.2">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row>
    <row r="185" spans="1:50" ht="12.95" customHeight="1" x14ac:dyDescent="0.2">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row>
    <row r="186" spans="1:50" ht="12.95" customHeight="1" x14ac:dyDescent="0.2">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row>
    <row r="187" spans="1:50" ht="12.95" customHeight="1" x14ac:dyDescent="0.2">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row>
    <row r="188" spans="1:50" ht="12.95" customHeight="1" x14ac:dyDescent="0.2">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row>
    <row r="189" spans="1:50" ht="12.95" customHeight="1" x14ac:dyDescent="0.2">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row>
    <row r="190" spans="1:50" ht="12.95" customHeight="1" x14ac:dyDescent="0.2">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row>
    <row r="191" spans="1:50" ht="12.95" customHeight="1" x14ac:dyDescent="0.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row>
    <row r="192" spans="1:50" ht="12.95" customHeight="1" x14ac:dyDescent="0.2">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row>
    <row r="193" spans="1:50" ht="12.95" customHeight="1" x14ac:dyDescent="0.2">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row>
    <row r="194" spans="1:50" ht="12.95" customHeight="1" x14ac:dyDescent="0.2">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row>
    <row r="195" spans="1:50" ht="12.95" customHeight="1" x14ac:dyDescent="0.2">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row>
    <row r="196" spans="1:50" ht="12.95" customHeight="1" x14ac:dyDescent="0.2">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row>
    <row r="197" spans="1:50" ht="12.95" customHeight="1" x14ac:dyDescent="0.2">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row>
    <row r="198" spans="1:50" ht="12.95" customHeight="1" x14ac:dyDescent="0.2">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row>
    <row r="199" spans="1:50" ht="12.95" customHeight="1" x14ac:dyDescent="0.2">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row>
    <row r="200" spans="1:50" ht="12.95" customHeight="1" x14ac:dyDescent="0.2">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row>
    <row r="201" spans="1:50" ht="12.95" customHeight="1" x14ac:dyDescent="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row>
    <row r="202" spans="1:50" ht="12.95" customHeight="1" x14ac:dyDescent="0.2">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row>
    <row r="203" spans="1:50" ht="12.95" customHeight="1" x14ac:dyDescent="0.2">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row>
    <row r="204" spans="1:50" ht="12.95" customHeight="1" x14ac:dyDescent="0.2">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row>
    <row r="205" spans="1:50" ht="12.95" customHeight="1" x14ac:dyDescent="0.2">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row>
    <row r="206" spans="1:50" ht="12.95" customHeight="1" x14ac:dyDescent="0.2">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row>
    <row r="207" spans="1:50" ht="12.95" customHeight="1" x14ac:dyDescent="0.2">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row>
    <row r="208" spans="1:50" ht="12.95" customHeight="1" x14ac:dyDescent="0.2">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row>
    <row r="209" spans="1:50" ht="12.95" customHeight="1" x14ac:dyDescent="0.2">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row>
    <row r="210" spans="1:50" ht="12.95" customHeight="1" x14ac:dyDescent="0.2">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row>
    <row r="211" spans="1:50" ht="12.95" customHeight="1" x14ac:dyDescent="0.2">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row>
    <row r="212" spans="1:50" ht="12.95" customHeight="1" x14ac:dyDescent="0.2">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row>
    <row r="213" spans="1:50" ht="12.95" customHeight="1" x14ac:dyDescent="0.2">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row>
    <row r="214" spans="1:50" ht="12.95" customHeight="1" x14ac:dyDescent="0.2">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row>
    <row r="215" spans="1:50" ht="12.95" customHeight="1" x14ac:dyDescent="0.2">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row>
    <row r="216" spans="1:50" ht="12.95" customHeight="1" x14ac:dyDescent="0.2">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row>
    <row r="217" spans="1:50" ht="12.95" customHeight="1" x14ac:dyDescent="0.2">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row>
    <row r="218" spans="1:50" ht="12.95" customHeight="1" x14ac:dyDescent="0.2">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row>
    <row r="219" spans="1:50" ht="12.95" customHeight="1" x14ac:dyDescent="0.2">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row>
    <row r="220" spans="1:50" ht="12.95" customHeight="1" x14ac:dyDescent="0.2">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row>
    <row r="221" spans="1:50" ht="12.95" customHeight="1" x14ac:dyDescent="0.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row>
    <row r="222" spans="1:50" ht="12.95" customHeight="1" x14ac:dyDescent="0.2">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row>
    <row r="223" spans="1:50" ht="12.95" customHeight="1" x14ac:dyDescent="0.2">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row>
    <row r="224" spans="1:50" ht="12.95" customHeight="1" x14ac:dyDescent="0.2">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row>
    <row r="225" spans="1:50" ht="12.95" customHeight="1" x14ac:dyDescent="0.2">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row>
    <row r="226" spans="1:50" ht="12.95" customHeight="1" x14ac:dyDescent="0.2">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row>
    <row r="227" spans="1:50" ht="12.95" customHeight="1" x14ac:dyDescent="0.2">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row>
    <row r="228" spans="1:50" ht="12.95" customHeight="1" x14ac:dyDescent="0.2">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row>
    <row r="229" spans="1:50" ht="12.95" customHeight="1" x14ac:dyDescent="0.2">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row>
    <row r="230" spans="1:50" ht="12.95" customHeight="1" x14ac:dyDescent="0.2">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row>
    <row r="231" spans="1:50" ht="12.95" customHeight="1" x14ac:dyDescent="0.2">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row>
    <row r="232" spans="1:50" ht="12.95" customHeight="1" x14ac:dyDescent="0.2">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row>
    <row r="233" spans="1:50" ht="12.95" customHeight="1" x14ac:dyDescent="0.2">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row>
    <row r="234" spans="1:50" ht="12.95" customHeight="1" x14ac:dyDescent="0.2">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row>
    <row r="235" spans="1:50" ht="12.95" customHeight="1" x14ac:dyDescent="0.2">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row>
    <row r="236" spans="1:50" ht="12.95" customHeight="1" x14ac:dyDescent="0.2">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row>
    <row r="237" spans="1:50" ht="12.95" customHeight="1" x14ac:dyDescent="0.2">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row>
    <row r="238" spans="1:50" ht="12.95" customHeight="1" x14ac:dyDescent="0.2">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row>
    <row r="239" spans="1:50" ht="12.95" customHeight="1" x14ac:dyDescent="0.2">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row>
    <row r="240" spans="1:50" ht="12.95" customHeight="1" x14ac:dyDescent="0.2">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row>
    <row r="241" spans="1:50" ht="12.95" customHeight="1" x14ac:dyDescent="0.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row>
    <row r="242" spans="1:50" ht="12.95" customHeight="1" x14ac:dyDescent="0.2">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row>
    <row r="243" spans="1:50" ht="12.95" customHeight="1" x14ac:dyDescent="0.2">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row>
    <row r="244" spans="1:50" ht="12.95" customHeight="1" x14ac:dyDescent="0.2">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row>
    <row r="245" spans="1:50" ht="12.95" customHeight="1" x14ac:dyDescent="0.2">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row>
    <row r="246" spans="1:50" ht="12.95" customHeight="1" x14ac:dyDescent="0.2">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row>
    <row r="247" spans="1:50" ht="12.95" customHeight="1" x14ac:dyDescent="0.2">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row>
    <row r="248" spans="1:50" ht="12.95" customHeight="1" x14ac:dyDescent="0.2">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row>
    <row r="249" spans="1:50" ht="12.95" customHeight="1" x14ac:dyDescent="0.2">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row>
    <row r="250" spans="1:50" ht="12.95" customHeight="1" x14ac:dyDescent="0.2">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row>
    <row r="251" spans="1:50" ht="12.95" customHeight="1" x14ac:dyDescent="0.2">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row>
    <row r="252" spans="1:50" ht="12.95" customHeight="1" x14ac:dyDescent="0.2">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row>
    <row r="253" spans="1:50" ht="12.95" customHeight="1" x14ac:dyDescent="0.2">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row>
    <row r="254" spans="1:50" ht="12.95" customHeight="1" x14ac:dyDescent="0.2">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row>
    <row r="255" spans="1:50" ht="12.95" customHeight="1" x14ac:dyDescent="0.2">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row>
    <row r="256" spans="1:50" ht="12.95" customHeight="1" x14ac:dyDescent="0.2">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row>
    <row r="257" spans="1:50" ht="12.95" customHeight="1" x14ac:dyDescent="0.2">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row>
    <row r="258" spans="1:50" ht="12.95" customHeight="1" x14ac:dyDescent="0.2">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row>
    <row r="259" spans="1:50" ht="12.95" customHeight="1" x14ac:dyDescent="0.2">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row>
    <row r="260" spans="1:50" ht="12.95" customHeight="1" x14ac:dyDescent="0.2">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row>
    <row r="261" spans="1:50" ht="12.95" customHeight="1" x14ac:dyDescent="0.2">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row>
    <row r="262" spans="1:50" ht="12.95" customHeight="1" x14ac:dyDescent="0.2">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row>
    <row r="263" spans="1:50" ht="12.95" customHeight="1" x14ac:dyDescent="0.2">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row>
    <row r="264" spans="1:50" ht="12.95" customHeight="1" x14ac:dyDescent="0.2">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row>
    <row r="265" spans="1:50" ht="12.95" customHeight="1" x14ac:dyDescent="0.2">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row>
    <row r="266" spans="1:50" ht="12.95" customHeight="1" x14ac:dyDescent="0.2">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row>
    <row r="267" spans="1:50" ht="12.95" customHeight="1" x14ac:dyDescent="0.2">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row>
    <row r="268" spans="1:50" ht="12.95" customHeight="1" x14ac:dyDescent="0.2">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row>
    <row r="269" spans="1:50" ht="12.95" customHeight="1" x14ac:dyDescent="0.2">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row>
    <row r="270" spans="1:50" ht="12.95" customHeight="1" x14ac:dyDescent="0.2">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row>
    <row r="271" spans="1:50" ht="12.95" customHeight="1" x14ac:dyDescent="0.2">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row>
    <row r="272" spans="1:50" ht="12.95" customHeight="1" x14ac:dyDescent="0.2">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row>
    <row r="273" spans="1:50" ht="12.95" customHeight="1" x14ac:dyDescent="0.2">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row>
    <row r="274" spans="1:50" ht="12.95" customHeight="1" x14ac:dyDescent="0.2">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row>
    <row r="275" spans="1:50" ht="12.95" customHeight="1" x14ac:dyDescent="0.2">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row>
    <row r="276" spans="1:50" ht="12.95" customHeight="1" x14ac:dyDescent="0.2">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row>
    <row r="277" spans="1:50" ht="12.95" customHeight="1" x14ac:dyDescent="0.2">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row>
    <row r="278" spans="1:50" ht="12.95" customHeight="1" x14ac:dyDescent="0.2">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row>
    <row r="279" spans="1:50" ht="12.95" customHeight="1" x14ac:dyDescent="0.2">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row>
    <row r="280" spans="1:50" ht="12.95" customHeight="1" x14ac:dyDescent="0.2">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row>
    <row r="281" spans="1:50" ht="12.95" customHeight="1" x14ac:dyDescent="0.2">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row>
    <row r="282" spans="1:50" ht="12.95" customHeight="1" x14ac:dyDescent="0.2">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row>
    <row r="283" spans="1:50" ht="12.95" customHeight="1" x14ac:dyDescent="0.2">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row>
    <row r="284" spans="1:50" ht="12.95" customHeight="1" x14ac:dyDescent="0.2">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row>
    <row r="285" spans="1:50" ht="12.95" customHeight="1" x14ac:dyDescent="0.2">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row>
    <row r="286" spans="1:50" ht="12.95" customHeight="1" x14ac:dyDescent="0.2">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row>
    <row r="287" spans="1:50" ht="12.95" customHeight="1" x14ac:dyDescent="0.2">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row>
    <row r="288" spans="1:50" ht="12.95" customHeight="1" x14ac:dyDescent="0.2">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row>
    <row r="289" spans="1:50" ht="12.95" customHeight="1" x14ac:dyDescent="0.2">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row>
    <row r="290" spans="1:50" ht="12.95" customHeight="1" x14ac:dyDescent="0.2">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row>
    <row r="291" spans="1:50" ht="12.95" customHeight="1" x14ac:dyDescent="0.2">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row>
    <row r="292" spans="1:50" ht="12.95" customHeight="1" x14ac:dyDescent="0.2">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row>
    <row r="293" spans="1:50" ht="12.95" customHeight="1" x14ac:dyDescent="0.2">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row>
    <row r="294" spans="1:50" ht="12.95" customHeight="1" x14ac:dyDescent="0.2">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row>
    <row r="295" spans="1:50" ht="12.95" customHeight="1" x14ac:dyDescent="0.2">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row>
    <row r="296" spans="1:50" ht="12.95" customHeight="1" x14ac:dyDescent="0.2">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row>
    <row r="297" spans="1:50" ht="12.95" customHeight="1" x14ac:dyDescent="0.2">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row>
    <row r="298" spans="1:50" ht="12.95" customHeight="1" x14ac:dyDescent="0.2">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row>
    <row r="299" spans="1:50" ht="12.95" customHeight="1" x14ac:dyDescent="0.2">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row>
    <row r="300" spans="1:50" ht="12.95" customHeight="1" x14ac:dyDescent="0.2">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row>
    <row r="301" spans="1:50" ht="12.95" customHeight="1" x14ac:dyDescent="0.2">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row>
    <row r="302" spans="1:50" ht="12.95" customHeight="1" x14ac:dyDescent="0.2">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row>
    <row r="303" spans="1:50" ht="12.95" customHeight="1" x14ac:dyDescent="0.2">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row>
    <row r="304" spans="1:50" ht="12.95" customHeight="1" x14ac:dyDescent="0.2">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row>
    <row r="305" spans="1:50" ht="12.95" customHeight="1" x14ac:dyDescent="0.2">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row>
    <row r="306" spans="1:50" ht="12.95" customHeight="1" x14ac:dyDescent="0.2">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row>
    <row r="307" spans="1:50" ht="12.95" customHeight="1" x14ac:dyDescent="0.2">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row>
    <row r="308" spans="1:50" ht="12.95" customHeight="1" x14ac:dyDescent="0.2">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row>
    <row r="309" spans="1:50" ht="12.95" customHeight="1" x14ac:dyDescent="0.2">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row>
    <row r="310" spans="1:50" ht="12.95" customHeight="1" x14ac:dyDescent="0.2">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row>
    <row r="311" spans="1:50" ht="12.95" customHeight="1" x14ac:dyDescent="0.2">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row>
    <row r="312" spans="1:50" ht="12.95" customHeight="1" x14ac:dyDescent="0.2">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row>
    <row r="313" spans="1:50" ht="12.95" customHeight="1" x14ac:dyDescent="0.2">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row>
    <row r="314" spans="1:50" ht="12.95" customHeight="1" x14ac:dyDescent="0.2">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row>
    <row r="315" spans="1:50" ht="12.95" customHeight="1" x14ac:dyDescent="0.2">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row>
    <row r="316" spans="1:50" ht="12.95" customHeight="1" x14ac:dyDescent="0.2">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row>
    <row r="317" spans="1:50" ht="12.95" customHeight="1" x14ac:dyDescent="0.2">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row>
    <row r="318" spans="1:50" ht="12.95" customHeight="1" x14ac:dyDescent="0.2">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row>
    <row r="319" spans="1:50" ht="12.95" customHeight="1" x14ac:dyDescent="0.2">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row>
    <row r="320" spans="1:50" ht="12.95" customHeight="1" x14ac:dyDescent="0.2">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row>
    <row r="321" spans="1:50" ht="12.95" customHeight="1" x14ac:dyDescent="0.2">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row>
    <row r="322" spans="1:50" ht="12.95" customHeight="1" x14ac:dyDescent="0.2">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row>
    <row r="323" spans="1:50" ht="12.95" customHeight="1" x14ac:dyDescent="0.2">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row>
    <row r="324" spans="1:50" ht="12.95" customHeight="1" x14ac:dyDescent="0.2">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row>
    <row r="325" spans="1:50" ht="12.95" customHeight="1" x14ac:dyDescent="0.2">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row>
    <row r="326" spans="1:50" ht="12.95" customHeight="1" x14ac:dyDescent="0.2">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row>
    <row r="327" spans="1:50" ht="12.95" customHeight="1" x14ac:dyDescent="0.2">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row>
    <row r="328" spans="1:50" ht="12.95" customHeight="1" x14ac:dyDescent="0.2">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row>
    <row r="329" spans="1:50" ht="12.95" customHeight="1" x14ac:dyDescent="0.2">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row>
    <row r="330" spans="1:50" ht="12.95" customHeight="1" x14ac:dyDescent="0.2">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row>
    <row r="331" spans="1:50" ht="12.95" customHeight="1" x14ac:dyDescent="0.2">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row>
    <row r="332" spans="1:50" ht="12.95" customHeight="1" x14ac:dyDescent="0.2">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row>
    <row r="333" spans="1:50" ht="12.95" customHeight="1" x14ac:dyDescent="0.2">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row>
    <row r="334" spans="1:50" ht="12.95" customHeight="1" x14ac:dyDescent="0.2">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row>
    <row r="335" spans="1:50" ht="12.95" customHeight="1" x14ac:dyDescent="0.2">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row>
    <row r="336" spans="1:50" ht="12.95" customHeight="1" x14ac:dyDescent="0.2">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row>
    <row r="337" spans="1:50" ht="12.95" customHeight="1" x14ac:dyDescent="0.2">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row>
    <row r="338" spans="1:50" ht="12.95" customHeight="1" x14ac:dyDescent="0.2">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row>
    <row r="339" spans="1:50" ht="12.95" customHeight="1" x14ac:dyDescent="0.2">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row>
    <row r="340" spans="1:50" ht="12.95" customHeight="1" x14ac:dyDescent="0.2">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row>
    <row r="341" spans="1:50" ht="12.95" customHeight="1" x14ac:dyDescent="0.2">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row>
    <row r="342" spans="1:50" ht="12.95" customHeight="1" x14ac:dyDescent="0.2">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row>
    <row r="343" spans="1:50" ht="12.95" customHeight="1" x14ac:dyDescent="0.2">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row>
    <row r="344" spans="1:50" ht="12.95" customHeight="1" x14ac:dyDescent="0.2">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row>
    <row r="345" spans="1:50" ht="12.95" customHeight="1" x14ac:dyDescent="0.2">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row>
    <row r="346" spans="1:50" ht="12.95" customHeight="1" x14ac:dyDescent="0.2">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row>
    <row r="347" spans="1:50" ht="12.95" customHeight="1" x14ac:dyDescent="0.2">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row>
    <row r="348" spans="1:50" ht="12.95" customHeight="1" x14ac:dyDescent="0.2">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row>
    <row r="349" spans="1:50" ht="12.95" customHeight="1" x14ac:dyDescent="0.2">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row>
    <row r="350" spans="1:50" ht="12.95" customHeight="1" x14ac:dyDescent="0.2">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row>
    <row r="351" spans="1:50" ht="12.95" customHeight="1" x14ac:dyDescent="0.2">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row>
    <row r="352" spans="1:50" ht="12.95" customHeight="1" x14ac:dyDescent="0.2">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row>
    <row r="353" spans="1:50" ht="12.95" customHeight="1" x14ac:dyDescent="0.2">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row>
    <row r="354" spans="1:50" ht="12.95" customHeight="1" x14ac:dyDescent="0.2">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row>
    <row r="355" spans="1:50" ht="12.95" customHeight="1" x14ac:dyDescent="0.2">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row>
    <row r="356" spans="1:50" ht="12.95" customHeight="1" x14ac:dyDescent="0.2">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row>
    <row r="357" spans="1:50" ht="12.95" customHeight="1" x14ac:dyDescent="0.2">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row>
    <row r="358" spans="1:50" ht="12.95" customHeight="1" x14ac:dyDescent="0.2">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row>
    <row r="359" spans="1:50" ht="12.95" customHeight="1" x14ac:dyDescent="0.2">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row>
    <row r="360" spans="1:50" ht="12.95" customHeight="1" x14ac:dyDescent="0.2">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row>
    <row r="361" spans="1:50" ht="12.95" customHeight="1" x14ac:dyDescent="0.2">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row>
    <row r="362" spans="1:50" ht="12.95" customHeight="1" x14ac:dyDescent="0.2">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row>
    <row r="363" spans="1:50" ht="12.95" customHeight="1" x14ac:dyDescent="0.2">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row>
    <row r="364" spans="1:50" ht="12.95" customHeight="1" x14ac:dyDescent="0.2">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row>
    <row r="365" spans="1:50" ht="12.95" customHeight="1" x14ac:dyDescent="0.2">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row>
    <row r="366" spans="1:50" ht="12.95" customHeight="1" x14ac:dyDescent="0.2">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row>
    <row r="367" spans="1:50" ht="12.95" customHeight="1" x14ac:dyDescent="0.2">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row>
    <row r="368" spans="1:50" ht="12.95" customHeight="1" x14ac:dyDescent="0.2">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row>
    <row r="369" spans="1:50" ht="12.95" customHeight="1" x14ac:dyDescent="0.2">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row>
    <row r="370" spans="1:50" ht="12.95" customHeight="1" x14ac:dyDescent="0.2">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row>
    <row r="371" spans="1:50" ht="12.95" customHeight="1" x14ac:dyDescent="0.2">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row>
    <row r="372" spans="1:50" ht="12.95" customHeight="1" x14ac:dyDescent="0.2">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row>
    <row r="373" spans="1:50" ht="12.95" customHeight="1" x14ac:dyDescent="0.2">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row>
    <row r="374" spans="1:50" ht="12.95" customHeight="1" x14ac:dyDescent="0.2">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row>
    <row r="375" spans="1:50" ht="12.95" customHeight="1" x14ac:dyDescent="0.2">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row>
    <row r="376" spans="1:50" ht="12.95" customHeight="1" x14ac:dyDescent="0.2">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row>
    <row r="377" spans="1:50" ht="12.95" customHeight="1" x14ac:dyDescent="0.2">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row>
    <row r="378" spans="1:50" ht="12.95" customHeight="1" x14ac:dyDescent="0.2">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row>
    <row r="379" spans="1:50" ht="12.95" customHeight="1" x14ac:dyDescent="0.2">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row>
    <row r="380" spans="1:50" ht="12.95" customHeight="1" x14ac:dyDescent="0.2">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row>
    <row r="381" spans="1:50" ht="12.95" customHeight="1" x14ac:dyDescent="0.2">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row>
    <row r="382" spans="1:50" ht="12.95" customHeight="1" x14ac:dyDescent="0.2">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row>
    <row r="383" spans="1:50" ht="12.95" customHeight="1" x14ac:dyDescent="0.2">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row>
    <row r="384" spans="1:50" ht="12.95" customHeight="1" x14ac:dyDescent="0.2">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row>
    <row r="385" spans="1:50" ht="12.95" customHeight="1" x14ac:dyDescent="0.2">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row>
    <row r="386" spans="1:50" ht="12.95" customHeight="1" x14ac:dyDescent="0.2">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row>
    <row r="387" spans="1:50" ht="12.95" customHeight="1" x14ac:dyDescent="0.2">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row>
    <row r="388" spans="1:50" ht="12.95" customHeight="1" x14ac:dyDescent="0.2">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row>
    <row r="389" spans="1:50" ht="12.95" customHeight="1" x14ac:dyDescent="0.2">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row>
    <row r="390" spans="1:50" ht="12.95" customHeight="1" x14ac:dyDescent="0.2">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row>
    <row r="391" spans="1:50" ht="12.95" customHeight="1" x14ac:dyDescent="0.2">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row>
    <row r="392" spans="1:50" ht="12.95" customHeight="1" x14ac:dyDescent="0.2">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row>
    <row r="393" spans="1:50" ht="12.95" customHeight="1" x14ac:dyDescent="0.2">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row>
    <row r="394" spans="1:50" ht="12.95" customHeight="1" x14ac:dyDescent="0.2">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row>
    <row r="395" spans="1:50" ht="12.95" customHeight="1" x14ac:dyDescent="0.2">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row>
    <row r="396" spans="1:50" ht="12.95" customHeight="1" x14ac:dyDescent="0.2">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row>
    <row r="397" spans="1:50" ht="12.95" customHeight="1" x14ac:dyDescent="0.2">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row>
    <row r="398" spans="1:50" ht="12.95" customHeight="1" x14ac:dyDescent="0.2">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row>
    <row r="399" spans="1:50" ht="12.95" customHeight="1" x14ac:dyDescent="0.2">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row>
    <row r="400" spans="1:50" ht="12.95" customHeight="1" x14ac:dyDescent="0.2">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row>
    <row r="401" spans="1:50" ht="12.95" customHeight="1" x14ac:dyDescent="0.2">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row>
    <row r="402" spans="1:50" ht="12.95" customHeight="1" x14ac:dyDescent="0.2">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row>
    <row r="403" spans="1:50" ht="12.95" customHeight="1" x14ac:dyDescent="0.2">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row>
    <row r="404" spans="1:50" ht="12.95" customHeight="1" x14ac:dyDescent="0.2">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row>
    <row r="405" spans="1:50" ht="12.95" customHeight="1" x14ac:dyDescent="0.2">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row>
    <row r="406" spans="1:50" ht="12.95" customHeight="1" x14ac:dyDescent="0.2">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row>
    <row r="407" spans="1:50" ht="12.95" customHeight="1" x14ac:dyDescent="0.2">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row>
    <row r="408" spans="1:50" ht="12.95" customHeight="1" x14ac:dyDescent="0.2">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row>
    <row r="409" spans="1:50" ht="12.95" customHeight="1" x14ac:dyDescent="0.2">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row>
    <row r="410" spans="1:50" ht="12.95" customHeight="1" x14ac:dyDescent="0.2">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row>
    <row r="411" spans="1:50" ht="12.95" customHeight="1" x14ac:dyDescent="0.2">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row>
    <row r="412" spans="1:50" ht="12.95" customHeight="1" x14ac:dyDescent="0.2">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row>
    <row r="413" spans="1:50" ht="12.95" customHeight="1" x14ac:dyDescent="0.2">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row>
    <row r="414" spans="1:50" ht="12.95" customHeight="1" x14ac:dyDescent="0.2">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row>
    <row r="415" spans="1:50" ht="12.95" customHeight="1" x14ac:dyDescent="0.2">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row>
    <row r="416" spans="1:50" ht="12.95" customHeight="1" x14ac:dyDescent="0.2">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row>
    <row r="417" spans="1:50" ht="12.95" customHeight="1" x14ac:dyDescent="0.2">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row>
    <row r="418" spans="1:50" ht="12.95" customHeight="1" x14ac:dyDescent="0.2">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row>
    <row r="419" spans="1:50" ht="12.95" customHeight="1" x14ac:dyDescent="0.2">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row>
    <row r="420" spans="1:50" ht="12.95" customHeight="1" x14ac:dyDescent="0.2">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row>
    <row r="421" spans="1:50" ht="12.95" customHeight="1" x14ac:dyDescent="0.2">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row>
    <row r="422" spans="1:50" ht="12.95" customHeight="1" x14ac:dyDescent="0.2">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row>
    <row r="423" spans="1:50" ht="12.95" customHeight="1" x14ac:dyDescent="0.2">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row>
    <row r="424" spans="1:50" ht="12.95" customHeight="1" x14ac:dyDescent="0.2">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row>
    <row r="425" spans="1:50" ht="12.95" customHeight="1" x14ac:dyDescent="0.2">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row>
    <row r="426" spans="1:50" ht="12.95" customHeight="1" x14ac:dyDescent="0.2">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row>
    <row r="427" spans="1:50" ht="12.95" customHeight="1" x14ac:dyDescent="0.2">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row>
    <row r="428" spans="1:50" ht="12.95" customHeight="1" x14ac:dyDescent="0.2">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row>
    <row r="429" spans="1:50" ht="12.95" customHeight="1" x14ac:dyDescent="0.2">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row>
    <row r="430" spans="1:50" ht="12.95" customHeight="1" x14ac:dyDescent="0.2">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row>
    <row r="431" spans="1:50" ht="12.95" customHeight="1" x14ac:dyDescent="0.2">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row>
    <row r="432" spans="1:50" ht="12.95" customHeight="1" x14ac:dyDescent="0.2">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row>
    <row r="433" spans="1:50" ht="12.95" customHeight="1" x14ac:dyDescent="0.2">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row>
    <row r="434" spans="1:50" ht="12.95" customHeight="1" x14ac:dyDescent="0.2">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row>
    <row r="435" spans="1:50" ht="12.95" customHeight="1" x14ac:dyDescent="0.2">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row>
    <row r="436" spans="1:50" ht="12.95" customHeight="1" x14ac:dyDescent="0.2">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row>
    <row r="437" spans="1:50" ht="12.95" customHeight="1" x14ac:dyDescent="0.2">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row>
    <row r="438" spans="1:50" ht="12.95" customHeight="1" x14ac:dyDescent="0.2">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row>
    <row r="439" spans="1:50" ht="12.95" customHeight="1" x14ac:dyDescent="0.2">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row>
    <row r="440" spans="1:50" ht="12.95" customHeight="1" x14ac:dyDescent="0.2">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row>
    <row r="441" spans="1:50" ht="12.95" customHeight="1" x14ac:dyDescent="0.2">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row>
    <row r="442" spans="1:50" ht="12.95" customHeight="1" x14ac:dyDescent="0.2">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row>
    <row r="443" spans="1:50" ht="12.95" customHeight="1" x14ac:dyDescent="0.2">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row>
    <row r="444" spans="1:50" ht="12.95" customHeight="1" x14ac:dyDescent="0.2">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row>
    <row r="445" spans="1:50" ht="12.95" customHeight="1" x14ac:dyDescent="0.2">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row>
    <row r="446" spans="1:50" ht="12.95" customHeight="1" x14ac:dyDescent="0.2">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row>
    <row r="447" spans="1:50" ht="12.95" customHeight="1" x14ac:dyDescent="0.2">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row>
    <row r="448" spans="1:50" ht="12.95" customHeight="1" x14ac:dyDescent="0.2">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row>
    <row r="449" spans="1:50" ht="12.95" customHeight="1" x14ac:dyDescent="0.2">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row>
    <row r="450" spans="1:50" ht="12.95" customHeight="1" x14ac:dyDescent="0.2">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row>
    <row r="451" spans="1:50" ht="12.95" customHeight="1" x14ac:dyDescent="0.2">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row>
    <row r="452" spans="1:50" ht="12.95" customHeight="1" x14ac:dyDescent="0.2">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row>
    <row r="453" spans="1:50" ht="12.95" customHeight="1" x14ac:dyDescent="0.2">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row>
    <row r="454" spans="1:50" ht="12.95" customHeight="1" x14ac:dyDescent="0.2">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row>
    <row r="455" spans="1:50" ht="12.95" customHeight="1" x14ac:dyDescent="0.2">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row>
    <row r="456" spans="1:50" ht="12.95" customHeight="1" x14ac:dyDescent="0.2">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row>
    <row r="457" spans="1:50" ht="12.95" customHeight="1" x14ac:dyDescent="0.2">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row>
    <row r="458" spans="1:50" ht="12.95" customHeight="1" x14ac:dyDescent="0.2">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row>
    <row r="459" spans="1:50" ht="12.95" customHeight="1" x14ac:dyDescent="0.2">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row>
    <row r="460" spans="1:50" ht="12.95" customHeight="1" x14ac:dyDescent="0.2">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row>
    <row r="461" spans="1:50" ht="12.95" customHeight="1" x14ac:dyDescent="0.2">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row>
    <row r="462" spans="1:50" ht="12.95" customHeight="1" x14ac:dyDescent="0.2">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row>
    <row r="463" spans="1:50" ht="12.95" customHeight="1" x14ac:dyDescent="0.2">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row>
    <row r="464" spans="1:50" ht="12.95" customHeight="1" x14ac:dyDescent="0.2">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row>
    <row r="465" spans="1:50" ht="12.95" customHeight="1" x14ac:dyDescent="0.2">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row>
    <row r="466" spans="1:50" ht="12.95" customHeight="1" x14ac:dyDescent="0.2">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row>
    <row r="467" spans="1:50" ht="12.95" customHeight="1" x14ac:dyDescent="0.2">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row>
    <row r="468" spans="1:50" ht="12.95" customHeight="1" x14ac:dyDescent="0.2">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row>
    <row r="469" spans="1:50" ht="12.95" customHeight="1" x14ac:dyDescent="0.2">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row>
    <row r="470" spans="1:50" ht="12.95" customHeight="1" x14ac:dyDescent="0.2">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row>
    <row r="471" spans="1:50" ht="12.95" customHeight="1" x14ac:dyDescent="0.2">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row>
    <row r="472" spans="1:50" ht="12.95" customHeight="1" x14ac:dyDescent="0.2">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row>
    <row r="473" spans="1:50" ht="12.95" customHeight="1" x14ac:dyDescent="0.2">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row>
    <row r="474" spans="1:50" ht="12.95" customHeight="1" x14ac:dyDescent="0.2">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row>
    <row r="475" spans="1:50" ht="12.95" customHeight="1" x14ac:dyDescent="0.2">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row>
    <row r="476" spans="1:50" ht="12.95" customHeight="1" x14ac:dyDescent="0.2">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row>
    <row r="477" spans="1:50" ht="12.95" customHeight="1" x14ac:dyDescent="0.2">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row>
    <row r="478" spans="1:50" ht="12.95" customHeight="1" x14ac:dyDescent="0.2">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row>
    <row r="479" spans="1:50" ht="12.95" customHeight="1" x14ac:dyDescent="0.2">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row>
    <row r="480" spans="1:50" ht="12.95" customHeight="1" x14ac:dyDescent="0.2">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row>
    <row r="481" spans="1:50" ht="12.95" customHeight="1" x14ac:dyDescent="0.2">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row>
    <row r="482" spans="1:50" ht="12.95" customHeight="1" x14ac:dyDescent="0.2">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row>
    <row r="483" spans="1:50" ht="12.95" customHeight="1" x14ac:dyDescent="0.2">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row>
    <row r="484" spans="1:50" ht="12.95" customHeight="1" x14ac:dyDescent="0.2">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row>
    <row r="485" spans="1:50" ht="12.95" customHeight="1" x14ac:dyDescent="0.2">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row>
    <row r="486" spans="1:50" ht="12.95" customHeight="1" x14ac:dyDescent="0.2">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row>
    <row r="487" spans="1:50" ht="12.95" customHeight="1" x14ac:dyDescent="0.2">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row>
    <row r="488" spans="1:50" ht="12.95" customHeight="1" x14ac:dyDescent="0.2">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row>
    <row r="489" spans="1:50" ht="12.95" customHeight="1" x14ac:dyDescent="0.2">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row>
    <row r="490" spans="1:50" ht="12.95" customHeight="1" x14ac:dyDescent="0.2">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row>
    <row r="491" spans="1:50" ht="12.95" customHeight="1" x14ac:dyDescent="0.2">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row>
    <row r="492" spans="1:50" ht="12.95" customHeight="1" x14ac:dyDescent="0.2">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row>
    <row r="493" spans="1:50" ht="12.95" customHeight="1" x14ac:dyDescent="0.2">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row>
    <row r="494" spans="1:50" ht="12.95" customHeight="1" x14ac:dyDescent="0.2">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row>
    <row r="495" spans="1:50" ht="12.95" customHeight="1" x14ac:dyDescent="0.2">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row>
    <row r="496" spans="1:50" ht="12.95" customHeight="1" x14ac:dyDescent="0.2">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row>
    <row r="497" spans="1:50" ht="12.95" customHeight="1" x14ac:dyDescent="0.2">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row>
    <row r="498" spans="1:50" ht="12.95" customHeight="1" x14ac:dyDescent="0.2">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row>
    <row r="499" spans="1:50" ht="12.95" customHeight="1" x14ac:dyDescent="0.2">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row>
    <row r="500" spans="1:50" ht="12.95" customHeight="1" x14ac:dyDescent="0.2">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row>
    <row r="501" spans="1:50" ht="12.95" customHeight="1" x14ac:dyDescent="0.2">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row>
    <row r="502" spans="1:50" ht="12.95" customHeight="1" x14ac:dyDescent="0.2">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row>
    <row r="503" spans="1:50" ht="12.95" customHeight="1" x14ac:dyDescent="0.2">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row>
    <row r="504" spans="1:50" ht="12.95" customHeight="1" x14ac:dyDescent="0.2">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row>
    <row r="505" spans="1:50" ht="12.95" customHeight="1" x14ac:dyDescent="0.2">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row>
    <row r="506" spans="1:50" ht="12.95" customHeight="1" x14ac:dyDescent="0.2">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row>
    <row r="507" spans="1:50" ht="12.95" customHeight="1" x14ac:dyDescent="0.2">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row>
    <row r="508" spans="1:50" ht="12.95" customHeight="1" x14ac:dyDescent="0.2">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row>
    <row r="509" spans="1:50" ht="12.95" customHeight="1" x14ac:dyDescent="0.2">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row>
    <row r="510" spans="1:50" ht="12.95" customHeight="1" x14ac:dyDescent="0.2">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row>
    <row r="511" spans="1:50" ht="12.95" customHeight="1" x14ac:dyDescent="0.2">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row>
    <row r="512" spans="1:50" ht="12.95" customHeight="1" x14ac:dyDescent="0.2">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row>
    <row r="513" spans="1:50" ht="12.95" customHeight="1" x14ac:dyDescent="0.2">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row>
    <row r="514" spans="1:50" ht="12.95" customHeight="1" x14ac:dyDescent="0.2">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row>
    <row r="515" spans="1:50" ht="12.95" customHeight="1" x14ac:dyDescent="0.2">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row>
    <row r="516" spans="1:50" ht="12.95" customHeight="1" x14ac:dyDescent="0.2">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row>
    <row r="517" spans="1:50" ht="12.95" customHeight="1" x14ac:dyDescent="0.2">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row>
    <row r="518" spans="1:50" ht="12.95" customHeight="1" x14ac:dyDescent="0.2">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row>
    <row r="519" spans="1:50" ht="12.95" customHeight="1" x14ac:dyDescent="0.2">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row>
    <row r="520" spans="1:50" ht="12.95" customHeight="1" x14ac:dyDescent="0.2">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row>
    <row r="521" spans="1:50" ht="12.95" customHeight="1" x14ac:dyDescent="0.2">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row>
    <row r="522" spans="1:50" ht="12.95" customHeight="1" x14ac:dyDescent="0.2">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row>
    <row r="523" spans="1:50" ht="12.95" customHeight="1" x14ac:dyDescent="0.2">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row>
    <row r="524" spans="1:50" ht="12.95" customHeight="1" x14ac:dyDescent="0.2">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row>
    <row r="525" spans="1:50" ht="12.95" customHeight="1" x14ac:dyDescent="0.2">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row>
    <row r="526" spans="1:50" ht="12.95" customHeight="1" x14ac:dyDescent="0.2">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row>
    <row r="527" spans="1:50" ht="12.95" customHeight="1" x14ac:dyDescent="0.2">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row>
    <row r="528" spans="1:50" ht="12.95" customHeight="1" x14ac:dyDescent="0.2">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row>
    <row r="529" spans="1:50" ht="12.95" customHeight="1" x14ac:dyDescent="0.2">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row>
    <row r="530" spans="1:50" ht="12.95" customHeight="1" x14ac:dyDescent="0.2">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row>
    <row r="531" spans="1:50" ht="12.95" customHeight="1" x14ac:dyDescent="0.2">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row>
    <row r="532" spans="1:50" ht="12.95" customHeight="1" x14ac:dyDescent="0.2">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row>
    <row r="533" spans="1:50" ht="12.95" customHeight="1" x14ac:dyDescent="0.2">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row>
    <row r="534" spans="1:50" ht="12.95" customHeight="1" x14ac:dyDescent="0.2">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row>
    <row r="535" spans="1:50" ht="12.95" customHeight="1" x14ac:dyDescent="0.2">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row>
    <row r="536" spans="1:50" ht="12.95" customHeight="1" x14ac:dyDescent="0.2">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row>
    <row r="537" spans="1:50" ht="12.95" customHeight="1" x14ac:dyDescent="0.2">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row>
    <row r="538" spans="1:50" ht="12.95" customHeight="1" x14ac:dyDescent="0.2">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row>
    <row r="539" spans="1:50" ht="12.95" customHeight="1" x14ac:dyDescent="0.2">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row>
    <row r="540" spans="1:50" ht="12.95" customHeight="1" x14ac:dyDescent="0.2">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row>
    <row r="541" spans="1:50" ht="12.95" customHeight="1" x14ac:dyDescent="0.2">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row>
    <row r="542" spans="1:50" ht="12.95" customHeight="1" x14ac:dyDescent="0.2">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row>
    <row r="543" spans="1:50" ht="12.95" customHeight="1" x14ac:dyDescent="0.2">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row>
    <row r="544" spans="1:50" ht="12.95" customHeight="1" x14ac:dyDescent="0.2">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row>
    <row r="545" spans="1:50" ht="12.95" customHeight="1" x14ac:dyDescent="0.2">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row>
    <row r="546" spans="1:50" ht="12.95" customHeight="1" x14ac:dyDescent="0.2">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row>
    <row r="547" spans="1:50" ht="12.95" customHeight="1" x14ac:dyDescent="0.2">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row>
    <row r="548" spans="1:50" ht="12.95" customHeight="1" x14ac:dyDescent="0.2">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row>
    <row r="549" spans="1:50" ht="12.95" customHeight="1" x14ac:dyDescent="0.2">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row>
    <row r="550" spans="1:50" ht="12.95" customHeight="1" x14ac:dyDescent="0.2">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row>
    <row r="551" spans="1:50" ht="12.95" customHeight="1" x14ac:dyDescent="0.2">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row>
    <row r="552" spans="1:50" ht="12.95" customHeight="1" x14ac:dyDescent="0.2">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row>
    <row r="553" spans="1:50" ht="12.95" customHeight="1" x14ac:dyDescent="0.2">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row>
    <row r="554" spans="1:50" ht="12.95" customHeight="1" x14ac:dyDescent="0.2">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row>
    <row r="555" spans="1:50" ht="12.95" customHeight="1" x14ac:dyDescent="0.2">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row>
    <row r="556" spans="1:50" ht="12.95" customHeight="1" x14ac:dyDescent="0.2">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row>
    <row r="557" spans="1:50" ht="12.95" customHeight="1" x14ac:dyDescent="0.2">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row>
    <row r="558" spans="1:50" ht="12.95" customHeight="1" x14ac:dyDescent="0.2">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row>
    <row r="559" spans="1:50" ht="12.95" customHeight="1" x14ac:dyDescent="0.2">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row>
    <row r="560" spans="1:50" ht="12.95" customHeight="1" x14ac:dyDescent="0.2">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row>
    <row r="561" spans="1:50" ht="12.95" customHeight="1" x14ac:dyDescent="0.2">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row>
    <row r="562" spans="1:50" ht="12.95" customHeight="1" x14ac:dyDescent="0.2">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row>
    <row r="563" spans="1:50" ht="12.95" customHeight="1" x14ac:dyDescent="0.2">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row>
    <row r="564" spans="1:50" ht="12.95" customHeight="1" x14ac:dyDescent="0.2">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row>
    <row r="565" spans="1:50" ht="12.95" customHeight="1" x14ac:dyDescent="0.2">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row>
    <row r="566" spans="1:50" ht="12.95" customHeight="1" x14ac:dyDescent="0.2">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row>
    <row r="567" spans="1:50" ht="12.95" customHeight="1" x14ac:dyDescent="0.2">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row>
    <row r="568" spans="1:50" ht="12.95" customHeight="1" x14ac:dyDescent="0.2">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row>
    <row r="569" spans="1:50" ht="12.95" customHeight="1" x14ac:dyDescent="0.2">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row>
    <row r="570" spans="1:50" ht="12.95" customHeight="1" x14ac:dyDescent="0.2">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row>
    <row r="571" spans="1:50" ht="12.95" customHeight="1" x14ac:dyDescent="0.2">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row>
    <row r="572" spans="1:50" ht="12.95" customHeight="1" x14ac:dyDescent="0.2">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row>
    <row r="573" spans="1:50" ht="12.95" customHeight="1" x14ac:dyDescent="0.2">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row>
    <row r="574" spans="1:50" ht="12.95" customHeight="1" x14ac:dyDescent="0.2">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row>
    <row r="575" spans="1:50" ht="12.95" customHeight="1" x14ac:dyDescent="0.2">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row>
    <row r="576" spans="1:50" ht="12.95" customHeight="1" x14ac:dyDescent="0.2">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row>
    <row r="577" spans="1:50" ht="12.95" customHeight="1" x14ac:dyDescent="0.2">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row>
    <row r="578" spans="1:50" ht="12.95" customHeight="1" x14ac:dyDescent="0.2">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row>
    <row r="579" spans="1:50" ht="12.95" customHeight="1" x14ac:dyDescent="0.2">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row>
    <row r="580" spans="1:50" ht="12.95" customHeight="1" x14ac:dyDescent="0.2">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row>
    <row r="581" spans="1:50" ht="12.95" customHeight="1" x14ac:dyDescent="0.2">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row>
    <row r="582" spans="1:50" ht="12.95" customHeight="1" x14ac:dyDescent="0.2">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row>
    <row r="583" spans="1:50" ht="12.95" customHeight="1" x14ac:dyDescent="0.2">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row>
    <row r="584" spans="1:50" ht="12.95" customHeight="1" x14ac:dyDescent="0.2">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row>
    <row r="585" spans="1:50" ht="12.95" customHeight="1" x14ac:dyDescent="0.2">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row>
    <row r="586" spans="1:50" ht="12.95" customHeight="1" x14ac:dyDescent="0.2">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row>
    <row r="587" spans="1:50" ht="12.95" customHeight="1" x14ac:dyDescent="0.2">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row>
    <row r="588" spans="1:50" ht="12.95" customHeight="1" x14ac:dyDescent="0.2">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row>
    <row r="589" spans="1:50" ht="12.95" customHeight="1" x14ac:dyDescent="0.2">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row>
    <row r="590" spans="1:50" ht="12.95" customHeight="1" x14ac:dyDescent="0.2">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row>
    <row r="591" spans="1:50" ht="12.95" customHeight="1" x14ac:dyDescent="0.2">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row>
    <row r="592" spans="1:50" ht="12.95" customHeight="1" x14ac:dyDescent="0.2">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row>
    <row r="593" spans="1:50" ht="12.95" customHeight="1" x14ac:dyDescent="0.2">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row>
    <row r="594" spans="1:50" ht="12.95" customHeight="1" x14ac:dyDescent="0.2">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row>
    <row r="595" spans="1:50" ht="12.95" customHeight="1" x14ac:dyDescent="0.2">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row>
    <row r="596" spans="1:50" ht="12.95" customHeight="1" x14ac:dyDescent="0.2">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row>
    <row r="597" spans="1:50" ht="12.95" customHeight="1" x14ac:dyDescent="0.2">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row>
    <row r="598" spans="1:50" ht="12.95" customHeight="1" x14ac:dyDescent="0.2">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row>
    <row r="599" spans="1:50" ht="12.95" customHeight="1" x14ac:dyDescent="0.2">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row>
    <row r="600" spans="1:50" ht="12.95" customHeight="1" x14ac:dyDescent="0.2">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row>
    <row r="601" spans="1:50" ht="12.95" customHeight="1" x14ac:dyDescent="0.2">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row>
    <row r="602" spans="1:50" ht="12.95" customHeight="1" x14ac:dyDescent="0.2">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row>
    <row r="603" spans="1:50" ht="12.95" customHeight="1" x14ac:dyDescent="0.2">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row>
    <row r="604" spans="1:50" ht="12.95" customHeight="1" x14ac:dyDescent="0.2">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row>
    <row r="605" spans="1:50" ht="12.95" customHeight="1" x14ac:dyDescent="0.2">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row>
    <row r="606" spans="1:50" ht="12.95" customHeight="1" x14ac:dyDescent="0.2">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row>
    <row r="607" spans="1:50" ht="12.95" customHeight="1" x14ac:dyDescent="0.2">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row>
    <row r="608" spans="1:50" ht="12.95" customHeight="1" x14ac:dyDescent="0.2">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row>
    <row r="609" spans="1:50" ht="12.95" customHeight="1" x14ac:dyDescent="0.2">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row>
    <row r="610" spans="1:50" ht="12.95" customHeight="1" x14ac:dyDescent="0.2">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row>
    <row r="611" spans="1:50" ht="12.95" customHeight="1" x14ac:dyDescent="0.2">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row>
    <row r="612" spans="1:50" ht="12.95" customHeight="1" x14ac:dyDescent="0.2">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row>
    <row r="613" spans="1:50" ht="12.95" customHeight="1" x14ac:dyDescent="0.2">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row>
    <row r="614" spans="1:50" ht="12.95" customHeight="1" x14ac:dyDescent="0.2">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row>
    <row r="615" spans="1:50" ht="12.95" customHeight="1" x14ac:dyDescent="0.2">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row>
    <row r="616" spans="1:50" ht="12.95" customHeight="1" x14ac:dyDescent="0.2">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row>
    <row r="617" spans="1:50" ht="12.95" customHeight="1" x14ac:dyDescent="0.2">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row>
    <row r="618" spans="1:50" ht="12.95" customHeight="1" x14ac:dyDescent="0.2">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row>
    <row r="619" spans="1:50" ht="12.95" customHeight="1" x14ac:dyDescent="0.2">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row>
    <row r="620" spans="1:50" ht="12.95" customHeight="1" x14ac:dyDescent="0.2">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row>
    <row r="621" spans="1:50" ht="12.95" customHeight="1" x14ac:dyDescent="0.2">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row>
    <row r="622" spans="1:50" ht="12.95" customHeight="1" x14ac:dyDescent="0.2">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row>
    <row r="623" spans="1:50" ht="12.95" customHeight="1" x14ac:dyDescent="0.2">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row>
    <row r="624" spans="1:50" ht="12.95" customHeight="1" x14ac:dyDescent="0.2">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row>
    <row r="625" spans="1:50" ht="12.95" customHeight="1" x14ac:dyDescent="0.2">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row>
    <row r="626" spans="1:50" ht="12.95" customHeight="1" x14ac:dyDescent="0.2">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row>
    <row r="627" spans="1:50" ht="12.95" customHeight="1" x14ac:dyDescent="0.2">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row>
    <row r="628" spans="1:50" ht="12.95" customHeight="1" x14ac:dyDescent="0.2">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row>
    <row r="629" spans="1:50" ht="12.95" customHeight="1" x14ac:dyDescent="0.2">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row>
    <row r="630" spans="1:50" ht="12.95" customHeight="1" x14ac:dyDescent="0.2">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row>
    <row r="631" spans="1:50" ht="12.95" customHeight="1" x14ac:dyDescent="0.2">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row>
    <row r="632" spans="1:50" ht="12.95" customHeight="1" x14ac:dyDescent="0.2">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row>
    <row r="633" spans="1:50" ht="12.95" customHeight="1" x14ac:dyDescent="0.2">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row>
    <row r="634" spans="1:50" ht="12.95" customHeight="1" x14ac:dyDescent="0.2">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row>
    <row r="635" spans="1:50" ht="12.95" customHeight="1" x14ac:dyDescent="0.2">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row>
    <row r="636" spans="1:50" ht="12.95" customHeight="1" x14ac:dyDescent="0.2">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row>
    <row r="637" spans="1:50" ht="12.95" customHeight="1" x14ac:dyDescent="0.2">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row>
    <row r="638" spans="1:50" ht="12.95" customHeight="1" x14ac:dyDescent="0.2">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row>
    <row r="639" spans="1:50" ht="12.95" customHeight="1" x14ac:dyDescent="0.2">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row>
    <row r="640" spans="1:50" ht="12.95" customHeight="1" x14ac:dyDescent="0.2">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row>
    <row r="641" spans="1:50" ht="12.95" customHeight="1" x14ac:dyDescent="0.2">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row>
    <row r="642" spans="1:50" ht="12.95" customHeight="1" x14ac:dyDescent="0.2">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row>
    <row r="643" spans="1:50" ht="12.95" customHeight="1" x14ac:dyDescent="0.2">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row>
    <row r="644" spans="1:50" ht="12.95" customHeight="1" x14ac:dyDescent="0.2">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row>
    <row r="645" spans="1:50" ht="12.95" customHeight="1" x14ac:dyDescent="0.2">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row>
    <row r="646" spans="1:50" ht="12.95" customHeight="1" x14ac:dyDescent="0.2">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row>
    <row r="647" spans="1:50" ht="12.95" customHeight="1" x14ac:dyDescent="0.2">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row>
    <row r="648" spans="1:50" ht="12.95" customHeight="1" x14ac:dyDescent="0.2">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row>
    <row r="649" spans="1:50" ht="12.95" customHeight="1" x14ac:dyDescent="0.2">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row>
    <row r="650" spans="1:50" ht="12.95" customHeight="1" x14ac:dyDescent="0.2">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row>
    <row r="651" spans="1:50" ht="12.95" customHeight="1" x14ac:dyDescent="0.2">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row>
    <row r="652" spans="1:50" ht="12.95" customHeight="1" x14ac:dyDescent="0.2">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row>
    <row r="653" spans="1:50" ht="12.95" customHeight="1" x14ac:dyDescent="0.2">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row>
    <row r="654" spans="1:50" ht="12.95" customHeight="1" x14ac:dyDescent="0.2">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row>
    <row r="655" spans="1:50" ht="12.95" customHeight="1" x14ac:dyDescent="0.2">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row>
    <row r="656" spans="1:50" ht="12.95" customHeight="1" x14ac:dyDescent="0.2">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row>
    <row r="657" spans="1:50" ht="12.95" customHeight="1" x14ac:dyDescent="0.2">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row>
    <row r="658" spans="1:50" ht="12.95" customHeight="1" x14ac:dyDescent="0.2">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row>
    <row r="659" spans="1:50" ht="12.95" customHeight="1" x14ac:dyDescent="0.2">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row>
    <row r="660" spans="1:50" ht="12.95" customHeight="1" x14ac:dyDescent="0.2">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row>
    <row r="661" spans="1:50" ht="12.95" customHeight="1" x14ac:dyDescent="0.2">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row>
    <row r="662" spans="1:50" ht="12.95" customHeight="1" x14ac:dyDescent="0.2">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row>
    <row r="663" spans="1:50" ht="12.95" customHeight="1" x14ac:dyDescent="0.2">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row>
    <row r="664" spans="1:50" ht="12.95" customHeight="1" x14ac:dyDescent="0.2">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row>
    <row r="665" spans="1:50" ht="12.95" customHeight="1" x14ac:dyDescent="0.2">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row>
    <row r="666" spans="1:50" ht="12.95" customHeight="1" x14ac:dyDescent="0.2">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row>
    <row r="667" spans="1:50" ht="12.95" customHeight="1" x14ac:dyDescent="0.2">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row>
    <row r="668" spans="1:50" ht="12.95" customHeight="1" x14ac:dyDescent="0.2">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row>
    <row r="669" spans="1:50" ht="12.95" customHeight="1" x14ac:dyDescent="0.2">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row>
    <row r="670" spans="1:50" ht="12.95" customHeight="1" x14ac:dyDescent="0.2">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row>
    <row r="671" spans="1:50" ht="12.95" customHeight="1" x14ac:dyDescent="0.2">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row>
    <row r="672" spans="1:50" ht="12.95" customHeight="1" x14ac:dyDescent="0.2">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row>
    <row r="673" spans="1:50" ht="12.95" customHeight="1" x14ac:dyDescent="0.2">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row>
    <row r="674" spans="1:50" ht="12.95" customHeight="1" x14ac:dyDescent="0.2">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row>
    <row r="675" spans="1:50" ht="12.95" customHeight="1" x14ac:dyDescent="0.2">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row>
    <row r="676" spans="1:50" ht="12.95" customHeight="1" x14ac:dyDescent="0.2">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row>
    <row r="677" spans="1:50" ht="12.95" customHeight="1" x14ac:dyDescent="0.2">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row>
    <row r="678" spans="1:50" ht="12.95" customHeight="1" x14ac:dyDescent="0.2">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row>
    <row r="679" spans="1:50" ht="12.95" customHeight="1" x14ac:dyDescent="0.2">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row>
    <row r="680" spans="1:50" ht="12.95" customHeight="1" x14ac:dyDescent="0.2">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row>
    <row r="681" spans="1:50" ht="12.95" customHeight="1" x14ac:dyDescent="0.2">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row>
    <row r="682" spans="1:50" ht="12.95" customHeight="1" x14ac:dyDescent="0.2">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row>
    <row r="683" spans="1:50" ht="12.95" customHeight="1" x14ac:dyDescent="0.2">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row>
    <row r="684" spans="1:50" ht="12.95" customHeight="1" x14ac:dyDescent="0.2">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row>
    <row r="685" spans="1:50" ht="12.95" customHeight="1" x14ac:dyDescent="0.2">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row>
    <row r="686" spans="1:50" ht="12.95" customHeight="1" x14ac:dyDescent="0.2">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row>
    <row r="687" spans="1:50" ht="12.95" customHeight="1" x14ac:dyDescent="0.2">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row>
    <row r="688" spans="1:50" ht="12.95" customHeight="1" x14ac:dyDescent="0.2">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row>
    <row r="689" spans="1:50" ht="12.95" customHeight="1" x14ac:dyDescent="0.2">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row>
    <row r="690" spans="1:50" ht="12.95" customHeight="1" x14ac:dyDescent="0.2">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row>
    <row r="691" spans="1:50" ht="12.95" customHeight="1" x14ac:dyDescent="0.2">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row>
    <row r="692" spans="1:50" ht="12.95" customHeight="1" x14ac:dyDescent="0.2">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row>
    <row r="693" spans="1:50" ht="12.95" customHeight="1" x14ac:dyDescent="0.2">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row>
    <row r="694" spans="1:50" ht="12.95" customHeight="1" x14ac:dyDescent="0.2">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row>
    <row r="695" spans="1:50" ht="12.95" customHeight="1" x14ac:dyDescent="0.2">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row>
    <row r="696" spans="1:50" ht="12.95" customHeight="1" x14ac:dyDescent="0.2">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row>
    <row r="697" spans="1:50" ht="12.95" customHeight="1" x14ac:dyDescent="0.2">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row>
    <row r="698" spans="1:50" ht="12.95" customHeight="1" x14ac:dyDescent="0.2">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row>
    <row r="699" spans="1:50" ht="12.95" customHeight="1" x14ac:dyDescent="0.2">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row>
    <row r="700" spans="1:50" ht="12.95" customHeight="1" x14ac:dyDescent="0.2">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row>
    <row r="701" spans="1:50" ht="12.95" customHeight="1" x14ac:dyDescent="0.2">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row>
    <row r="702" spans="1:50" ht="12.95" customHeight="1" x14ac:dyDescent="0.2">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row>
    <row r="703" spans="1:50" ht="12.95" customHeight="1" x14ac:dyDescent="0.2">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row>
    <row r="704" spans="1:50" ht="12.95" customHeight="1" x14ac:dyDescent="0.2">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row>
    <row r="705" spans="1:50" ht="12.95" customHeight="1" x14ac:dyDescent="0.2">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row>
    <row r="706" spans="1:50" ht="12.95" customHeight="1" x14ac:dyDescent="0.2">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row>
    <row r="707" spans="1:50" ht="12.95" customHeight="1" x14ac:dyDescent="0.2">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row>
    <row r="708" spans="1:50" ht="12.95" customHeight="1" x14ac:dyDescent="0.2">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row>
    <row r="709" spans="1:50" ht="12.95" customHeight="1" x14ac:dyDescent="0.2">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row>
    <row r="710" spans="1:50" ht="12.95" customHeight="1" x14ac:dyDescent="0.2">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row>
    <row r="711" spans="1:50" ht="12.95" customHeight="1" x14ac:dyDescent="0.2">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row>
    <row r="712" spans="1:50" ht="12.95" customHeight="1" x14ac:dyDescent="0.2">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row>
    <row r="713" spans="1:50" ht="12.95" customHeight="1" x14ac:dyDescent="0.2">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row>
    <row r="714" spans="1:50" ht="12.95" customHeight="1" x14ac:dyDescent="0.2">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row>
    <row r="715" spans="1:50" ht="12.95" customHeight="1" x14ac:dyDescent="0.2">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row>
    <row r="716" spans="1:50" ht="12.95" customHeight="1" x14ac:dyDescent="0.2">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row>
    <row r="717" spans="1:50" ht="12.95" customHeight="1" x14ac:dyDescent="0.2">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row>
    <row r="718" spans="1:50" ht="12.95" customHeight="1" x14ac:dyDescent="0.2">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row>
    <row r="719" spans="1:50" ht="12.95" customHeight="1" x14ac:dyDescent="0.2">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row>
    <row r="720" spans="1:50" ht="12.95" customHeight="1" x14ac:dyDescent="0.2">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row>
    <row r="721" spans="1:50" ht="12.95" customHeight="1" x14ac:dyDescent="0.2">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row>
    <row r="722" spans="1:50" ht="12.95" customHeight="1" x14ac:dyDescent="0.2">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row>
    <row r="723" spans="1:50" ht="12.95" customHeight="1" x14ac:dyDescent="0.2">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row>
    <row r="724" spans="1:50" ht="12.95" customHeight="1" x14ac:dyDescent="0.2">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row>
    <row r="725" spans="1:50" ht="12.95" customHeight="1" x14ac:dyDescent="0.2">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row>
    <row r="726" spans="1:50" ht="12.95" customHeight="1" x14ac:dyDescent="0.2">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row>
    <row r="727" spans="1:50" ht="12.95" customHeight="1" x14ac:dyDescent="0.2">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row>
    <row r="728" spans="1:50" ht="12.95" customHeight="1" x14ac:dyDescent="0.2">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row>
    <row r="729" spans="1:50" ht="12.95" customHeight="1" x14ac:dyDescent="0.2">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row>
    <row r="730" spans="1:50" ht="12.95" customHeight="1" x14ac:dyDescent="0.2">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row>
    <row r="731" spans="1:50" ht="12.95" customHeight="1" x14ac:dyDescent="0.2">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row>
    <row r="732" spans="1:50" ht="12.95" customHeight="1" x14ac:dyDescent="0.2">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row>
    <row r="733" spans="1:50" ht="12.95" customHeight="1" x14ac:dyDescent="0.2">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row>
    <row r="734" spans="1:50" ht="12.95" customHeight="1" x14ac:dyDescent="0.2">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row>
    <row r="735" spans="1:50" ht="12.95" customHeight="1" x14ac:dyDescent="0.2">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row>
    <row r="736" spans="1:50" ht="12.95" customHeight="1" x14ac:dyDescent="0.2">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row>
    <row r="737" spans="1:50" ht="12.95" customHeight="1" x14ac:dyDescent="0.2">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row>
    <row r="738" spans="1:50" ht="12.95" customHeight="1" x14ac:dyDescent="0.2">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row>
    <row r="739" spans="1:50" ht="12.95" customHeight="1" x14ac:dyDescent="0.2">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row>
    <row r="740" spans="1:50" ht="12.95" customHeight="1" x14ac:dyDescent="0.2">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row>
    <row r="741" spans="1:50" ht="12.95" customHeight="1" x14ac:dyDescent="0.2">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row>
    <row r="742" spans="1:50" ht="12.95" customHeight="1" x14ac:dyDescent="0.2">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row>
    <row r="743" spans="1:50" ht="12.95" customHeight="1" x14ac:dyDescent="0.2">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row>
    <row r="744" spans="1:50" ht="12.95" customHeight="1" x14ac:dyDescent="0.2">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row>
    <row r="745" spans="1:50" ht="12.95" customHeight="1" x14ac:dyDescent="0.2">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row>
    <row r="746" spans="1:50" ht="12.95" customHeight="1" x14ac:dyDescent="0.2">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row>
    <row r="747" spans="1:50" ht="12.95" customHeight="1" x14ac:dyDescent="0.2">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row>
    <row r="748" spans="1:50" ht="12.95" customHeight="1" x14ac:dyDescent="0.2">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row>
    <row r="749" spans="1:50" ht="12.95" customHeight="1" x14ac:dyDescent="0.2">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row>
    <row r="750" spans="1:50" ht="12.95" customHeight="1" x14ac:dyDescent="0.2">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row>
    <row r="751" spans="1:50" ht="12.95" customHeight="1" x14ac:dyDescent="0.2">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row>
    <row r="752" spans="1:50" ht="12.95" customHeight="1" x14ac:dyDescent="0.2">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row>
    <row r="753" spans="1:50" ht="12.95" customHeight="1" x14ac:dyDescent="0.2">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row>
    <row r="754" spans="1:50" ht="12.95" customHeight="1" x14ac:dyDescent="0.2">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row>
    <row r="755" spans="1:50" ht="12.95" customHeight="1" x14ac:dyDescent="0.2">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row>
    <row r="756" spans="1:50" ht="12.95" customHeight="1" x14ac:dyDescent="0.2">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row>
    <row r="757" spans="1:50" ht="12.95" customHeight="1" x14ac:dyDescent="0.2">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row>
    <row r="758" spans="1:50" ht="12.95" customHeight="1" x14ac:dyDescent="0.2">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row>
    <row r="759" spans="1:50" ht="12.95" customHeight="1" x14ac:dyDescent="0.2">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row>
    <row r="760" spans="1:50" ht="12.95" customHeight="1" x14ac:dyDescent="0.2">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row>
    <row r="761" spans="1:50" ht="12.95" customHeight="1" x14ac:dyDescent="0.2">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row>
    <row r="762" spans="1:50" ht="12.95" customHeight="1" x14ac:dyDescent="0.2">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row>
    <row r="763" spans="1:50" ht="12.95" customHeight="1" x14ac:dyDescent="0.2">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row>
    <row r="764" spans="1:50" ht="12.95" customHeight="1" x14ac:dyDescent="0.2">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row>
    <row r="765" spans="1:50" ht="12.95" customHeight="1" x14ac:dyDescent="0.2">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row>
    <row r="766" spans="1:50" ht="12.95" customHeight="1" x14ac:dyDescent="0.2">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row>
    <row r="767" spans="1:50" ht="12.95" customHeight="1" x14ac:dyDescent="0.2">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row>
    <row r="768" spans="1:50" ht="12.95" customHeight="1" x14ac:dyDescent="0.2">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row>
    <row r="769" spans="1:50" ht="12.95" customHeight="1" x14ac:dyDescent="0.2">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row>
    <row r="770" spans="1:50" ht="12.95" customHeight="1" x14ac:dyDescent="0.2">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row>
    <row r="771" spans="1:50" ht="12.95" customHeight="1" x14ac:dyDescent="0.2">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row>
    <row r="772" spans="1:50" ht="12.95" customHeight="1" x14ac:dyDescent="0.2">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row>
    <row r="773" spans="1:50" ht="12.95" customHeight="1" x14ac:dyDescent="0.2">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row>
    <row r="774" spans="1:50" ht="12.95" customHeight="1" x14ac:dyDescent="0.2">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row>
    <row r="775" spans="1:50" ht="12.95" customHeight="1" x14ac:dyDescent="0.2">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row>
    <row r="776" spans="1:50" ht="12.95" customHeight="1" x14ac:dyDescent="0.2">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row>
    <row r="777" spans="1:50" ht="12.95" customHeight="1" x14ac:dyDescent="0.2">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row>
    <row r="778" spans="1:50" ht="12.95" customHeight="1" x14ac:dyDescent="0.2">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row>
    <row r="779" spans="1:50" ht="12.95" customHeight="1" x14ac:dyDescent="0.2">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row>
    <row r="780" spans="1:50" ht="12.95" customHeight="1" x14ac:dyDescent="0.2">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row>
    <row r="781" spans="1:50" ht="12.95" customHeight="1" x14ac:dyDescent="0.2">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row>
    <row r="782" spans="1:50" ht="12.95" customHeight="1" x14ac:dyDescent="0.2">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row>
    <row r="783" spans="1:50" ht="12.95" customHeight="1" x14ac:dyDescent="0.2">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row>
    <row r="784" spans="1:50" ht="12.95" customHeight="1" x14ac:dyDescent="0.2">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row>
    <row r="785" spans="1:50" ht="12.95" customHeight="1" x14ac:dyDescent="0.2">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row>
    <row r="786" spans="1:50" ht="12.95" customHeight="1" x14ac:dyDescent="0.2">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row>
    <row r="787" spans="1:50" ht="12.95" customHeight="1" x14ac:dyDescent="0.2">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row>
    <row r="788" spans="1:50" ht="12.95" customHeight="1" x14ac:dyDescent="0.2">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row>
    <row r="789" spans="1:50" ht="12.95" customHeight="1" x14ac:dyDescent="0.2">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row>
    <row r="790" spans="1:50" ht="12.95" customHeight="1" x14ac:dyDescent="0.2">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row>
    <row r="791" spans="1:50" ht="12.95" customHeight="1" x14ac:dyDescent="0.2">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row>
    <row r="792" spans="1:50" ht="12.95" customHeight="1" x14ac:dyDescent="0.2">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row>
    <row r="793" spans="1:50" ht="12.95" customHeight="1" x14ac:dyDescent="0.2">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row>
    <row r="794" spans="1:50" ht="12.95" customHeight="1" x14ac:dyDescent="0.2">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row>
    <row r="795" spans="1:50" ht="12.95" customHeight="1" x14ac:dyDescent="0.2">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row>
    <row r="796" spans="1:50" ht="12.95" customHeight="1" x14ac:dyDescent="0.2">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row>
    <row r="797" spans="1:50" ht="12.95" customHeight="1" x14ac:dyDescent="0.2">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row>
    <row r="798" spans="1:50" ht="12.95" customHeight="1" x14ac:dyDescent="0.2">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row>
    <row r="799" spans="1:50" ht="12.95" customHeight="1" x14ac:dyDescent="0.2">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row>
    <row r="800" spans="1:50" ht="12.95" customHeight="1" x14ac:dyDescent="0.2">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row>
    <row r="801" spans="1:50" ht="12.95" customHeight="1" x14ac:dyDescent="0.2">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row>
    <row r="802" spans="1:50" ht="12.95" customHeight="1" x14ac:dyDescent="0.2">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row>
    <row r="803" spans="1:50" ht="12.95" customHeight="1" x14ac:dyDescent="0.2">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row>
    <row r="804" spans="1:50" ht="12.95" customHeight="1" x14ac:dyDescent="0.2">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row>
    <row r="805" spans="1:50" ht="12.95" customHeight="1" x14ac:dyDescent="0.2">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row>
    <row r="806" spans="1:50" ht="12.95" customHeight="1" x14ac:dyDescent="0.2">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row>
    <row r="807" spans="1:50" ht="12.95" customHeight="1" x14ac:dyDescent="0.2">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row>
    <row r="808" spans="1:50" ht="12.95" customHeight="1" x14ac:dyDescent="0.2">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row>
    <row r="809" spans="1:50" ht="12.95" customHeight="1" x14ac:dyDescent="0.2">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row>
    <row r="810" spans="1:50" ht="12.95" customHeight="1" x14ac:dyDescent="0.2">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row>
    <row r="811" spans="1:50" ht="12.95" customHeight="1" x14ac:dyDescent="0.2">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row>
    <row r="812" spans="1:50" ht="12.95" customHeight="1" x14ac:dyDescent="0.2">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row>
    <row r="813" spans="1:50" ht="12.95" customHeight="1" x14ac:dyDescent="0.2">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row>
    <row r="814" spans="1:50" ht="12.95" customHeight="1" x14ac:dyDescent="0.2">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row>
    <row r="815" spans="1:50" ht="12.95" customHeight="1" x14ac:dyDescent="0.2">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row>
    <row r="816" spans="1:50" ht="12.95" customHeight="1" x14ac:dyDescent="0.2">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row>
    <row r="817" spans="1:50" ht="12.95" customHeight="1" x14ac:dyDescent="0.2">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row>
    <row r="818" spans="1:50" ht="12.95" customHeight="1" x14ac:dyDescent="0.2">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row>
    <row r="819" spans="1:50" ht="12.95" customHeight="1" x14ac:dyDescent="0.2">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row>
    <row r="820" spans="1:50" ht="12.95" customHeight="1" x14ac:dyDescent="0.2">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row>
    <row r="821" spans="1:50" ht="12.95" customHeight="1" x14ac:dyDescent="0.2">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row>
    <row r="822" spans="1:50" ht="12.95" customHeight="1" x14ac:dyDescent="0.2">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row>
    <row r="823" spans="1:50" ht="12.95" customHeight="1" x14ac:dyDescent="0.2">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row>
    <row r="824" spans="1:50" ht="12.95" customHeight="1" x14ac:dyDescent="0.2">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row>
    <row r="825" spans="1:50" ht="12.95" customHeight="1" x14ac:dyDescent="0.2">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row>
    <row r="826" spans="1:50" ht="12.95" customHeight="1" x14ac:dyDescent="0.2">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row>
    <row r="827" spans="1:50" ht="12.95" customHeight="1" x14ac:dyDescent="0.2">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row>
    <row r="828" spans="1:50" ht="12.95" customHeight="1" x14ac:dyDescent="0.2">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row>
    <row r="829" spans="1:50" ht="12.95" customHeight="1" x14ac:dyDescent="0.2">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row>
    <row r="830" spans="1:50" ht="12.95" customHeight="1" x14ac:dyDescent="0.2">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row>
    <row r="831" spans="1:50" ht="12.95" customHeight="1" x14ac:dyDescent="0.2">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row>
    <row r="832" spans="1:50" ht="12.95" customHeight="1" x14ac:dyDescent="0.2">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row>
    <row r="833" spans="1:50" ht="12.95" customHeight="1" x14ac:dyDescent="0.2">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row>
    <row r="834" spans="1:50" ht="12.95" customHeight="1" x14ac:dyDescent="0.2">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row>
    <row r="835" spans="1:50" ht="12.95" customHeight="1" x14ac:dyDescent="0.2">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row>
    <row r="836" spans="1:50" ht="12.95" customHeight="1" x14ac:dyDescent="0.2">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row>
    <row r="837" spans="1:50" ht="12.95" customHeight="1" x14ac:dyDescent="0.2">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row>
    <row r="838" spans="1:50" ht="12.95" customHeight="1" x14ac:dyDescent="0.2">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row>
    <row r="839" spans="1:50" ht="12.95" customHeight="1" x14ac:dyDescent="0.2">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row>
    <row r="840" spans="1:50" ht="12.95" customHeight="1" x14ac:dyDescent="0.2">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row>
    <row r="841" spans="1:50" ht="12.95" customHeight="1" x14ac:dyDescent="0.2">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row>
    <row r="842" spans="1:50" ht="12.95" customHeight="1" x14ac:dyDescent="0.2">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row>
    <row r="843" spans="1:50" ht="12.95" customHeight="1" x14ac:dyDescent="0.2">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row>
    <row r="844" spans="1:50" ht="12.95" customHeight="1" x14ac:dyDescent="0.2">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row>
    <row r="845" spans="1:50" ht="12.95" customHeight="1" x14ac:dyDescent="0.2">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row>
    <row r="846" spans="1:50" ht="12.95" customHeight="1" x14ac:dyDescent="0.2">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row>
    <row r="847" spans="1:50" ht="12.95" customHeight="1" x14ac:dyDescent="0.2">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row>
    <row r="848" spans="1:50" ht="12.95" customHeight="1" x14ac:dyDescent="0.2">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row>
    <row r="849" spans="1:50" ht="12.95" customHeight="1" x14ac:dyDescent="0.2">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row>
    <row r="850" spans="1:50" ht="12.95" customHeight="1" x14ac:dyDescent="0.2">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row>
    <row r="851" spans="1:50" ht="12.95" customHeight="1" x14ac:dyDescent="0.2">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row>
    <row r="852" spans="1:50" ht="12.95" customHeight="1" x14ac:dyDescent="0.2">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row>
    <row r="853" spans="1:50" ht="12.95" customHeight="1" x14ac:dyDescent="0.2">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row>
    <row r="854" spans="1:50" ht="12.95" customHeight="1" x14ac:dyDescent="0.2">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row>
    <row r="855" spans="1:50" ht="12.95" customHeight="1" x14ac:dyDescent="0.2">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row>
    <row r="856" spans="1:50" ht="12.95" customHeight="1" x14ac:dyDescent="0.2">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row>
    <row r="857" spans="1:50" ht="12.95" customHeight="1" x14ac:dyDescent="0.2">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row>
    <row r="858" spans="1:50" ht="12.95" customHeight="1" x14ac:dyDescent="0.2">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row>
    <row r="859" spans="1:50" ht="12.95" customHeight="1" x14ac:dyDescent="0.2">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row>
    <row r="860" spans="1:50" ht="12.95" customHeight="1" x14ac:dyDescent="0.2">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row>
    <row r="861" spans="1:50" ht="12.95" customHeight="1" x14ac:dyDescent="0.2">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row>
    <row r="862" spans="1:50" ht="12.95" customHeight="1" x14ac:dyDescent="0.2">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row>
    <row r="863" spans="1:50" ht="12.95" customHeight="1" x14ac:dyDescent="0.2">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row>
    <row r="864" spans="1:50" ht="12.95" customHeight="1" x14ac:dyDescent="0.2">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row>
    <row r="865" spans="1:50" ht="12.95" customHeight="1" x14ac:dyDescent="0.2">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row>
    <row r="866" spans="1:50" ht="12.95" customHeight="1" x14ac:dyDescent="0.2">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row>
    <row r="867" spans="1:50" ht="12.95" customHeight="1" x14ac:dyDescent="0.2">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row>
    <row r="868" spans="1:50" ht="12.95" customHeight="1" x14ac:dyDescent="0.2">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row>
    <row r="869" spans="1:50" ht="12.95" customHeight="1" x14ac:dyDescent="0.2">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row>
    <row r="870" spans="1:50" ht="12.95" customHeight="1" x14ac:dyDescent="0.2">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row>
    <row r="871" spans="1:50" ht="12.95" customHeight="1" x14ac:dyDescent="0.2">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row>
    <row r="872" spans="1:50" ht="12.95" customHeight="1" x14ac:dyDescent="0.2">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row>
    <row r="873" spans="1:50" ht="12.95" customHeight="1" x14ac:dyDescent="0.2">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row>
    <row r="874" spans="1:50" ht="12.95" customHeight="1" x14ac:dyDescent="0.2">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row>
    <row r="875" spans="1:50" ht="12.95" customHeight="1" x14ac:dyDescent="0.2">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row>
    <row r="876" spans="1:50" ht="12.95" customHeight="1" x14ac:dyDescent="0.2">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row>
    <row r="877" spans="1:50" ht="12.95" customHeight="1" x14ac:dyDescent="0.2">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row>
    <row r="878" spans="1:50" ht="12.95" customHeight="1" x14ac:dyDescent="0.2">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row>
    <row r="879" spans="1:50" ht="12.95" customHeight="1" x14ac:dyDescent="0.2">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row>
    <row r="880" spans="1:50" ht="12.95" customHeight="1" x14ac:dyDescent="0.2">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row>
    <row r="881" spans="1:50" ht="12.95" customHeight="1" x14ac:dyDescent="0.2">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row>
    <row r="882" spans="1:50" ht="12.95" customHeight="1" x14ac:dyDescent="0.2">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row>
    <row r="883" spans="1:50" ht="12.95" customHeight="1" x14ac:dyDescent="0.2">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row>
    <row r="884" spans="1:50" ht="12.95" customHeight="1" x14ac:dyDescent="0.2">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row>
    <row r="885" spans="1:50" ht="12.95" customHeight="1" x14ac:dyDescent="0.2">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row>
    <row r="886" spans="1:50" ht="12.95" customHeight="1" x14ac:dyDescent="0.2">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row>
    <row r="887" spans="1:50" ht="12.95" customHeight="1" x14ac:dyDescent="0.2">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row>
    <row r="888" spans="1:50" ht="12.95" customHeight="1" x14ac:dyDescent="0.2">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row>
    <row r="889" spans="1:50" ht="12.95" customHeight="1" x14ac:dyDescent="0.2">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row>
    <row r="890" spans="1:50" ht="12.95" customHeight="1" x14ac:dyDescent="0.2">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row>
    <row r="891" spans="1:50" ht="12.95" customHeight="1" x14ac:dyDescent="0.2">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row>
    <row r="892" spans="1:50" ht="12.95" customHeight="1" x14ac:dyDescent="0.2">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row>
    <row r="893" spans="1:50" ht="12.95" customHeight="1" x14ac:dyDescent="0.2">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row>
    <row r="894" spans="1:50" ht="12.95" customHeight="1" x14ac:dyDescent="0.2">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row>
    <row r="895" spans="1:50" ht="12.95" customHeight="1" x14ac:dyDescent="0.2">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row>
    <row r="896" spans="1:50" ht="12.95" customHeight="1" x14ac:dyDescent="0.2">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row>
    <row r="897" spans="1:50" ht="12.95" customHeight="1" x14ac:dyDescent="0.2">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row>
    <row r="898" spans="1:50" ht="12.95" customHeight="1" x14ac:dyDescent="0.2">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row>
    <row r="899" spans="1:50" ht="12.95" customHeight="1" x14ac:dyDescent="0.2">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row>
    <row r="900" spans="1:50" ht="12.95" customHeight="1" x14ac:dyDescent="0.2">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row>
    <row r="901" spans="1:50" ht="12.95" customHeight="1" x14ac:dyDescent="0.2">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row>
    <row r="902" spans="1:50" ht="12.95" customHeight="1" x14ac:dyDescent="0.2">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row>
    <row r="903" spans="1:50" ht="12.95" customHeight="1" x14ac:dyDescent="0.2">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row>
    <row r="904" spans="1:50" ht="12.95" customHeight="1" x14ac:dyDescent="0.2">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row>
    <row r="905" spans="1:50" ht="12.95" customHeight="1" x14ac:dyDescent="0.2">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row>
    <row r="906" spans="1:50" ht="12.95" customHeight="1" x14ac:dyDescent="0.2">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row>
    <row r="907" spans="1:50" ht="12.95" customHeight="1" x14ac:dyDescent="0.2">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row>
    <row r="908" spans="1:50" ht="12.95" customHeight="1" x14ac:dyDescent="0.2">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row>
    <row r="909" spans="1:50" ht="12.95" customHeight="1" x14ac:dyDescent="0.2">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row>
    <row r="910" spans="1:50" ht="12.95" customHeight="1" x14ac:dyDescent="0.2">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row>
    <row r="911" spans="1:50" ht="12.95" customHeight="1" x14ac:dyDescent="0.2">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row>
    <row r="912" spans="1:50" ht="12.95" customHeight="1" x14ac:dyDescent="0.2">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row>
    <row r="913" spans="1:50" ht="12.95" customHeight="1" x14ac:dyDescent="0.2">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row>
    <row r="914" spans="1:50" ht="12.95" customHeight="1" x14ac:dyDescent="0.2">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row>
    <row r="915" spans="1:50" ht="12.95" customHeight="1" x14ac:dyDescent="0.2">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row>
    <row r="916" spans="1:50" ht="12.95" customHeight="1" x14ac:dyDescent="0.2">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row>
    <row r="917" spans="1:50" ht="12.95" customHeight="1" x14ac:dyDescent="0.2">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row>
    <row r="918" spans="1:50" ht="12.95" customHeight="1" x14ac:dyDescent="0.2">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row>
    <row r="919" spans="1:50" ht="12.95" customHeight="1" x14ac:dyDescent="0.2">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row>
    <row r="920" spans="1:50" ht="12.95" customHeight="1" x14ac:dyDescent="0.2">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row>
    <row r="921" spans="1:50" ht="12.95" customHeight="1" x14ac:dyDescent="0.2">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row>
    <row r="922" spans="1:50" ht="12.95" customHeight="1" x14ac:dyDescent="0.2">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row>
    <row r="923" spans="1:50" ht="12.95" customHeight="1" x14ac:dyDescent="0.2">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row>
    <row r="924" spans="1:50" ht="12.95" customHeight="1" x14ac:dyDescent="0.2">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row>
    <row r="925" spans="1:50" ht="12.95" customHeight="1" x14ac:dyDescent="0.2">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row>
    <row r="926" spans="1:50" ht="12.95" customHeight="1" x14ac:dyDescent="0.2">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row>
    <row r="927" spans="1:50" ht="12.95" customHeight="1" x14ac:dyDescent="0.2">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row>
    <row r="928" spans="1:50" ht="12.95" customHeight="1" x14ac:dyDescent="0.2">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row>
    <row r="929" spans="1:50" ht="12.95" customHeight="1" x14ac:dyDescent="0.2">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row>
    <row r="930" spans="1:50" ht="12.95" customHeight="1" x14ac:dyDescent="0.2">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row>
    <row r="931" spans="1:50" ht="12.95" customHeight="1" x14ac:dyDescent="0.2">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row>
    <row r="932" spans="1:50" ht="12.95" customHeight="1" x14ac:dyDescent="0.2">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row>
    <row r="933" spans="1:50" ht="12.95" customHeight="1" x14ac:dyDescent="0.2">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row>
    <row r="934" spans="1:50" ht="12.95" customHeight="1" x14ac:dyDescent="0.2">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row>
    <row r="935" spans="1:50" ht="12.95" customHeight="1" x14ac:dyDescent="0.2">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row>
    <row r="936" spans="1:50" ht="12.95" customHeight="1" x14ac:dyDescent="0.2">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row>
  </sheetData>
  <phoneticPr fontId="43" type="noConversion"/>
  <hyperlinks>
    <hyperlink ref="B2" location="cover!B18" display="return to TOC" xr:uid="{00000000-0004-0000-0300-000000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8F071-EA38-4965-8B9B-5813C276C0F0}">
  <sheetPr published="0" codeName="Sheet20">
    <tabColor rgb="FF2171B5"/>
  </sheetPr>
  <dimension ref="A1:AX91"/>
  <sheetViews>
    <sheetView workbookViewId="0"/>
  </sheetViews>
  <sheetFormatPr defaultColWidth="10.83203125" defaultRowHeight="12.95" customHeight="1" x14ac:dyDescent="0.2"/>
  <cols>
    <col min="1" max="1" width="1.83203125" customWidth="1"/>
    <col min="2" max="4" width="2.83203125" customWidth="1"/>
    <col min="5" max="5" width="32.83203125" customWidth="1"/>
    <col min="6" max="6" width="8.83203125" customWidth="1"/>
    <col min="7" max="8" width="10.83203125" customWidth="1"/>
    <col min="9" max="48" width="8.83203125" customWidth="1"/>
    <col min="49" max="49" width="75.83203125" customWidth="1"/>
    <col min="50" max="50" width="10.83203125" customWidth="1"/>
  </cols>
  <sheetData>
    <row r="1" spans="1:50" s="253" customFormat="1" ht="30" customHeight="1" x14ac:dyDescent="0.2">
      <c r="A1" s="85"/>
      <c r="B1" s="86" t="s">
        <v>1018</v>
      </c>
      <c r="C1" s="302"/>
      <c r="D1" s="302"/>
      <c r="E1" s="302"/>
      <c r="F1" s="302"/>
      <c r="G1" s="14"/>
      <c r="H1" s="14"/>
      <c r="I1" s="14"/>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14"/>
      <c r="AX1" s="14"/>
    </row>
    <row r="2" spans="1:50" s="253" customFormat="1" ht="12.95" customHeight="1" x14ac:dyDescent="0.2">
      <c r="A2" s="85"/>
      <c r="B2" s="81" t="s">
        <v>349</v>
      </c>
      <c r="C2" s="21"/>
      <c r="D2" s="21"/>
      <c r="E2" s="21"/>
      <c r="F2" s="21"/>
    </row>
    <row r="3" spans="1:50" s="253" customFormat="1" ht="12.95" customHeight="1" x14ac:dyDescent="0.2">
      <c r="B3" s="21"/>
      <c r="C3" s="21"/>
      <c r="D3" s="21"/>
      <c r="E3" s="21"/>
      <c r="F3" s="21"/>
      <c r="I3" s="81"/>
    </row>
    <row r="4" spans="1:50" s="253" customFormat="1" ht="12.95" customHeight="1" x14ac:dyDescent="0.25">
      <c r="B4" s="307" t="s">
        <v>975</v>
      </c>
      <c r="C4" s="106"/>
      <c r="D4" s="106"/>
      <c r="E4" s="106"/>
      <c r="F4" s="106"/>
      <c r="G4" s="106"/>
      <c r="H4" s="106"/>
      <c r="I4" s="106"/>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8"/>
    </row>
    <row r="5" spans="1:50" s="253" customFormat="1" ht="12.95" customHeight="1" x14ac:dyDescent="0.25">
      <c r="B5" s="19" t="s">
        <v>300</v>
      </c>
      <c r="C5" s="75"/>
      <c r="D5" s="75"/>
      <c r="E5" s="74"/>
      <c r="F5" s="56" t="s">
        <v>491</v>
      </c>
      <c r="G5" s="113" t="s">
        <v>1</v>
      </c>
      <c r="H5" s="114" t="s">
        <v>456</v>
      </c>
      <c r="I5" s="114" t="s">
        <v>381</v>
      </c>
      <c r="J5" s="56" t="s">
        <v>382</v>
      </c>
      <c r="K5" s="56" t="s">
        <v>383</v>
      </c>
      <c r="L5" s="56" t="s">
        <v>384</v>
      </c>
      <c r="M5" s="56" t="s">
        <v>385</v>
      </c>
      <c r="N5" s="56" t="s">
        <v>386</v>
      </c>
      <c r="O5" s="56" t="s">
        <v>387</v>
      </c>
      <c r="P5" s="56" t="s">
        <v>388</v>
      </c>
      <c r="Q5" s="56" t="s">
        <v>389</v>
      </c>
      <c r="R5" s="56" t="s">
        <v>390</v>
      </c>
      <c r="S5" s="56" t="s">
        <v>401</v>
      </c>
      <c r="T5" s="56" t="s">
        <v>402</v>
      </c>
      <c r="U5" s="56" t="s">
        <v>403</v>
      </c>
      <c r="V5" s="56" t="s">
        <v>404</v>
      </c>
      <c r="W5" s="56" t="s">
        <v>405</v>
      </c>
      <c r="X5" s="56" t="s">
        <v>406</v>
      </c>
      <c r="Y5" s="56" t="s">
        <v>407</v>
      </c>
      <c r="Z5" s="56" t="s">
        <v>408</v>
      </c>
      <c r="AA5" s="56" t="s">
        <v>409</v>
      </c>
      <c r="AB5" s="56" t="s">
        <v>410</v>
      </c>
      <c r="AC5" s="56" t="s">
        <v>411</v>
      </c>
      <c r="AD5" s="56" t="s">
        <v>412</v>
      </c>
      <c r="AE5" s="56" t="s">
        <v>413</v>
      </c>
      <c r="AF5" s="56" t="s">
        <v>414</v>
      </c>
      <c r="AG5" s="56" t="s">
        <v>415</v>
      </c>
      <c r="AH5" s="56" t="s">
        <v>416</v>
      </c>
      <c r="AI5" s="56" t="s">
        <v>417</v>
      </c>
      <c r="AJ5" s="56" t="s">
        <v>418</v>
      </c>
      <c r="AK5" s="56" t="s">
        <v>419</v>
      </c>
      <c r="AL5" s="56" t="s">
        <v>420</v>
      </c>
      <c r="AM5" s="56" t="s">
        <v>421</v>
      </c>
      <c r="AN5" s="56" t="s">
        <v>422</v>
      </c>
      <c r="AO5" s="56" t="s">
        <v>423</v>
      </c>
      <c r="AP5" s="56" t="s">
        <v>424</v>
      </c>
      <c r="AQ5" s="56" t="s">
        <v>425</v>
      </c>
      <c r="AR5" s="56" t="s">
        <v>426</v>
      </c>
      <c r="AS5" s="56" t="s">
        <v>427</v>
      </c>
      <c r="AT5" s="56" t="s">
        <v>428</v>
      </c>
      <c r="AU5" s="56" t="s">
        <v>429</v>
      </c>
      <c r="AV5" s="56" t="s">
        <v>430</v>
      </c>
      <c r="AW5" s="5" t="s">
        <v>2</v>
      </c>
      <c r="AX5" s="14"/>
    </row>
    <row r="6" spans="1:50" s="253" customFormat="1" ht="12.95" customHeight="1" x14ac:dyDescent="0.2">
      <c r="B6" s="14" t="s">
        <v>479</v>
      </c>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c r="AT6" s="171"/>
      <c r="AU6" s="171"/>
      <c r="AV6" s="171"/>
    </row>
    <row r="7" spans="1:50" s="253" customFormat="1" ht="12.95" customHeight="1" x14ac:dyDescent="0.2">
      <c r="B7" s="14"/>
      <c r="C7" s="372">
        <v>1</v>
      </c>
      <c r="D7" s="372"/>
      <c r="E7" s="372"/>
      <c r="F7" s="170" t="s">
        <v>492</v>
      </c>
      <c r="G7" s="253" t="s">
        <v>4</v>
      </c>
      <c r="H7" s="124"/>
      <c r="I7" s="124">
        <v>1</v>
      </c>
      <c r="J7" s="124">
        <f t="shared" ref="J7:AV7" si="0">I7+1</f>
        <v>2</v>
      </c>
      <c r="K7" s="124">
        <f t="shared" si="0"/>
        <v>3</v>
      </c>
      <c r="L7" s="124">
        <f t="shared" si="0"/>
        <v>4</v>
      </c>
      <c r="M7" s="124">
        <f t="shared" si="0"/>
        <v>5</v>
      </c>
      <c r="N7" s="124">
        <f t="shared" si="0"/>
        <v>6</v>
      </c>
      <c r="O7" s="124">
        <f t="shared" si="0"/>
        <v>7</v>
      </c>
      <c r="P7" s="124">
        <f t="shared" si="0"/>
        <v>8</v>
      </c>
      <c r="Q7" s="124">
        <f t="shared" si="0"/>
        <v>9</v>
      </c>
      <c r="R7" s="124">
        <f t="shared" si="0"/>
        <v>10</v>
      </c>
      <c r="S7" s="124">
        <f t="shared" si="0"/>
        <v>11</v>
      </c>
      <c r="T7" s="124">
        <f t="shared" si="0"/>
        <v>12</v>
      </c>
      <c r="U7" s="124">
        <f t="shared" si="0"/>
        <v>13</v>
      </c>
      <c r="V7" s="124">
        <f t="shared" si="0"/>
        <v>14</v>
      </c>
      <c r="W7" s="124">
        <f t="shared" si="0"/>
        <v>15</v>
      </c>
      <c r="X7" s="124">
        <f t="shared" si="0"/>
        <v>16</v>
      </c>
      <c r="Y7" s="124">
        <f t="shared" si="0"/>
        <v>17</v>
      </c>
      <c r="Z7" s="124">
        <f t="shared" si="0"/>
        <v>18</v>
      </c>
      <c r="AA7" s="124">
        <f t="shared" si="0"/>
        <v>19</v>
      </c>
      <c r="AB7" s="124">
        <f t="shared" si="0"/>
        <v>20</v>
      </c>
      <c r="AC7" s="124">
        <f t="shared" si="0"/>
        <v>21</v>
      </c>
      <c r="AD7" s="124">
        <f t="shared" si="0"/>
        <v>22</v>
      </c>
      <c r="AE7" s="124">
        <f t="shared" si="0"/>
        <v>23</v>
      </c>
      <c r="AF7" s="124">
        <f t="shared" si="0"/>
        <v>24</v>
      </c>
      <c r="AG7" s="124">
        <f t="shared" si="0"/>
        <v>25</v>
      </c>
      <c r="AH7" s="124">
        <f t="shared" si="0"/>
        <v>26</v>
      </c>
      <c r="AI7" s="124">
        <f t="shared" si="0"/>
        <v>27</v>
      </c>
      <c r="AJ7" s="124">
        <f t="shared" si="0"/>
        <v>28</v>
      </c>
      <c r="AK7" s="124">
        <f t="shared" si="0"/>
        <v>29</v>
      </c>
      <c r="AL7" s="124">
        <f t="shared" si="0"/>
        <v>30</v>
      </c>
      <c r="AM7" s="124">
        <f t="shared" si="0"/>
        <v>31</v>
      </c>
      <c r="AN7" s="124">
        <f t="shared" si="0"/>
        <v>32</v>
      </c>
      <c r="AO7" s="124">
        <f t="shared" si="0"/>
        <v>33</v>
      </c>
      <c r="AP7" s="124">
        <f t="shared" si="0"/>
        <v>34</v>
      </c>
      <c r="AQ7" s="124">
        <f t="shared" si="0"/>
        <v>35</v>
      </c>
      <c r="AR7" s="124">
        <f t="shared" si="0"/>
        <v>36</v>
      </c>
      <c r="AS7" s="124">
        <f t="shared" si="0"/>
        <v>37</v>
      </c>
      <c r="AT7" s="124">
        <f t="shared" si="0"/>
        <v>38</v>
      </c>
      <c r="AU7" s="124">
        <f t="shared" si="0"/>
        <v>39</v>
      </c>
      <c r="AV7" s="124">
        <f t="shared" si="0"/>
        <v>40</v>
      </c>
    </row>
    <row r="8" spans="1:50" s="253" customFormat="1" ht="12.95" customHeight="1" x14ac:dyDescent="0.2">
      <c r="B8" s="14"/>
      <c r="C8" s="372">
        <v>2</v>
      </c>
      <c r="D8" s="372"/>
      <c r="E8" s="372"/>
      <c r="F8" s="253" t="s">
        <v>492</v>
      </c>
      <c r="G8" s="253" t="s">
        <v>4</v>
      </c>
      <c r="H8" s="124"/>
      <c r="I8" s="124"/>
      <c r="J8" s="124">
        <f>IF($C8&gt;SRWC!$F$8,0,I7)</f>
        <v>1</v>
      </c>
      <c r="K8" s="124">
        <f>IF($C8&gt;SRWC!$F$8,0,J7)</f>
        <v>2</v>
      </c>
      <c r="L8" s="124">
        <f>IF($C8&gt;SRWC!$F$8,0,K7)</f>
        <v>3</v>
      </c>
      <c r="M8" s="124">
        <f>IF($C8&gt;SRWC!$F$8,0,L7)</f>
        <v>4</v>
      </c>
      <c r="N8" s="124">
        <f>IF($C8&gt;SRWC!$F$8,0,M7)</f>
        <v>5</v>
      </c>
      <c r="O8" s="124">
        <f>IF($C8&gt;SRWC!$F$8,0,N7)</f>
        <v>6</v>
      </c>
      <c r="P8" s="124">
        <f>IF($C8&gt;SRWC!$F$8,0,O7)</f>
        <v>7</v>
      </c>
      <c r="Q8" s="124">
        <f>IF($C8&gt;SRWC!$F$8,0,P7)</f>
        <v>8</v>
      </c>
      <c r="R8" s="124">
        <f>IF($C8&gt;SRWC!$F$8,0,Q7)</f>
        <v>9</v>
      </c>
      <c r="S8" s="124">
        <f>IF($C8&gt;SRWC!$F$8,0,R7)</f>
        <v>10</v>
      </c>
      <c r="T8" s="124">
        <f>IF($C8&gt;SRWC!$F$8,0,S7)</f>
        <v>11</v>
      </c>
      <c r="U8" s="124">
        <f>IF($C8&gt;SRWC!$F$8,0,T7)</f>
        <v>12</v>
      </c>
      <c r="V8" s="124">
        <f>IF($C8&gt;SRWC!$F$8,0,U7)</f>
        <v>13</v>
      </c>
      <c r="W8" s="124">
        <f>IF($C8&gt;SRWC!$F$8,0,V7)</f>
        <v>14</v>
      </c>
      <c r="X8" s="124">
        <f>IF($C8&gt;SRWC!$F$8,0,W7)</f>
        <v>15</v>
      </c>
      <c r="Y8" s="124">
        <f>IF($C8&gt;SRWC!$F$8,0,X7)</f>
        <v>16</v>
      </c>
      <c r="Z8" s="124">
        <f>IF($C8&gt;SRWC!$F$8,0,Y7)</f>
        <v>17</v>
      </c>
      <c r="AA8" s="124">
        <f>IF($C8&gt;SRWC!$F$8,0,Z7)</f>
        <v>18</v>
      </c>
      <c r="AB8" s="124">
        <f>IF($C8&gt;SRWC!$F$8,0,AA7)</f>
        <v>19</v>
      </c>
      <c r="AC8" s="124">
        <f>IF($C8&gt;SRWC!$F$8,0,AB7)</f>
        <v>20</v>
      </c>
      <c r="AD8" s="124">
        <f>IF($C8&gt;SRWC!$F$8,0,AC7)</f>
        <v>21</v>
      </c>
      <c r="AE8" s="124">
        <f>IF($C8&gt;SRWC!$F$8,0,AD7)</f>
        <v>22</v>
      </c>
      <c r="AF8" s="124">
        <f>IF($C8&gt;SRWC!$F$8,0,AE7)</f>
        <v>23</v>
      </c>
      <c r="AG8" s="124">
        <f>IF($C8&gt;SRWC!$F$8,0,AF7)</f>
        <v>24</v>
      </c>
      <c r="AH8" s="124">
        <f>IF($C8&gt;SRWC!$F$8,0,AG7)</f>
        <v>25</v>
      </c>
      <c r="AI8" s="124">
        <f>IF($C8&gt;SRWC!$F$8,0,AH7)</f>
        <v>26</v>
      </c>
      <c r="AJ8" s="124">
        <f>IF($C8&gt;SRWC!$F$8,0,AI7)</f>
        <v>27</v>
      </c>
      <c r="AK8" s="124">
        <f>IF($C8&gt;SRWC!$F$8,0,AJ7)</f>
        <v>28</v>
      </c>
      <c r="AL8" s="124">
        <f>IF($C8&gt;SRWC!$F$8,0,AK7)</f>
        <v>29</v>
      </c>
      <c r="AM8" s="124">
        <f>IF($C8&gt;SRWC!$F$8,0,AL7)</f>
        <v>30</v>
      </c>
      <c r="AN8" s="124">
        <f>IF($C8&gt;SRWC!$F$8,0,AM7)</f>
        <v>31</v>
      </c>
      <c r="AO8" s="124">
        <f>IF($C8&gt;SRWC!$F$8,0,AN7)</f>
        <v>32</v>
      </c>
      <c r="AP8" s="124">
        <f>IF($C8&gt;SRWC!$F$8,0,AO7)</f>
        <v>33</v>
      </c>
      <c r="AQ8" s="124">
        <f>IF($C8&gt;SRWC!$F$8,0,AP7)</f>
        <v>34</v>
      </c>
      <c r="AR8" s="124">
        <f>IF($C8&gt;SRWC!$F$8,0,AQ7)</f>
        <v>35</v>
      </c>
      <c r="AS8" s="124">
        <f>IF($C8&gt;SRWC!$F$8,0,AR7)</f>
        <v>36</v>
      </c>
      <c r="AT8" s="124">
        <f>IF($C8&gt;SRWC!$F$8,0,AS7)</f>
        <v>37</v>
      </c>
      <c r="AU8" s="124">
        <f>IF($C8&gt;SRWC!$F$8,0,AT7)</f>
        <v>38</v>
      </c>
      <c r="AV8" s="124">
        <f>IF($C8&gt;SRWC!$F$8,0,AU7)</f>
        <v>39</v>
      </c>
    </row>
    <row r="9" spans="1:50" s="253" customFormat="1" ht="12.95" customHeight="1" x14ac:dyDescent="0.2">
      <c r="B9" s="14"/>
      <c r="C9" s="372">
        <v>3</v>
      </c>
      <c r="D9" s="372"/>
      <c r="E9" s="372"/>
      <c r="F9" s="253" t="s">
        <v>492</v>
      </c>
      <c r="G9" s="253" t="s">
        <v>4</v>
      </c>
      <c r="H9" s="124"/>
      <c r="I9" s="124"/>
      <c r="J9" s="124"/>
      <c r="K9" s="124">
        <f>IF($C9&gt;SRWC!$F$8,0,J8)</f>
        <v>1</v>
      </c>
      <c r="L9" s="124">
        <f>IF($C9&gt;SRWC!$F$8,0,K8)</f>
        <v>2</v>
      </c>
      <c r="M9" s="124">
        <f>IF($C9&gt;SRWC!$F$8,0,L8)</f>
        <v>3</v>
      </c>
      <c r="N9" s="124">
        <f>IF($C9&gt;SRWC!$F$8,0,M8)</f>
        <v>4</v>
      </c>
      <c r="O9" s="124">
        <f>IF($C9&gt;SRWC!$F$8,0,N8)</f>
        <v>5</v>
      </c>
      <c r="P9" s="124">
        <f>IF($C9&gt;SRWC!$F$8,0,O8)</f>
        <v>6</v>
      </c>
      <c r="Q9" s="124">
        <f>IF($C9&gt;SRWC!$F$8,0,P8)</f>
        <v>7</v>
      </c>
      <c r="R9" s="124">
        <f>IF($C9&gt;SRWC!$F$8,0,Q8)</f>
        <v>8</v>
      </c>
      <c r="S9" s="124">
        <f>IF($C9&gt;SRWC!$F$8,0,R8)</f>
        <v>9</v>
      </c>
      <c r="T9" s="124">
        <f>IF($C9&gt;SRWC!$F$8,0,S8)</f>
        <v>10</v>
      </c>
      <c r="U9" s="124">
        <f>IF($C9&gt;SRWC!$F$8,0,T8)</f>
        <v>11</v>
      </c>
      <c r="V9" s="124">
        <f>IF($C9&gt;SRWC!$F$8,0,U8)</f>
        <v>12</v>
      </c>
      <c r="W9" s="124">
        <f>IF($C9&gt;SRWC!$F$8,0,V8)</f>
        <v>13</v>
      </c>
      <c r="X9" s="124">
        <f>IF($C9&gt;SRWC!$F$8,0,W8)</f>
        <v>14</v>
      </c>
      <c r="Y9" s="124">
        <f>IF($C9&gt;SRWC!$F$8,0,X8)</f>
        <v>15</v>
      </c>
      <c r="Z9" s="124">
        <f>IF($C9&gt;SRWC!$F$8,0,Y8)</f>
        <v>16</v>
      </c>
      <c r="AA9" s="124">
        <f>IF($C9&gt;SRWC!$F$8,0,Z8)</f>
        <v>17</v>
      </c>
      <c r="AB9" s="124">
        <f>IF($C9&gt;SRWC!$F$8,0,AA8)</f>
        <v>18</v>
      </c>
      <c r="AC9" s="124">
        <f>IF($C9&gt;SRWC!$F$8,0,AB8)</f>
        <v>19</v>
      </c>
      <c r="AD9" s="124">
        <f>IF($C9&gt;SRWC!$F$8,0,AC8)</f>
        <v>20</v>
      </c>
      <c r="AE9" s="124">
        <f>IF($C9&gt;SRWC!$F$8,0,AD8)</f>
        <v>21</v>
      </c>
      <c r="AF9" s="124">
        <f>IF($C9&gt;SRWC!$F$8,0,AE8)</f>
        <v>22</v>
      </c>
      <c r="AG9" s="124">
        <f>IF($C9&gt;SRWC!$F$8,0,AF8)</f>
        <v>23</v>
      </c>
      <c r="AH9" s="124">
        <f>IF($C9&gt;SRWC!$F$8,0,AG8)</f>
        <v>24</v>
      </c>
      <c r="AI9" s="124">
        <f>IF($C9&gt;SRWC!$F$8,0,AH8)</f>
        <v>25</v>
      </c>
      <c r="AJ9" s="124">
        <f>IF($C9&gt;SRWC!$F$8,0,AI8)</f>
        <v>26</v>
      </c>
      <c r="AK9" s="124">
        <f>IF($C9&gt;SRWC!$F$8,0,AJ8)</f>
        <v>27</v>
      </c>
      <c r="AL9" s="124">
        <f>IF($C9&gt;SRWC!$F$8,0,AK8)</f>
        <v>28</v>
      </c>
      <c r="AM9" s="124">
        <f>IF($C9&gt;SRWC!$F$8,0,AL8)</f>
        <v>29</v>
      </c>
      <c r="AN9" s="124">
        <f>IF($C9&gt;SRWC!$F$8,0,AM8)</f>
        <v>30</v>
      </c>
      <c r="AO9" s="124">
        <f>IF($C9&gt;SRWC!$F$8,0,AN8)</f>
        <v>31</v>
      </c>
      <c r="AP9" s="124">
        <f>IF($C9&gt;SRWC!$F$8,0,AO8)</f>
        <v>32</v>
      </c>
      <c r="AQ9" s="124">
        <f>IF($C9&gt;SRWC!$F$8,0,AP8)</f>
        <v>33</v>
      </c>
      <c r="AR9" s="124">
        <f>IF($C9&gt;SRWC!$F$8,0,AQ8)</f>
        <v>34</v>
      </c>
      <c r="AS9" s="124">
        <f>IF($C9&gt;SRWC!$F$8,0,AR8)</f>
        <v>35</v>
      </c>
      <c r="AT9" s="124">
        <f>IF($C9&gt;SRWC!$F$8,0,AS8)</f>
        <v>36</v>
      </c>
      <c r="AU9" s="124">
        <f>IF($C9&gt;SRWC!$F$8,0,AT8)</f>
        <v>37</v>
      </c>
      <c r="AV9" s="124">
        <f>IF($C9&gt;SRWC!$F$8,0,AU8)</f>
        <v>38</v>
      </c>
    </row>
    <row r="10" spans="1:50" s="253" customFormat="1" ht="12.95" customHeight="1" x14ac:dyDescent="0.2">
      <c r="B10" s="14"/>
      <c r="C10" s="372">
        <v>4</v>
      </c>
      <c r="D10" s="372"/>
      <c r="E10" s="372"/>
      <c r="F10" s="253" t="s">
        <v>492</v>
      </c>
      <c r="G10" s="253" t="s">
        <v>4</v>
      </c>
      <c r="H10" s="124"/>
      <c r="I10" s="124"/>
      <c r="J10" s="124"/>
      <c r="K10" s="124"/>
      <c r="L10" s="124">
        <f>IF($C10&gt;SRWC!$F$8,0,K9)</f>
        <v>1</v>
      </c>
      <c r="M10" s="124">
        <f>IF($C10&gt;SRWC!$F$8,0,L9)</f>
        <v>2</v>
      </c>
      <c r="N10" s="124">
        <f>IF($C10&gt;SRWC!$F$8,0,M9)</f>
        <v>3</v>
      </c>
      <c r="O10" s="124">
        <f>IF($C10&gt;SRWC!$F$8,0,N9)</f>
        <v>4</v>
      </c>
      <c r="P10" s="124">
        <f>IF($C10&gt;SRWC!$F$8,0,O9)</f>
        <v>5</v>
      </c>
      <c r="Q10" s="124">
        <f>IF($C10&gt;SRWC!$F$8,0,P9)</f>
        <v>6</v>
      </c>
      <c r="R10" s="124">
        <f>IF($C10&gt;SRWC!$F$8,0,Q9)</f>
        <v>7</v>
      </c>
      <c r="S10" s="124">
        <f>IF($C10&gt;SRWC!$F$8,0,R9)</f>
        <v>8</v>
      </c>
      <c r="T10" s="124">
        <f>IF($C10&gt;SRWC!$F$8,0,S9)</f>
        <v>9</v>
      </c>
      <c r="U10" s="124">
        <f>IF($C10&gt;SRWC!$F$8,0,T9)</f>
        <v>10</v>
      </c>
      <c r="V10" s="124">
        <f>IF($C10&gt;SRWC!$F$8,0,U9)</f>
        <v>11</v>
      </c>
      <c r="W10" s="124">
        <f>IF($C10&gt;SRWC!$F$8,0,V9)</f>
        <v>12</v>
      </c>
      <c r="X10" s="124">
        <f>IF($C10&gt;SRWC!$F$8,0,W9)</f>
        <v>13</v>
      </c>
      <c r="Y10" s="124">
        <f>IF($C10&gt;SRWC!$F$8,0,X9)</f>
        <v>14</v>
      </c>
      <c r="Z10" s="124">
        <f>IF($C10&gt;SRWC!$F$8,0,Y9)</f>
        <v>15</v>
      </c>
      <c r="AA10" s="124">
        <f>IF($C10&gt;SRWC!$F$8,0,Z9)</f>
        <v>16</v>
      </c>
      <c r="AB10" s="124">
        <f>IF($C10&gt;SRWC!$F$8,0,AA9)</f>
        <v>17</v>
      </c>
      <c r="AC10" s="124">
        <f>IF($C10&gt;SRWC!$F$8,0,AB9)</f>
        <v>18</v>
      </c>
      <c r="AD10" s="124">
        <f>IF($C10&gt;SRWC!$F$8,0,AC9)</f>
        <v>19</v>
      </c>
      <c r="AE10" s="124">
        <f>IF($C10&gt;SRWC!$F$8,0,AD9)</f>
        <v>20</v>
      </c>
      <c r="AF10" s="124">
        <f>IF($C10&gt;SRWC!$F$8,0,AE9)</f>
        <v>21</v>
      </c>
      <c r="AG10" s="124">
        <f>IF($C10&gt;SRWC!$F$8,0,AF9)</f>
        <v>22</v>
      </c>
      <c r="AH10" s="124">
        <f>IF($C10&gt;SRWC!$F$8,0,AG9)</f>
        <v>23</v>
      </c>
      <c r="AI10" s="124">
        <f>IF($C10&gt;SRWC!$F$8,0,AH9)</f>
        <v>24</v>
      </c>
      <c r="AJ10" s="124">
        <f>IF($C10&gt;SRWC!$F$8,0,AI9)</f>
        <v>25</v>
      </c>
      <c r="AK10" s="124">
        <f>IF($C10&gt;SRWC!$F$8,0,AJ9)</f>
        <v>26</v>
      </c>
      <c r="AL10" s="124">
        <f>IF($C10&gt;SRWC!$F$8,0,AK9)</f>
        <v>27</v>
      </c>
      <c r="AM10" s="124">
        <f>IF($C10&gt;SRWC!$F$8,0,AL9)</f>
        <v>28</v>
      </c>
      <c r="AN10" s="124">
        <f>IF($C10&gt;SRWC!$F$8,0,AM9)</f>
        <v>29</v>
      </c>
      <c r="AO10" s="124">
        <f>IF($C10&gt;SRWC!$F$8,0,AN9)</f>
        <v>30</v>
      </c>
      <c r="AP10" s="124">
        <f>IF($C10&gt;SRWC!$F$8,0,AO9)</f>
        <v>31</v>
      </c>
      <c r="AQ10" s="124">
        <f>IF($C10&gt;SRWC!$F$8,0,AP9)</f>
        <v>32</v>
      </c>
      <c r="AR10" s="124">
        <f>IF($C10&gt;SRWC!$F$8,0,AQ9)</f>
        <v>33</v>
      </c>
      <c r="AS10" s="124">
        <f>IF($C10&gt;SRWC!$F$8,0,AR9)</f>
        <v>34</v>
      </c>
      <c r="AT10" s="124">
        <f>IF($C10&gt;SRWC!$F$8,0,AS9)</f>
        <v>35</v>
      </c>
      <c r="AU10" s="124">
        <f>IF($C10&gt;SRWC!$F$8,0,AT9)</f>
        <v>36</v>
      </c>
      <c r="AV10" s="124">
        <f>IF($C10&gt;SRWC!$F$8,0,AU9)</f>
        <v>37</v>
      </c>
    </row>
    <row r="11" spans="1:50" s="253" customFormat="1" ht="12.95" customHeight="1" x14ac:dyDescent="0.2">
      <c r="B11" s="14"/>
      <c r="C11" s="372">
        <v>5</v>
      </c>
      <c r="D11" s="372"/>
      <c r="E11" s="372"/>
      <c r="F11" s="253" t="s">
        <v>492</v>
      </c>
      <c r="G11" s="253" t="s">
        <v>4</v>
      </c>
      <c r="H11" s="124"/>
      <c r="I11" s="124"/>
      <c r="J11" s="124"/>
      <c r="K11" s="124"/>
      <c r="L11" s="124"/>
      <c r="M11" s="124">
        <f>IF($C11&gt;SRWC!$F$8,0,L10)</f>
        <v>1</v>
      </c>
      <c r="N11" s="124">
        <f>IF($C11&gt;SRWC!$F$8,0,M10)</f>
        <v>2</v>
      </c>
      <c r="O11" s="124">
        <f>IF($C11&gt;SRWC!$F$8,0,N10)</f>
        <v>3</v>
      </c>
      <c r="P11" s="124">
        <f>IF($C11&gt;SRWC!$F$8,0,O10)</f>
        <v>4</v>
      </c>
      <c r="Q11" s="124">
        <f>IF($C11&gt;SRWC!$F$8,0,P10)</f>
        <v>5</v>
      </c>
      <c r="R11" s="124">
        <f>IF($C11&gt;SRWC!$F$8,0,Q10)</f>
        <v>6</v>
      </c>
      <c r="S11" s="124">
        <f>IF($C11&gt;SRWC!$F$8,0,R10)</f>
        <v>7</v>
      </c>
      <c r="T11" s="124">
        <f>IF($C11&gt;SRWC!$F$8,0,S10)</f>
        <v>8</v>
      </c>
      <c r="U11" s="124">
        <f>IF($C11&gt;SRWC!$F$8,0,T10)</f>
        <v>9</v>
      </c>
      <c r="V11" s="124">
        <f>IF($C11&gt;SRWC!$F$8,0,U10)</f>
        <v>10</v>
      </c>
      <c r="W11" s="124">
        <f>IF($C11&gt;SRWC!$F$8,0,V10)</f>
        <v>11</v>
      </c>
      <c r="X11" s="124">
        <f>IF($C11&gt;SRWC!$F$8,0,W10)</f>
        <v>12</v>
      </c>
      <c r="Y11" s="124">
        <f>IF($C11&gt;SRWC!$F$8,0,X10)</f>
        <v>13</v>
      </c>
      <c r="Z11" s="124">
        <f>IF($C11&gt;SRWC!$F$8,0,Y10)</f>
        <v>14</v>
      </c>
      <c r="AA11" s="124">
        <f>IF($C11&gt;SRWC!$F$8,0,Z10)</f>
        <v>15</v>
      </c>
      <c r="AB11" s="124">
        <f>IF($C11&gt;SRWC!$F$8,0,AA10)</f>
        <v>16</v>
      </c>
      <c r="AC11" s="124">
        <f>IF($C11&gt;SRWC!$F$8,0,AB10)</f>
        <v>17</v>
      </c>
      <c r="AD11" s="124">
        <f>IF($C11&gt;SRWC!$F$8,0,AC10)</f>
        <v>18</v>
      </c>
      <c r="AE11" s="124">
        <f>IF($C11&gt;SRWC!$F$8,0,AD10)</f>
        <v>19</v>
      </c>
      <c r="AF11" s="124">
        <f>IF($C11&gt;SRWC!$F$8,0,AE10)</f>
        <v>20</v>
      </c>
      <c r="AG11" s="124">
        <f>IF($C11&gt;SRWC!$F$8,0,AF10)</f>
        <v>21</v>
      </c>
      <c r="AH11" s="124">
        <f>IF($C11&gt;SRWC!$F$8,0,AG10)</f>
        <v>22</v>
      </c>
      <c r="AI11" s="124">
        <f>IF($C11&gt;SRWC!$F$8,0,AH10)</f>
        <v>23</v>
      </c>
      <c r="AJ11" s="124">
        <f>IF($C11&gt;SRWC!$F$8,0,AI10)</f>
        <v>24</v>
      </c>
      <c r="AK11" s="124">
        <f>IF($C11&gt;SRWC!$F$8,0,AJ10)</f>
        <v>25</v>
      </c>
      <c r="AL11" s="124">
        <f>IF($C11&gt;SRWC!$F$8,0,AK10)</f>
        <v>26</v>
      </c>
      <c r="AM11" s="124">
        <f>IF($C11&gt;SRWC!$F$8,0,AL10)</f>
        <v>27</v>
      </c>
      <c r="AN11" s="124">
        <f>IF($C11&gt;SRWC!$F$8,0,AM10)</f>
        <v>28</v>
      </c>
      <c r="AO11" s="124">
        <f>IF($C11&gt;SRWC!$F$8,0,AN10)</f>
        <v>29</v>
      </c>
      <c r="AP11" s="124">
        <f>IF($C11&gt;SRWC!$F$8,0,AO10)</f>
        <v>30</v>
      </c>
      <c r="AQ11" s="124">
        <f>IF($C11&gt;SRWC!$F$8,0,AP10)</f>
        <v>31</v>
      </c>
      <c r="AR11" s="124">
        <f>IF($C11&gt;SRWC!$F$8,0,AQ10)</f>
        <v>32</v>
      </c>
      <c r="AS11" s="124">
        <f>IF($C11&gt;SRWC!$F$8,0,AR10)</f>
        <v>33</v>
      </c>
      <c r="AT11" s="124">
        <f>IF($C11&gt;SRWC!$F$8,0,AS10)</f>
        <v>34</v>
      </c>
      <c r="AU11" s="124">
        <f>IF($C11&gt;SRWC!$F$8,0,AT10)</f>
        <v>35</v>
      </c>
      <c r="AV11" s="124">
        <f>IF($C11&gt;SRWC!$F$8,0,AU10)</f>
        <v>36</v>
      </c>
    </row>
    <row r="12" spans="1:50" s="253" customFormat="1" ht="12.95" customHeight="1" x14ac:dyDescent="0.2">
      <c r="B12" s="14"/>
      <c r="C12" s="372">
        <v>6</v>
      </c>
      <c r="D12" s="372"/>
      <c r="E12" s="372"/>
      <c r="F12" s="253" t="s">
        <v>492</v>
      </c>
      <c r="G12" s="253" t="s">
        <v>4</v>
      </c>
      <c r="H12" s="124"/>
      <c r="I12" s="124"/>
      <c r="J12" s="124"/>
      <c r="K12" s="124"/>
      <c r="L12" s="124"/>
      <c r="M12" s="124"/>
      <c r="N12" s="124">
        <f>IF($C12&gt;SRWC!$F$8,0,M11)</f>
        <v>1</v>
      </c>
      <c r="O12" s="124">
        <f>IF($C12&gt;SRWC!$F$8,0,N11)</f>
        <v>2</v>
      </c>
      <c r="P12" s="124">
        <f>IF($C12&gt;SRWC!$F$8,0,O11)</f>
        <v>3</v>
      </c>
      <c r="Q12" s="124">
        <f>IF($C12&gt;SRWC!$F$8,0,P11)</f>
        <v>4</v>
      </c>
      <c r="R12" s="124">
        <f>IF($C12&gt;SRWC!$F$8,0,Q11)</f>
        <v>5</v>
      </c>
      <c r="S12" s="124">
        <f>IF($C12&gt;SRWC!$F$8,0,R11)</f>
        <v>6</v>
      </c>
      <c r="T12" s="124">
        <f>IF($C12&gt;SRWC!$F$8,0,S11)</f>
        <v>7</v>
      </c>
      <c r="U12" s="124">
        <f>IF($C12&gt;SRWC!$F$8,0,T11)</f>
        <v>8</v>
      </c>
      <c r="V12" s="124">
        <f>IF($C12&gt;SRWC!$F$8,0,U11)</f>
        <v>9</v>
      </c>
      <c r="W12" s="124">
        <f>IF($C12&gt;SRWC!$F$8,0,V11)</f>
        <v>10</v>
      </c>
      <c r="X12" s="124">
        <f>IF($C12&gt;SRWC!$F$8,0,W11)</f>
        <v>11</v>
      </c>
      <c r="Y12" s="124">
        <f>IF($C12&gt;SRWC!$F$8,0,X11)</f>
        <v>12</v>
      </c>
      <c r="Z12" s="124">
        <f>IF($C12&gt;SRWC!$F$8,0,Y11)</f>
        <v>13</v>
      </c>
      <c r="AA12" s="124">
        <f>IF($C12&gt;SRWC!$F$8,0,Z11)</f>
        <v>14</v>
      </c>
      <c r="AB12" s="124">
        <f>IF($C12&gt;SRWC!$F$8,0,AA11)</f>
        <v>15</v>
      </c>
      <c r="AC12" s="124">
        <f>IF($C12&gt;SRWC!$F$8,0,AB11)</f>
        <v>16</v>
      </c>
      <c r="AD12" s="124">
        <f>IF($C12&gt;SRWC!$F$8,0,AC11)</f>
        <v>17</v>
      </c>
      <c r="AE12" s="124">
        <f>IF($C12&gt;SRWC!$F$8,0,AD11)</f>
        <v>18</v>
      </c>
      <c r="AF12" s="124">
        <f>IF($C12&gt;SRWC!$F$8,0,AE11)</f>
        <v>19</v>
      </c>
      <c r="AG12" s="124">
        <f>IF($C12&gt;SRWC!$F$8,0,AF11)</f>
        <v>20</v>
      </c>
      <c r="AH12" s="124">
        <f>IF($C12&gt;SRWC!$F$8,0,AG11)</f>
        <v>21</v>
      </c>
      <c r="AI12" s="124">
        <f>IF($C12&gt;SRWC!$F$8,0,AH11)</f>
        <v>22</v>
      </c>
      <c r="AJ12" s="124">
        <f>IF($C12&gt;SRWC!$F$8,0,AI11)</f>
        <v>23</v>
      </c>
      <c r="AK12" s="124">
        <f>IF($C12&gt;SRWC!$F$8,0,AJ11)</f>
        <v>24</v>
      </c>
      <c r="AL12" s="124">
        <f>IF($C12&gt;SRWC!$F$8,0,AK11)</f>
        <v>25</v>
      </c>
      <c r="AM12" s="124">
        <f>IF($C12&gt;SRWC!$F$8,0,AL11)</f>
        <v>26</v>
      </c>
      <c r="AN12" s="124">
        <f>IF($C12&gt;SRWC!$F$8,0,AM11)</f>
        <v>27</v>
      </c>
      <c r="AO12" s="124">
        <f>IF($C12&gt;SRWC!$F$8,0,AN11)</f>
        <v>28</v>
      </c>
      <c r="AP12" s="124">
        <f>IF($C12&gt;SRWC!$F$8,0,AO11)</f>
        <v>29</v>
      </c>
      <c r="AQ12" s="124">
        <f>IF($C12&gt;SRWC!$F$8,0,AP11)</f>
        <v>30</v>
      </c>
      <c r="AR12" s="124">
        <f>IF($C12&gt;SRWC!$F$8,0,AQ11)</f>
        <v>31</v>
      </c>
      <c r="AS12" s="124">
        <f>IF($C12&gt;SRWC!$F$8,0,AR11)</f>
        <v>32</v>
      </c>
      <c r="AT12" s="124">
        <f>IF($C12&gt;SRWC!$F$8,0,AS11)</f>
        <v>33</v>
      </c>
      <c r="AU12" s="124">
        <f>IF($C12&gt;SRWC!$F$8,0,AT11)</f>
        <v>34</v>
      </c>
      <c r="AV12" s="124">
        <f>IF($C12&gt;SRWC!$F$8,0,AU11)</f>
        <v>35</v>
      </c>
    </row>
    <row r="13" spans="1:50" s="253" customFormat="1" ht="12.95" customHeight="1" x14ac:dyDescent="0.2">
      <c r="B13" s="14"/>
      <c r="C13" s="372">
        <v>7</v>
      </c>
      <c r="D13" s="372"/>
      <c r="E13" s="372"/>
      <c r="F13" s="253" t="s">
        <v>492</v>
      </c>
      <c r="G13" s="253" t="s">
        <v>4</v>
      </c>
      <c r="H13" s="124"/>
      <c r="I13" s="124"/>
      <c r="J13" s="124"/>
      <c r="K13" s="124"/>
      <c r="L13" s="124"/>
      <c r="M13" s="124"/>
      <c r="N13" s="124"/>
      <c r="O13" s="124">
        <f>IF($C13&gt;SRWC!$F$8,0,N12)</f>
        <v>0</v>
      </c>
      <c r="P13" s="124">
        <f>IF($C13&gt;SRWC!$F$8,0,O12)</f>
        <v>0</v>
      </c>
      <c r="Q13" s="124">
        <f>IF($C13&gt;SRWC!$F$8,0,P12)</f>
        <v>0</v>
      </c>
      <c r="R13" s="124">
        <f>IF($C13&gt;SRWC!$F$8,0,Q12)</f>
        <v>0</v>
      </c>
      <c r="S13" s="124">
        <f>IF($C13&gt;SRWC!$F$8,0,R12)</f>
        <v>0</v>
      </c>
      <c r="T13" s="124">
        <f>IF($C13&gt;SRWC!$F$8,0,S12)</f>
        <v>0</v>
      </c>
      <c r="U13" s="124">
        <f>IF($C13&gt;SRWC!$F$8,0,T12)</f>
        <v>0</v>
      </c>
      <c r="V13" s="124">
        <f>IF($C13&gt;SRWC!$F$8,0,U12)</f>
        <v>0</v>
      </c>
      <c r="W13" s="124">
        <f>IF($C13&gt;SRWC!$F$8,0,V12)</f>
        <v>0</v>
      </c>
      <c r="X13" s="124">
        <f>IF($C13&gt;SRWC!$F$8,0,W12)</f>
        <v>0</v>
      </c>
      <c r="Y13" s="124">
        <f>IF($C13&gt;SRWC!$F$8,0,X12)</f>
        <v>0</v>
      </c>
      <c r="Z13" s="124">
        <f>IF($C13&gt;SRWC!$F$8,0,Y12)</f>
        <v>0</v>
      </c>
      <c r="AA13" s="124">
        <f>IF($C13&gt;SRWC!$F$8,0,Z12)</f>
        <v>0</v>
      </c>
      <c r="AB13" s="124">
        <f>IF($C13&gt;SRWC!$F$8,0,AA12)</f>
        <v>0</v>
      </c>
      <c r="AC13" s="124">
        <f>IF($C13&gt;SRWC!$F$8,0,AB12)</f>
        <v>0</v>
      </c>
      <c r="AD13" s="124">
        <f>IF($C13&gt;SRWC!$F$8,0,AC12)</f>
        <v>0</v>
      </c>
      <c r="AE13" s="124">
        <f>IF($C13&gt;SRWC!$F$8,0,AD12)</f>
        <v>0</v>
      </c>
      <c r="AF13" s="124">
        <f>IF($C13&gt;SRWC!$F$8,0,AE12)</f>
        <v>0</v>
      </c>
      <c r="AG13" s="124">
        <f>IF($C13&gt;SRWC!$F$8,0,AF12)</f>
        <v>0</v>
      </c>
      <c r="AH13" s="124">
        <f>IF($C13&gt;SRWC!$F$8,0,AG12)</f>
        <v>0</v>
      </c>
      <c r="AI13" s="124">
        <f>IF($C13&gt;SRWC!$F$8,0,AH12)</f>
        <v>0</v>
      </c>
      <c r="AJ13" s="124">
        <f>IF($C13&gt;SRWC!$F$8,0,AI12)</f>
        <v>0</v>
      </c>
      <c r="AK13" s="124">
        <f>IF($C13&gt;SRWC!$F$8,0,AJ12)</f>
        <v>0</v>
      </c>
      <c r="AL13" s="124">
        <f>IF($C13&gt;SRWC!$F$8,0,AK12)</f>
        <v>0</v>
      </c>
      <c r="AM13" s="124">
        <f>IF($C13&gt;SRWC!$F$8,0,AL12)</f>
        <v>0</v>
      </c>
      <c r="AN13" s="124">
        <f>IF($C13&gt;SRWC!$F$8,0,AM12)</f>
        <v>0</v>
      </c>
      <c r="AO13" s="124">
        <f>IF($C13&gt;SRWC!$F$8,0,AN12)</f>
        <v>0</v>
      </c>
      <c r="AP13" s="124">
        <f>IF($C13&gt;SRWC!$F$8,0,AO12)</f>
        <v>0</v>
      </c>
      <c r="AQ13" s="124">
        <f>IF($C13&gt;SRWC!$F$8,0,AP12)</f>
        <v>0</v>
      </c>
      <c r="AR13" s="124">
        <f>IF($C13&gt;SRWC!$F$8,0,AQ12)</f>
        <v>0</v>
      </c>
      <c r="AS13" s="124">
        <f>IF($C13&gt;SRWC!$F$8,0,AR12)</f>
        <v>0</v>
      </c>
      <c r="AT13" s="124">
        <f>IF($C13&gt;SRWC!$F$8,0,AS12)</f>
        <v>0</v>
      </c>
      <c r="AU13" s="124">
        <f>IF($C13&gt;SRWC!$F$8,0,AT12)</f>
        <v>0</v>
      </c>
      <c r="AV13" s="124">
        <f>IF($C13&gt;SRWC!$F$8,0,AU12)</f>
        <v>0</v>
      </c>
    </row>
    <row r="14" spans="1:50" s="253" customFormat="1" ht="12.95" customHeight="1" x14ac:dyDescent="0.2">
      <c r="B14" s="14"/>
      <c r="C14" s="372">
        <v>8</v>
      </c>
      <c r="D14" s="372"/>
      <c r="E14" s="372"/>
      <c r="F14" s="253" t="s">
        <v>492</v>
      </c>
      <c r="G14" s="253" t="s">
        <v>4</v>
      </c>
      <c r="H14" s="124"/>
      <c r="I14" s="124"/>
      <c r="J14" s="124"/>
      <c r="K14" s="124"/>
      <c r="L14" s="124"/>
      <c r="M14" s="124"/>
      <c r="N14" s="124"/>
      <c r="O14" s="124"/>
      <c r="P14" s="124">
        <f>IF($C14&gt;SRWC!$F$8,0,O13)</f>
        <v>0</v>
      </c>
      <c r="Q14" s="124">
        <f>IF($C14&gt;SRWC!$F$8,0,P13)</f>
        <v>0</v>
      </c>
      <c r="R14" s="124">
        <f>IF($C14&gt;SRWC!$F$8,0,Q13)</f>
        <v>0</v>
      </c>
      <c r="S14" s="124">
        <f>IF($C14&gt;SRWC!$F$8,0,R13)</f>
        <v>0</v>
      </c>
      <c r="T14" s="124">
        <f>IF($C14&gt;SRWC!$F$8,0,S13)</f>
        <v>0</v>
      </c>
      <c r="U14" s="124">
        <f>IF($C14&gt;SRWC!$F$8,0,T13)</f>
        <v>0</v>
      </c>
      <c r="V14" s="124">
        <f>IF($C14&gt;SRWC!$F$8,0,U13)</f>
        <v>0</v>
      </c>
      <c r="W14" s="124">
        <f>IF($C14&gt;SRWC!$F$8,0,V13)</f>
        <v>0</v>
      </c>
      <c r="X14" s="124">
        <f>IF($C14&gt;SRWC!$F$8,0,W13)</f>
        <v>0</v>
      </c>
      <c r="Y14" s="124">
        <f>IF($C14&gt;SRWC!$F$8,0,X13)</f>
        <v>0</v>
      </c>
      <c r="Z14" s="124">
        <f>IF($C14&gt;SRWC!$F$8,0,Y13)</f>
        <v>0</v>
      </c>
      <c r="AA14" s="124">
        <f>IF($C14&gt;SRWC!$F$8,0,Z13)</f>
        <v>0</v>
      </c>
      <c r="AB14" s="124">
        <f>IF($C14&gt;SRWC!$F$8,0,AA13)</f>
        <v>0</v>
      </c>
      <c r="AC14" s="124">
        <f>IF($C14&gt;SRWC!$F$8,0,AB13)</f>
        <v>0</v>
      </c>
      <c r="AD14" s="124">
        <f>IF($C14&gt;SRWC!$F$8,0,AC13)</f>
        <v>0</v>
      </c>
      <c r="AE14" s="124">
        <f>IF($C14&gt;SRWC!$F$8,0,AD13)</f>
        <v>0</v>
      </c>
      <c r="AF14" s="124">
        <f>IF($C14&gt;SRWC!$F$8,0,AE13)</f>
        <v>0</v>
      </c>
      <c r="AG14" s="124">
        <f>IF($C14&gt;SRWC!$F$8,0,AF13)</f>
        <v>0</v>
      </c>
      <c r="AH14" s="124">
        <f>IF($C14&gt;SRWC!$F$8,0,AG13)</f>
        <v>0</v>
      </c>
      <c r="AI14" s="124">
        <f>IF($C14&gt;SRWC!$F$8,0,AH13)</f>
        <v>0</v>
      </c>
      <c r="AJ14" s="124">
        <f>IF($C14&gt;SRWC!$F$8,0,AI13)</f>
        <v>0</v>
      </c>
      <c r="AK14" s="124">
        <f>IF($C14&gt;SRWC!$F$8,0,AJ13)</f>
        <v>0</v>
      </c>
      <c r="AL14" s="124">
        <f>IF($C14&gt;SRWC!$F$8,0,AK13)</f>
        <v>0</v>
      </c>
      <c r="AM14" s="124">
        <f>IF($C14&gt;SRWC!$F$8,0,AL13)</f>
        <v>0</v>
      </c>
      <c r="AN14" s="124">
        <f>IF($C14&gt;SRWC!$F$8,0,AM13)</f>
        <v>0</v>
      </c>
      <c r="AO14" s="124">
        <f>IF($C14&gt;SRWC!$F$8,0,AN13)</f>
        <v>0</v>
      </c>
      <c r="AP14" s="124">
        <f>IF($C14&gt;SRWC!$F$8,0,AO13)</f>
        <v>0</v>
      </c>
      <c r="AQ14" s="124">
        <f>IF($C14&gt;SRWC!$F$8,0,AP13)</f>
        <v>0</v>
      </c>
      <c r="AR14" s="124">
        <f>IF($C14&gt;SRWC!$F$8,0,AQ13)</f>
        <v>0</v>
      </c>
      <c r="AS14" s="124">
        <f>IF($C14&gt;SRWC!$F$8,0,AR13)</f>
        <v>0</v>
      </c>
      <c r="AT14" s="124">
        <f>IF($C14&gt;SRWC!$F$8,0,AS13)</f>
        <v>0</v>
      </c>
      <c r="AU14" s="124">
        <f>IF($C14&gt;SRWC!$F$8,0,AT13)</f>
        <v>0</v>
      </c>
      <c r="AV14" s="124">
        <f>IF($C14&gt;SRWC!$F$8,0,AU13)</f>
        <v>0</v>
      </c>
    </row>
    <row r="15" spans="1:50" s="253" customFormat="1" ht="12.95" customHeight="1" x14ac:dyDescent="0.2">
      <c r="B15" s="14"/>
      <c r="C15" s="372">
        <v>9</v>
      </c>
      <c r="D15" s="372"/>
      <c r="E15" s="372"/>
      <c r="F15" s="253" t="s">
        <v>492</v>
      </c>
      <c r="G15" s="253" t="s">
        <v>4</v>
      </c>
      <c r="H15" s="124"/>
      <c r="I15" s="124"/>
      <c r="J15" s="124"/>
      <c r="K15" s="124"/>
      <c r="L15" s="124"/>
      <c r="M15" s="124"/>
      <c r="N15" s="124"/>
      <c r="O15" s="124"/>
      <c r="P15" s="124"/>
      <c r="Q15" s="124">
        <f>IF($C15&gt;SRWC!$F$8,0,P14)</f>
        <v>0</v>
      </c>
      <c r="R15" s="124">
        <f>IF($C15&gt;SRWC!$F$8,0,Q14)</f>
        <v>0</v>
      </c>
      <c r="S15" s="124">
        <f>IF($C15&gt;SRWC!$F$8,0,R14)</f>
        <v>0</v>
      </c>
      <c r="T15" s="124">
        <f>IF($C15&gt;SRWC!$F$8,0,S14)</f>
        <v>0</v>
      </c>
      <c r="U15" s="124">
        <f>IF($C15&gt;SRWC!$F$8,0,T14)</f>
        <v>0</v>
      </c>
      <c r="V15" s="124">
        <f>IF($C15&gt;SRWC!$F$8,0,U14)</f>
        <v>0</v>
      </c>
      <c r="W15" s="124">
        <f>IF($C15&gt;SRWC!$F$8,0,V14)</f>
        <v>0</v>
      </c>
      <c r="X15" s="124">
        <f>IF($C15&gt;SRWC!$F$8,0,W14)</f>
        <v>0</v>
      </c>
      <c r="Y15" s="124">
        <f>IF($C15&gt;SRWC!$F$8,0,X14)</f>
        <v>0</v>
      </c>
      <c r="Z15" s="124">
        <f>IF($C15&gt;SRWC!$F$8,0,Y14)</f>
        <v>0</v>
      </c>
      <c r="AA15" s="124">
        <f>IF($C15&gt;SRWC!$F$8,0,Z14)</f>
        <v>0</v>
      </c>
      <c r="AB15" s="124">
        <f>IF($C15&gt;SRWC!$F$8,0,AA14)</f>
        <v>0</v>
      </c>
      <c r="AC15" s="124">
        <f>IF($C15&gt;SRWC!$F$8,0,AB14)</f>
        <v>0</v>
      </c>
      <c r="AD15" s="124">
        <f>IF($C15&gt;SRWC!$F$8,0,AC14)</f>
        <v>0</v>
      </c>
      <c r="AE15" s="124">
        <f>IF($C15&gt;SRWC!$F$8,0,AD14)</f>
        <v>0</v>
      </c>
      <c r="AF15" s="124">
        <f>IF($C15&gt;SRWC!$F$8,0,AE14)</f>
        <v>0</v>
      </c>
      <c r="AG15" s="124">
        <f>IF($C15&gt;SRWC!$F$8,0,AF14)</f>
        <v>0</v>
      </c>
      <c r="AH15" s="124">
        <f>IF($C15&gt;SRWC!$F$8,0,AG14)</f>
        <v>0</v>
      </c>
      <c r="AI15" s="124">
        <f>IF($C15&gt;SRWC!$F$8,0,AH14)</f>
        <v>0</v>
      </c>
      <c r="AJ15" s="124">
        <f>IF($C15&gt;SRWC!$F$8,0,AI14)</f>
        <v>0</v>
      </c>
      <c r="AK15" s="124">
        <f>IF($C15&gt;SRWC!$F$8,0,AJ14)</f>
        <v>0</v>
      </c>
      <c r="AL15" s="124">
        <f>IF($C15&gt;SRWC!$F$8,0,AK14)</f>
        <v>0</v>
      </c>
      <c r="AM15" s="124">
        <f>IF($C15&gt;SRWC!$F$8,0,AL14)</f>
        <v>0</v>
      </c>
      <c r="AN15" s="124">
        <f>IF($C15&gt;SRWC!$F$8,0,AM14)</f>
        <v>0</v>
      </c>
      <c r="AO15" s="124">
        <f>IF($C15&gt;SRWC!$F$8,0,AN14)</f>
        <v>0</v>
      </c>
      <c r="AP15" s="124">
        <f>IF($C15&gt;SRWC!$F$8,0,AO14)</f>
        <v>0</v>
      </c>
      <c r="AQ15" s="124">
        <f>IF($C15&gt;SRWC!$F$8,0,AP14)</f>
        <v>0</v>
      </c>
      <c r="AR15" s="124">
        <f>IF($C15&gt;SRWC!$F$8,0,AQ14)</f>
        <v>0</v>
      </c>
      <c r="AS15" s="124">
        <f>IF($C15&gt;SRWC!$F$8,0,AR14)</f>
        <v>0</v>
      </c>
      <c r="AT15" s="124">
        <f>IF($C15&gt;SRWC!$F$8,0,AS14)</f>
        <v>0</v>
      </c>
      <c r="AU15" s="124">
        <f>IF($C15&gt;SRWC!$F$8,0,AT14)</f>
        <v>0</v>
      </c>
      <c r="AV15" s="124">
        <f>IF($C15&gt;SRWC!$F$8,0,AU14)</f>
        <v>0</v>
      </c>
    </row>
    <row r="16" spans="1:50" s="253" customFormat="1" ht="12.95" customHeight="1" x14ac:dyDescent="0.2">
      <c r="B16" s="14"/>
      <c r="C16" s="372">
        <v>10</v>
      </c>
      <c r="D16" s="372"/>
      <c r="E16" s="372"/>
      <c r="F16" s="253" t="s">
        <v>492</v>
      </c>
      <c r="G16" s="253" t="s">
        <v>4</v>
      </c>
      <c r="H16" s="124"/>
      <c r="I16" s="124"/>
      <c r="J16" s="124"/>
      <c r="K16" s="124"/>
      <c r="L16" s="124"/>
      <c r="M16" s="124"/>
      <c r="N16" s="124"/>
      <c r="O16" s="124"/>
      <c r="P16" s="124"/>
      <c r="Q16" s="124"/>
      <c r="R16" s="124">
        <f>IF($C16&gt;SRWC!$F$8,0,Q15)</f>
        <v>0</v>
      </c>
      <c r="S16" s="124">
        <f>IF($C16&gt;SRWC!$F$8,0,R15)</f>
        <v>0</v>
      </c>
      <c r="T16" s="124">
        <f>IF($C16&gt;SRWC!$F$8,0,S15)</f>
        <v>0</v>
      </c>
      <c r="U16" s="124">
        <f>IF($C16&gt;SRWC!$F$8,0,T15)</f>
        <v>0</v>
      </c>
      <c r="V16" s="124">
        <f>IF($C16&gt;SRWC!$F$8,0,U15)</f>
        <v>0</v>
      </c>
      <c r="W16" s="124">
        <f>IF($C16&gt;SRWC!$F$8,0,V15)</f>
        <v>0</v>
      </c>
      <c r="X16" s="124">
        <f>IF($C16&gt;SRWC!$F$8,0,W15)</f>
        <v>0</v>
      </c>
      <c r="Y16" s="124">
        <f>IF($C16&gt;SRWC!$F$8,0,X15)</f>
        <v>0</v>
      </c>
      <c r="Z16" s="124">
        <f>IF($C16&gt;SRWC!$F$8,0,Y15)</f>
        <v>0</v>
      </c>
      <c r="AA16" s="124">
        <f>IF($C16&gt;SRWC!$F$8,0,Z15)</f>
        <v>0</v>
      </c>
      <c r="AB16" s="124">
        <f>IF($C16&gt;SRWC!$F$8,0,AA15)</f>
        <v>0</v>
      </c>
      <c r="AC16" s="124">
        <f>IF($C16&gt;SRWC!$F$8,0,AB15)</f>
        <v>0</v>
      </c>
      <c r="AD16" s="124">
        <f>IF($C16&gt;SRWC!$F$8,0,AC15)</f>
        <v>0</v>
      </c>
      <c r="AE16" s="124">
        <f>IF($C16&gt;SRWC!$F$8,0,AD15)</f>
        <v>0</v>
      </c>
      <c r="AF16" s="124">
        <f>IF($C16&gt;SRWC!$F$8,0,AE15)</f>
        <v>0</v>
      </c>
      <c r="AG16" s="124">
        <f>IF($C16&gt;SRWC!$F$8,0,AF15)</f>
        <v>0</v>
      </c>
      <c r="AH16" s="124">
        <f>IF($C16&gt;SRWC!$F$8,0,AG15)</f>
        <v>0</v>
      </c>
      <c r="AI16" s="124">
        <f>IF($C16&gt;SRWC!$F$8,0,AH15)</f>
        <v>0</v>
      </c>
      <c r="AJ16" s="124">
        <f>IF($C16&gt;SRWC!$F$8,0,AI15)</f>
        <v>0</v>
      </c>
      <c r="AK16" s="124">
        <f>IF($C16&gt;SRWC!$F$8,0,AJ15)</f>
        <v>0</v>
      </c>
      <c r="AL16" s="124">
        <f>IF($C16&gt;SRWC!$F$8,0,AK15)</f>
        <v>0</v>
      </c>
      <c r="AM16" s="124">
        <f>IF($C16&gt;SRWC!$F$8,0,AL15)</f>
        <v>0</v>
      </c>
      <c r="AN16" s="124">
        <f>IF($C16&gt;SRWC!$F$8,0,AM15)</f>
        <v>0</v>
      </c>
      <c r="AO16" s="124">
        <f>IF($C16&gt;SRWC!$F$8,0,AN15)</f>
        <v>0</v>
      </c>
      <c r="AP16" s="124">
        <f>IF($C16&gt;SRWC!$F$8,0,AO15)</f>
        <v>0</v>
      </c>
      <c r="AQ16" s="124">
        <f>IF($C16&gt;SRWC!$F$8,0,AP15)</f>
        <v>0</v>
      </c>
      <c r="AR16" s="124">
        <f>IF($C16&gt;SRWC!$F$8,0,AQ15)</f>
        <v>0</v>
      </c>
      <c r="AS16" s="124">
        <f>IF($C16&gt;SRWC!$F$8,0,AR15)</f>
        <v>0</v>
      </c>
      <c r="AT16" s="124">
        <f>IF($C16&gt;SRWC!$F$8,0,AS15)</f>
        <v>0</v>
      </c>
      <c r="AU16" s="124">
        <f>IF($C16&gt;SRWC!$F$8,0,AT15)</f>
        <v>0</v>
      </c>
      <c r="AV16" s="124">
        <f>IF($C16&gt;SRWC!$F$8,0,AU15)</f>
        <v>0</v>
      </c>
    </row>
    <row r="17" spans="2:48" s="253" customFormat="1" ht="12.95" customHeight="1" x14ac:dyDescent="0.2">
      <c r="B17" s="14" t="s">
        <v>912</v>
      </c>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row>
    <row r="18" spans="2:48" s="253" customFormat="1" ht="12.95" customHeight="1" x14ac:dyDescent="0.2">
      <c r="B18" s="14"/>
      <c r="C18" s="372">
        <v>1</v>
      </c>
      <c r="D18" s="372"/>
      <c r="E18" s="372"/>
      <c r="F18" s="253" t="s">
        <v>492</v>
      </c>
      <c r="G18" s="253" t="s">
        <v>395</v>
      </c>
      <c r="H18" s="277"/>
      <c r="I18" s="277">
        <f t="shared" ref="I18:AV18" si="1">HLOOKUP(I7,t_growth,6)</f>
        <v>1.3801503036642727E-2</v>
      </c>
      <c r="J18" s="277">
        <f t="shared" si="1"/>
        <v>0.10250810373022921</v>
      </c>
      <c r="K18" s="277">
        <f t="shared" si="1"/>
        <v>0.32140060564134304</v>
      </c>
      <c r="L18" s="277">
        <f t="shared" si="1"/>
        <v>0.70819088008020181</v>
      </c>
      <c r="M18" s="277">
        <f t="shared" si="1"/>
        <v>1.2865903014343147</v>
      </c>
      <c r="N18" s="277">
        <f t="shared" si="1"/>
        <v>2.0692648651289542</v>
      </c>
      <c r="O18" s="277">
        <f t="shared" si="1"/>
        <v>3.0602740346849182</v>
      </c>
      <c r="P18" s="277">
        <f t="shared" si="1"/>
        <v>4.2570757029793187</v>
      </c>
      <c r="Q18" s="277">
        <f t="shared" si="1"/>
        <v>5.6521671458405169</v>
      </c>
      <c r="R18" s="277">
        <f t="shared" si="1"/>
        <v>7.2344211823897746</v>
      </c>
      <c r="S18" s="277">
        <f t="shared" si="1"/>
        <v>8.9901676693851371</v>
      </c>
      <c r="T18" s="277">
        <f t="shared" si="1"/>
        <v>10.904062717666822</v>
      </c>
      <c r="U18" s="277">
        <f t="shared" si="1"/>
        <v>12.959781431811036</v>
      </c>
      <c r="V18" s="277">
        <f t="shared" si="1"/>
        <v>15.140564371508987</v>
      </c>
      <c r="W18" s="277">
        <f t="shared" si="1"/>
        <v>17.4296431713258</v>
      </c>
      <c r="X18" s="277">
        <f t="shared" si="1"/>
        <v>19.810566711342741</v>
      </c>
      <c r="Y18" s="277">
        <f t="shared" si="1"/>
        <v>22.267445799447479</v>
      </c>
      <c r="Z18" s="277">
        <f t="shared" si="1"/>
        <v>24.785131416603353</v>
      </c>
      <c r="AA18" s="277">
        <f t="shared" si="1"/>
        <v>27.349339112214277</v>
      </c>
      <c r="AB18" s="277">
        <f t="shared" si="1"/>
        <v>29.946730051786854</v>
      </c>
      <c r="AC18" s="277">
        <f t="shared" si="1"/>
        <v>32.564957457117195</v>
      </c>
      <c r="AD18" s="277">
        <f t="shared" si="1"/>
        <v>35.192685692036868</v>
      </c>
      <c r="AE18" s="277">
        <f t="shared" si="1"/>
        <v>37.819587993197999</v>
      </c>
      <c r="AF18" s="277">
        <f t="shared" si="1"/>
        <v>40.436327790332221</v>
      </c>
      <c r="AG18" s="277">
        <f t="shared" si="1"/>
        <v>43.034527673896086</v>
      </c>
      <c r="AH18" s="277">
        <f t="shared" si="1"/>
        <v>45.606729324439719</v>
      </c>
      <c r="AI18" s="277">
        <f t="shared" si="1"/>
        <v>48.146347095592041</v>
      </c>
      <c r="AJ18" s="277">
        <f t="shared" si="1"/>
        <v>50.647617422659295</v>
      </c>
      <c r="AK18" s="277">
        <f t="shared" si="1"/>
        <v>53.105545795652432</v>
      </c>
      <c r="AL18" s="277">
        <f t="shared" si="1"/>
        <v>55.515852675616792</v>
      </c>
      <c r="AM18" s="277">
        <f t="shared" si="1"/>
        <v>57.874919434974622</v>
      </c>
      <c r="AN18" s="277">
        <f t="shared" si="1"/>
        <v>60.179735156461923</v>
      </c>
      <c r="AO18" s="277">
        <f t="shared" si="1"/>
        <v>62.427844922873923</v>
      </c>
      <c r="AP18" s="277">
        <f t="shared" si="1"/>
        <v>64.617300064203548</v>
      </c>
      <c r="AQ18" s="277">
        <f t="shared" si="1"/>
        <v>66.746610693912174</v>
      </c>
      <c r="AR18" s="277">
        <f t="shared" si="1"/>
        <v>68.814700756968321</v>
      </c>
      <c r="AS18" s="277">
        <f t="shared" si="1"/>
        <v>70.820865724660678</v>
      </c>
      <c r="AT18" s="277">
        <f t="shared" si="1"/>
        <v>72.764733001429349</v>
      </c>
      <c r="AU18" s="277">
        <f t="shared" si="1"/>
        <v>74.646225054022594</v>
      </c>
      <c r="AV18" s="277">
        <f t="shared" si="1"/>
        <v>76.465525230604669</v>
      </c>
    </row>
    <row r="19" spans="2:48" s="253" customFormat="1" ht="12.95" customHeight="1" x14ac:dyDescent="0.2">
      <c r="B19" s="14"/>
      <c r="C19" s="372">
        <v>2</v>
      </c>
      <c r="D19" s="372"/>
      <c r="E19" s="372"/>
      <c r="F19" s="253" t="s">
        <v>492</v>
      </c>
      <c r="G19" s="253" t="s">
        <v>395</v>
      </c>
      <c r="H19" s="277"/>
      <c r="I19" s="277"/>
      <c r="J19" s="277">
        <f t="shared" ref="J19:AV19" si="2">HLOOKUP(J8,t_growth,6)</f>
        <v>1.3801503036642727E-2</v>
      </c>
      <c r="K19" s="277">
        <f t="shared" si="2"/>
        <v>0.10250810373022921</v>
      </c>
      <c r="L19" s="277">
        <f t="shared" si="2"/>
        <v>0.32140060564134304</v>
      </c>
      <c r="M19" s="277">
        <f t="shared" si="2"/>
        <v>0.70819088008020181</v>
      </c>
      <c r="N19" s="277">
        <f t="shared" si="2"/>
        <v>1.2865903014343147</v>
      </c>
      <c r="O19" s="277">
        <f t="shared" si="2"/>
        <v>2.0692648651289542</v>
      </c>
      <c r="P19" s="277">
        <f t="shared" si="2"/>
        <v>3.0602740346849182</v>
      </c>
      <c r="Q19" s="277">
        <f t="shared" si="2"/>
        <v>4.2570757029793187</v>
      </c>
      <c r="R19" s="277">
        <f t="shared" si="2"/>
        <v>5.6521671458405169</v>
      </c>
      <c r="S19" s="277">
        <f t="shared" si="2"/>
        <v>7.2344211823897746</v>
      </c>
      <c r="T19" s="277">
        <f t="shared" si="2"/>
        <v>8.9901676693851371</v>
      </c>
      <c r="U19" s="277">
        <f t="shared" si="2"/>
        <v>10.904062717666822</v>
      </c>
      <c r="V19" s="277">
        <f t="shared" si="2"/>
        <v>12.959781431811036</v>
      </c>
      <c r="W19" s="277">
        <f t="shared" si="2"/>
        <v>15.140564371508987</v>
      </c>
      <c r="X19" s="277">
        <f t="shared" si="2"/>
        <v>17.4296431713258</v>
      </c>
      <c r="Y19" s="277">
        <f t="shared" si="2"/>
        <v>19.810566711342741</v>
      </c>
      <c r="Z19" s="277">
        <f t="shared" si="2"/>
        <v>22.267445799447479</v>
      </c>
      <c r="AA19" s="277">
        <f t="shared" si="2"/>
        <v>24.785131416603353</v>
      </c>
      <c r="AB19" s="277">
        <f t="shared" si="2"/>
        <v>27.349339112214277</v>
      </c>
      <c r="AC19" s="277">
        <f t="shared" si="2"/>
        <v>29.946730051786854</v>
      </c>
      <c r="AD19" s="277">
        <f t="shared" si="2"/>
        <v>32.564957457117195</v>
      </c>
      <c r="AE19" s="277">
        <f t="shared" si="2"/>
        <v>35.192685692036868</v>
      </c>
      <c r="AF19" s="277">
        <f t="shared" si="2"/>
        <v>37.819587993197999</v>
      </c>
      <c r="AG19" s="277">
        <f t="shared" si="2"/>
        <v>40.436327790332221</v>
      </c>
      <c r="AH19" s="277">
        <f t="shared" si="2"/>
        <v>43.034527673896086</v>
      </c>
      <c r="AI19" s="277">
        <f t="shared" si="2"/>
        <v>45.606729324439719</v>
      </c>
      <c r="AJ19" s="277">
        <f t="shared" si="2"/>
        <v>48.146347095592041</v>
      </c>
      <c r="AK19" s="277">
        <f t="shared" si="2"/>
        <v>50.647617422659295</v>
      </c>
      <c r="AL19" s="277">
        <f t="shared" si="2"/>
        <v>53.105545795652432</v>
      </c>
      <c r="AM19" s="277">
        <f t="shared" si="2"/>
        <v>55.515852675616792</v>
      </c>
      <c r="AN19" s="277">
        <f t="shared" si="2"/>
        <v>57.874919434974622</v>
      </c>
      <c r="AO19" s="277">
        <f t="shared" si="2"/>
        <v>60.179735156461923</v>
      </c>
      <c r="AP19" s="277">
        <f t="shared" si="2"/>
        <v>62.427844922873923</v>
      </c>
      <c r="AQ19" s="277">
        <f t="shared" si="2"/>
        <v>64.617300064203548</v>
      </c>
      <c r="AR19" s="277">
        <f t="shared" si="2"/>
        <v>66.746610693912174</v>
      </c>
      <c r="AS19" s="277">
        <f t="shared" si="2"/>
        <v>68.814700756968321</v>
      </c>
      <c r="AT19" s="277">
        <f t="shared" si="2"/>
        <v>70.820865724660678</v>
      </c>
      <c r="AU19" s="277">
        <f t="shared" si="2"/>
        <v>72.764733001429349</v>
      </c>
      <c r="AV19" s="277">
        <f t="shared" si="2"/>
        <v>74.646225054022594</v>
      </c>
    </row>
    <row r="20" spans="2:48" s="253" customFormat="1" ht="12.95" customHeight="1" x14ac:dyDescent="0.2">
      <c r="B20" s="14"/>
      <c r="C20" s="372">
        <v>3</v>
      </c>
      <c r="D20" s="372"/>
      <c r="E20" s="372"/>
      <c r="F20" s="253" t="s">
        <v>492</v>
      </c>
      <c r="G20" s="253" t="s">
        <v>395</v>
      </c>
      <c r="H20" s="277"/>
      <c r="I20" s="277"/>
      <c r="J20" s="277"/>
      <c r="K20" s="277">
        <f t="shared" ref="K20:AV20" si="3">HLOOKUP(K9,t_growth,6)</f>
        <v>1.3801503036642727E-2</v>
      </c>
      <c r="L20" s="277">
        <f t="shared" si="3"/>
        <v>0.10250810373022921</v>
      </c>
      <c r="M20" s="277">
        <f t="shared" si="3"/>
        <v>0.32140060564134304</v>
      </c>
      <c r="N20" s="277">
        <f t="shared" si="3"/>
        <v>0.70819088008020181</v>
      </c>
      <c r="O20" s="277">
        <f t="shared" si="3"/>
        <v>1.2865903014343147</v>
      </c>
      <c r="P20" s="277">
        <f t="shared" si="3"/>
        <v>2.0692648651289542</v>
      </c>
      <c r="Q20" s="277">
        <f t="shared" si="3"/>
        <v>3.0602740346849182</v>
      </c>
      <c r="R20" s="277">
        <f t="shared" si="3"/>
        <v>4.2570757029793187</v>
      </c>
      <c r="S20" s="277">
        <f t="shared" si="3"/>
        <v>5.6521671458405169</v>
      </c>
      <c r="T20" s="277">
        <f t="shared" si="3"/>
        <v>7.2344211823897746</v>
      </c>
      <c r="U20" s="277">
        <f t="shared" si="3"/>
        <v>8.9901676693851371</v>
      </c>
      <c r="V20" s="277">
        <f t="shared" si="3"/>
        <v>10.904062717666822</v>
      </c>
      <c r="W20" s="277">
        <f t="shared" si="3"/>
        <v>12.959781431811036</v>
      </c>
      <c r="X20" s="277">
        <f t="shared" si="3"/>
        <v>15.140564371508987</v>
      </c>
      <c r="Y20" s="277">
        <f t="shared" si="3"/>
        <v>17.4296431713258</v>
      </c>
      <c r="Z20" s="277">
        <f t="shared" si="3"/>
        <v>19.810566711342741</v>
      </c>
      <c r="AA20" s="277">
        <f t="shared" si="3"/>
        <v>22.267445799447479</v>
      </c>
      <c r="AB20" s="277">
        <f t="shared" si="3"/>
        <v>24.785131416603353</v>
      </c>
      <c r="AC20" s="277">
        <f t="shared" si="3"/>
        <v>27.349339112214277</v>
      </c>
      <c r="AD20" s="277">
        <f t="shared" si="3"/>
        <v>29.946730051786854</v>
      </c>
      <c r="AE20" s="277">
        <f t="shared" si="3"/>
        <v>32.564957457117195</v>
      </c>
      <c r="AF20" s="277">
        <f t="shared" si="3"/>
        <v>35.192685692036868</v>
      </c>
      <c r="AG20" s="277">
        <f t="shared" si="3"/>
        <v>37.819587993197999</v>
      </c>
      <c r="AH20" s="277">
        <f t="shared" si="3"/>
        <v>40.436327790332221</v>
      </c>
      <c r="AI20" s="277">
        <f t="shared" si="3"/>
        <v>43.034527673896086</v>
      </c>
      <c r="AJ20" s="277">
        <f t="shared" si="3"/>
        <v>45.606729324439719</v>
      </c>
      <c r="AK20" s="277">
        <f t="shared" si="3"/>
        <v>48.146347095592041</v>
      </c>
      <c r="AL20" s="277">
        <f t="shared" si="3"/>
        <v>50.647617422659295</v>
      </c>
      <c r="AM20" s="277">
        <f t="shared" si="3"/>
        <v>53.105545795652432</v>
      </c>
      <c r="AN20" s="277">
        <f t="shared" si="3"/>
        <v>55.515852675616792</v>
      </c>
      <c r="AO20" s="277">
        <f t="shared" si="3"/>
        <v>57.874919434974622</v>
      </c>
      <c r="AP20" s="277">
        <f t="shared" si="3"/>
        <v>60.179735156461923</v>
      </c>
      <c r="AQ20" s="277">
        <f t="shared" si="3"/>
        <v>62.427844922873923</v>
      </c>
      <c r="AR20" s="277">
        <f t="shared" si="3"/>
        <v>64.617300064203548</v>
      </c>
      <c r="AS20" s="277">
        <f t="shared" si="3"/>
        <v>66.746610693912174</v>
      </c>
      <c r="AT20" s="277">
        <f t="shared" si="3"/>
        <v>68.814700756968321</v>
      </c>
      <c r="AU20" s="277">
        <f t="shared" si="3"/>
        <v>70.820865724660678</v>
      </c>
      <c r="AV20" s="277">
        <f t="shared" si="3"/>
        <v>72.764733001429349</v>
      </c>
    </row>
    <row r="21" spans="2:48" s="253" customFormat="1" ht="12.95" customHeight="1" x14ac:dyDescent="0.2">
      <c r="B21" s="14"/>
      <c r="C21" s="372">
        <v>4</v>
      </c>
      <c r="D21" s="372"/>
      <c r="E21" s="372"/>
      <c r="F21" s="253" t="s">
        <v>492</v>
      </c>
      <c r="G21" s="253" t="s">
        <v>395</v>
      </c>
      <c r="H21" s="277"/>
      <c r="I21" s="277"/>
      <c r="J21" s="277"/>
      <c r="K21" s="277"/>
      <c r="L21" s="277">
        <f t="shared" ref="L21:AV21" si="4">HLOOKUP(L10,t_growth,6)</f>
        <v>1.3801503036642727E-2</v>
      </c>
      <c r="M21" s="277">
        <f t="shared" si="4"/>
        <v>0.10250810373022921</v>
      </c>
      <c r="N21" s="277">
        <f t="shared" si="4"/>
        <v>0.32140060564134304</v>
      </c>
      <c r="O21" s="277">
        <f t="shared" si="4"/>
        <v>0.70819088008020181</v>
      </c>
      <c r="P21" s="277">
        <f t="shared" si="4"/>
        <v>1.2865903014343147</v>
      </c>
      <c r="Q21" s="277">
        <f t="shared" si="4"/>
        <v>2.0692648651289542</v>
      </c>
      <c r="R21" s="277">
        <f t="shared" si="4"/>
        <v>3.0602740346849182</v>
      </c>
      <c r="S21" s="277">
        <f t="shared" si="4"/>
        <v>4.2570757029793187</v>
      </c>
      <c r="T21" s="277">
        <f t="shared" si="4"/>
        <v>5.6521671458405169</v>
      </c>
      <c r="U21" s="277">
        <f t="shared" si="4"/>
        <v>7.2344211823897746</v>
      </c>
      <c r="V21" s="277">
        <f t="shared" si="4"/>
        <v>8.9901676693851371</v>
      </c>
      <c r="W21" s="277">
        <f t="shared" si="4"/>
        <v>10.904062717666822</v>
      </c>
      <c r="X21" s="277">
        <f t="shared" si="4"/>
        <v>12.959781431811036</v>
      </c>
      <c r="Y21" s="277">
        <f t="shared" si="4"/>
        <v>15.140564371508987</v>
      </c>
      <c r="Z21" s="277">
        <f t="shared" si="4"/>
        <v>17.4296431713258</v>
      </c>
      <c r="AA21" s="277">
        <f t="shared" si="4"/>
        <v>19.810566711342741</v>
      </c>
      <c r="AB21" s="277">
        <f t="shared" si="4"/>
        <v>22.267445799447479</v>
      </c>
      <c r="AC21" s="277">
        <f t="shared" si="4"/>
        <v>24.785131416603353</v>
      </c>
      <c r="AD21" s="277">
        <f t="shared" si="4"/>
        <v>27.349339112214277</v>
      </c>
      <c r="AE21" s="277">
        <f t="shared" si="4"/>
        <v>29.946730051786854</v>
      </c>
      <c r="AF21" s="277">
        <f t="shared" si="4"/>
        <v>32.564957457117195</v>
      </c>
      <c r="AG21" s="277">
        <f t="shared" si="4"/>
        <v>35.192685692036868</v>
      </c>
      <c r="AH21" s="277">
        <f t="shared" si="4"/>
        <v>37.819587993197999</v>
      </c>
      <c r="AI21" s="277">
        <f t="shared" si="4"/>
        <v>40.436327790332221</v>
      </c>
      <c r="AJ21" s="277">
        <f t="shared" si="4"/>
        <v>43.034527673896086</v>
      </c>
      <c r="AK21" s="277">
        <f t="shared" si="4"/>
        <v>45.606729324439719</v>
      </c>
      <c r="AL21" s="277">
        <f t="shared" si="4"/>
        <v>48.146347095592041</v>
      </c>
      <c r="AM21" s="277">
        <f t="shared" si="4"/>
        <v>50.647617422659295</v>
      </c>
      <c r="AN21" s="277">
        <f t="shared" si="4"/>
        <v>53.105545795652432</v>
      </c>
      <c r="AO21" s="277">
        <f t="shared" si="4"/>
        <v>55.515852675616792</v>
      </c>
      <c r="AP21" s="277">
        <f t="shared" si="4"/>
        <v>57.874919434974622</v>
      </c>
      <c r="AQ21" s="277">
        <f t="shared" si="4"/>
        <v>60.179735156461923</v>
      </c>
      <c r="AR21" s="277">
        <f t="shared" si="4"/>
        <v>62.427844922873923</v>
      </c>
      <c r="AS21" s="277">
        <f t="shared" si="4"/>
        <v>64.617300064203548</v>
      </c>
      <c r="AT21" s="277">
        <f t="shared" si="4"/>
        <v>66.746610693912174</v>
      </c>
      <c r="AU21" s="277">
        <f t="shared" si="4"/>
        <v>68.814700756968321</v>
      </c>
      <c r="AV21" s="277">
        <f t="shared" si="4"/>
        <v>70.820865724660678</v>
      </c>
    </row>
    <row r="22" spans="2:48" s="253" customFormat="1" ht="12.95" customHeight="1" x14ac:dyDescent="0.2">
      <c r="B22" s="14"/>
      <c r="C22" s="372">
        <v>5</v>
      </c>
      <c r="D22" s="372"/>
      <c r="E22" s="372"/>
      <c r="F22" s="253" t="s">
        <v>492</v>
      </c>
      <c r="G22" s="253" t="s">
        <v>395</v>
      </c>
      <c r="H22" s="277"/>
      <c r="I22" s="277"/>
      <c r="J22" s="277"/>
      <c r="K22" s="277"/>
      <c r="L22" s="277"/>
      <c r="M22" s="277">
        <f t="shared" ref="M22:AV22" si="5">HLOOKUP(M11,t_growth,6)</f>
        <v>1.3801503036642727E-2</v>
      </c>
      <c r="N22" s="277">
        <f t="shared" si="5"/>
        <v>0.10250810373022921</v>
      </c>
      <c r="O22" s="277">
        <f t="shared" si="5"/>
        <v>0.32140060564134304</v>
      </c>
      <c r="P22" s="277">
        <f t="shared" si="5"/>
        <v>0.70819088008020181</v>
      </c>
      <c r="Q22" s="277">
        <f t="shared" si="5"/>
        <v>1.2865903014343147</v>
      </c>
      <c r="R22" s="277">
        <f t="shared" si="5"/>
        <v>2.0692648651289542</v>
      </c>
      <c r="S22" s="277">
        <f t="shared" si="5"/>
        <v>3.0602740346849182</v>
      </c>
      <c r="T22" s="277">
        <f t="shared" si="5"/>
        <v>4.2570757029793187</v>
      </c>
      <c r="U22" s="277">
        <f t="shared" si="5"/>
        <v>5.6521671458405169</v>
      </c>
      <c r="V22" s="277">
        <f t="shared" si="5"/>
        <v>7.2344211823897746</v>
      </c>
      <c r="W22" s="277">
        <f t="shared" si="5"/>
        <v>8.9901676693851371</v>
      </c>
      <c r="X22" s="277">
        <f t="shared" si="5"/>
        <v>10.904062717666822</v>
      </c>
      <c r="Y22" s="277">
        <f t="shared" si="5"/>
        <v>12.959781431811036</v>
      </c>
      <c r="Z22" s="277">
        <f t="shared" si="5"/>
        <v>15.140564371508987</v>
      </c>
      <c r="AA22" s="277">
        <f t="shared" si="5"/>
        <v>17.4296431713258</v>
      </c>
      <c r="AB22" s="277">
        <f t="shared" si="5"/>
        <v>19.810566711342741</v>
      </c>
      <c r="AC22" s="277">
        <f t="shared" si="5"/>
        <v>22.267445799447479</v>
      </c>
      <c r="AD22" s="277">
        <f t="shared" si="5"/>
        <v>24.785131416603353</v>
      </c>
      <c r="AE22" s="277">
        <f t="shared" si="5"/>
        <v>27.349339112214277</v>
      </c>
      <c r="AF22" s="277">
        <f t="shared" si="5"/>
        <v>29.946730051786854</v>
      </c>
      <c r="AG22" s="277">
        <f t="shared" si="5"/>
        <v>32.564957457117195</v>
      </c>
      <c r="AH22" s="277">
        <f t="shared" si="5"/>
        <v>35.192685692036868</v>
      </c>
      <c r="AI22" s="277">
        <f t="shared" si="5"/>
        <v>37.819587993197999</v>
      </c>
      <c r="AJ22" s="277">
        <f t="shared" si="5"/>
        <v>40.436327790332221</v>
      </c>
      <c r="AK22" s="277">
        <f t="shared" si="5"/>
        <v>43.034527673896086</v>
      </c>
      <c r="AL22" s="277">
        <f t="shared" si="5"/>
        <v>45.606729324439719</v>
      </c>
      <c r="AM22" s="277">
        <f t="shared" si="5"/>
        <v>48.146347095592041</v>
      </c>
      <c r="AN22" s="277">
        <f t="shared" si="5"/>
        <v>50.647617422659295</v>
      </c>
      <c r="AO22" s="277">
        <f t="shared" si="5"/>
        <v>53.105545795652432</v>
      </c>
      <c r="AP22" s="277">
        <f t="shared" si="5"/>
        <v>55.515852675616792</v>
      </c>
      <c r="AQ22" s="277">
        <f t="shared" si="5"/>
        <v>57.874919434974622</v>
      </c>
      <c r="AR22" s="277">
        <f t="shared" si="5"/>
        <v>60.179735156461923</v>
      </c>
      <c r="AS22" s="277">
        <f t="shared" si="5"/>
        <v>62.427844922873923</v>
      </c>
      <c r="AT22" s="277">
        <f t="shared" si="5"/>
        <v>64.617300064203548</v>
      </c>
      <c r="AU22" s="277">
        <f t="shared" si="5"/>
        <v>66.746610693912174</v>
      </c>
      <c r="AV22" s="277">
        <f t="shared" si="5"/>
        <v>68.814700756968321</v>
      </c>
    </row>
    <row r="23" spans="2:48" s="253" customFormat="1" ht="12.95" customHeight="1" x14ac:dyDescent="0.2">
      <c r="B23" s="14"/>
      <c r="C23" s="372">
        <v>6</v>
      </c>
      <c r="D23" s="372"/>
      <c r="E23" s="372"/>
      <c r="F23" s="253" t="s">
        <v>492</v>
      </c>
      <c r="G23" s="253" t="s">
        <v>395</v>
      </c>
      <c r="H23" s="277"/>
      <c r="I23" s="277"/>
      <c r="J23" s="277"/>
      <c r="K23" s="277"/>
      <c r="L23" s="277"/>
      <c r="M23" s="277"/>
      <c r="N23" s="277">
        <f t="shared" ref="N23:AV23" si="6">HLOOKUP(N12,t_growth,6)</f>
        <v>1.3801503036642727E-2</v>
      </c>
      <c r="O23" s="277">
        <f t="shared" si="6"/>
        <v>0.10250810373022921</v>
      </c>
      <c r="P23" s="277">
        <f t="shared" si="6"/>
        <v>0.32140060564134304</v>
      </c>
      <c r="Q23" s="277">
        <f t="shared" si="6"/>
        <v>0.70819088008020181</v>
      </c>
      <c r="R23" s="277">
        <f t="shared" si="6"/>
        <v>1.2865903014343147</v>
      </c>
      <c r="S23" s="277">
        <f t="shared" si="6"/>
        <v>2.0692648651289542</v>
      </c>
      <c r="T23" s="277">
        <f t="shared" si="6"/>
        <v>3.0602740346849182</v>
      </c>
      <c r="U23" s="277">
        <f t="shared" si="6"/>
        <v>4.2570757029793187</v>
      </c>
      <c r="V23" s="277">
        <f t="shared" si="6"/>
        <v>5.6521671458405169</v>
      </c>
      <c r="W23" s="277">
        <f t="shared" si="6"/>
        <v>7.2344211823897746</v>
      </c>
      <c r="X23" s="277">
        <f t="shared" si="6"/>
        <v>8.9901676693851371</v>
      </c>
      <c r="Y23" s="277">
        <f t="shared" si="6"/>
        <v>10.904062717666822</v>
      </c>
      <c r="Z23" s="277">
        <f t="shared" si="6"/>
        <v>12.959781431811036</v>
      </c>
      <c r="AA23" s="277">
        <f t="shared" si="6"/>
        <v>15.140564371508987</v>
      </c>
      <c r="AB23" s="277">
        <f t="shared" si="6"/>
        <v>17.4296431713258</v>
      </c>
      <c r="AC23" s="277">
        <f t="shared" si="6"/>
        <v>19.810566711342741</v>
      </c>
      <c r="AD23" s="277">
        <f t="shared" si="6"/>
        <v>22.267445799447479</v>
      </c>
      <c r="AE23" s="277">
        <f t="shared" si="6"/>
        <v>24.785131416603353</v>
      </c>
      <c r="AF23" s="277">
        <f t="shared" si="6"/>
        <v>27.349339112214277</v>
      </c>
      <c r="AG23" s="277">
        <f t="shared" si="6"/>
        <v>29.946730051786854</v>
      </c>
      <c r="AH23" s="277">
        <f t="shared" si="6"/>
        <v>32.564957457117195</v>
      </c>
      <c r="AI23" s="277">
        <f t="shared" si="6"/>
        <v>35.192685692036868</v>
      </c>
      <c r="AJ23" s="277">
        <f t="shared" si="6"/>
        <v>37.819587993197999</v>
      </c>
      <c r="AK23" s="277">
        <f t="shared" si="6"/>
        <v>40.436327790332221</v>
      </c>
      <c r="AL23" s="277">
        <f t="shared" si="6"/>
        <v>43.034527673896086</v>
      </c>
      <c r="AM23" s="277">
        <f t="shared" si="6"/>
        <v>45.606729324439719</v>
      </c>
      <c r="AN23" s="277">
        <f t="shared" si="6"/>
        <v>48.146347095592041</v>
      </c>
      <c r="AO23" s="277">
        <f t="shared" si="6"/>
        <v>50.647617422659295</v>
      </c>
      <c r="AP23" s="277">
        <f t="shared" si="6"/>
        <v>53.105545795652432</v>
      </c>
      <c r="AQ23" s="277">
        <f t="shared" si="6"/>
        <v>55.515852675616792</v>
      </c>
      <c r="AR23" s="277">
        <f t="shared" si="6"/>
        <v>57.874919434974622</v>
      </c>
      <c r="AS23" s="277">
        <f t="shared" si="6"/>
        <v>60.179735156461923</v>
      </c>
      <c r="AT23" s="277">
        <f t="shared" si="6"/>
        <v>62.427844922873923</v>
      </c>
      <c r="AU23" s="277">
        <f t="shared" si="6"/>
        <v>64.617300064203548</v>
      </c>
      <c r="AV23" s="277">
        <f t="shared" si="6"/>
        <v>66.746610693912174</v>
      </c>
    </row>
    <row r="24" spans="2:48" s="253" customFormat="1" ht="12.95" customHeight="1" x14ac:dyDescent="0.2">
      <c r="B24" s="14"/>
      <c r="C24" s="372">
        <v>7</v>
      </c>
      <c r="D24" s="372"/>
      <c r="E24" s="372"/>
      <c r="F24" s="253" t="s">
        <v>492</v>
      </c>
      <c r="G24" s="253" t="s">
        <v>395</v>
      </c>
      <c r="H24" s="277"/>
      <c r="I24" s="277"/>
      <c r="J24" s="277"/>
      <c r="K24" s="277"/>
      <c r="L24" s="277"/>
      <c r="M24" s="277"/>
      <c r="N24" s="277"/>
      <c r="O24" s="277">
        <f t="shared" ref="O24:AV24" si="7">HLOOKUP(O13,t_growth,6)</f>
        <v>0</v>
      </c>
      <c r="P24" s="277">
        <f t="shared" si="7"/>
        <v>0</v>
      </c>
      <c r="Q24" s="277">
        <f t="shared" si="7"/>
        <v>0</v>
      </c>
      <c r="R24" s="277">
        <f t="shared" si="7"/>
        <v>0</v>
      </c>
      <c r="S24" s="277">
        <f t="shared" si="7"/>
        <v>0</v>
      </c>
      <c r="T24" s="277">
        <f t="shared" si="7"/>
        <v>0</v>
      </c>
      <c r="U24" s="277">
        <f t="shared" si="7"/>
        <v>0</v>
      </c>
      <c r="V24" s="277">
        <f t="shared" si="7"/>
        <v>0</v>
      </c>
      <c r="W24" s="277">
        <f t="shared" si="7"/>
        <v>0</v>
      </c>
      <c r="X24" s="277">
        <f t="shared" si="7"/>
        <v>0</v>
      </c>
      <c r="Y24" s="277">
        <f t="shared" si="7"/>
        <v>0</v>
      </c>
      <c r="Z24" s="277">
        <f t="shared" si="7"/>
        <v>0</v>
      </c>
      <c r="AA24" s="277">
        <f t="shared" si="7"/>
        <v>0</v>
      </c>
      <c r="AB24" s="277">
        <f t="shared" si="7"/>
        <v>0</v>
      </c>
      <c r="AC24" s="277">
        <f t="shared" si="7"/>
        <v>0</v>
      </c>
      <c r="AD24" s="277">
        <f t="shared" si="7"/>
        <v>0</v>
      </c>
      <c r="AE24" s="277">
        <f t="shared" si="7"/>
        <v>0</v>
      </c>
      <c r="AF24" s="277">
        <f t="shared" si="7"/>
        <v>0</v>
      </c>
      <c r="AG24" s="277">
        <f t="shared" si="7"/>
        <v>0</v>
      </c>
      <c r="AH24" s="277">
        <f t="shared" si="7"/>
        <v>0</v>
      </c>
      <c r="AI24" s="277">
        <f t="shared" si="7"/>
        <v>0</v>
      </c>
      <c r="AJ24" s="277">
        <f t="shared" si="7"/>
        <v>0</v>
      </c>
      <c r="AK24" s="277">
        <f t="shared" si="7"/>
        <v>0</v>
      </c>
      <c r="AL24" s="277">
        <f t="shared" si="7"/>
        <v>0</v>
      </c>
      <c r="AM24" s="277">
        <f t="shared" si="7"/>
        <v>0</v>
      </c>
      <c r="AN24" s="277">
        <f t="shared" si="7"/>
        <v>0</v>
      </c>
      <c r="AO24" s="277">
        <f t="shared" si="7"/>
        <v>0</v>
      </c>
      <c r="AP24" s="277">
        <f t="shared" si="7"/>
        <v>0</v>
      </c>
      <c r="AQ24" s="277">
        <f t="shared" si="7"/>
        <v>0</v>
      </c>
      <c r="AR24" s="277">
        <f t="shared" si="7"/>
        <v>0</v>
      </c>
      <c r="AS24" s="277">
        <f t="shared" si="7"/>
        <v>0</v>
      </c>
      <c r="AT24" s="277">
        <f t="shared" si="7"/>
        <v>0</v>
      </c>
      <c r="AU24" s="277">
        <f t="shared" si="7"/>
        <v>0</v>
      </c>
      <c r="AV24" s="277">
        <f t="shared" si="7"/>
        <v>0</v>
      </c>
    </row>
    <row r="25" spans="2:48" s="253" customFormat="1" ht="12.95" customHeight="1" x14ac:dyDescent="0.2">
      <c r="B25" s="14"/>
      <c r="C25" s="372">
        <v>8</v>
      </c>
      <c r="D25" s="372"/>
      <c r="E25" s="372"/>
      <c r="F25" s="253" t="s">
        <v>492</v>
      </c>
      <c r="G25" s="253" t="s">
        <v>395</v>
      </c>
      <c r="H25" s="277"/>
      <c r="I25" s="277"/>
      <c r="J25" s="277"/>
      <c r="K25" s="277"/>
      <c r="L25" s="277"/>
      <c r="M25" s="277"/>
      <c r="N25" s="277"/>
      <c r="O25" s="277"/>
      <c r="P25" s="277">
        <f t="shared" ref="P25:AV25" si="8">HLOOKUP(P14,t_growth,6)</f>
        <v>0</v>
      </c>
      <c r="Q25" s="277">
        <f t="shared" si="8"/>
        <v>0</v>
      </c>
      <c r="R25" s="277">
        <f t="shared" si="8"/>
        <v>0</v>
      </c>
      <c r="S25" s="277">
        <f t="shared" si="8"/>
        <v>0</v>
      </c>
      <c r="T25" s="277">
        <f t="shared" si="8"/>
        <v>0</v>
      </c>
      <c r="U25" s="277">
        <f t="shared" si="8"/>
        <v>0</v>
      </c>
      <c r="V25" s="277">
        <f t="shared" si="8"/>
        <v>0</v>
      </c>
      <c r="W25" s="277">
        <f t="shared" si="8"/>
        <v>0</v>
      </c>
      <c r="X25" s="277">
        <f t="shared" si="8"/>
        <v>0</v>
      </c>
      <c r="Y25" s="277">
        <f t="shared" si="8"/>
        <v>0</v>
      </c>
      <c r="Z25" s="277">
        <f t="shared" si="8"/>
        <v>0</v>
      </c>
      <c r="AA25" s="277">
        <f t="shared" si="8"/>
        <v>0</v>
      </c>
      <c r="AB25" s="277">
        <f t="shared" si="8"/>
        <v>0</v>
      </c>
      <c r="AC25" s="277">
        <f t="shared" si="8"/>
        <v>0</v>
      </c>
      <c r="AD25" s="277">
        <f t="shared" si="8"/>
        <v>0</v>
      </c>
      <c r="AE25" s="277">
        <f t="shared" si="8"/>
        <v>0</v>
      </c>
      <c r="AF25" s="277">
        <f t="shared" si="8"/>
        <v>0</v>
      </c>
      <c r="AG25" s="277">
        <f t="shared" si="8"/>
        <v>0</v>
      </c>
      <c r="AH25" s="277">
        <f t="shared" si="8"/>
        <v>0</v>
      </c>
      <c r="AI25" s="277">
        <f t="shared" si="8"/>
        <v>0</v>
      </c>
      <c r="AJ25" s="277">
        <f t="shared" si="8"/>
        <v>0</v>
      </c>
      <c r="AK25" s="277">
        <f t="shared" si="8"/>
        <v>0</v>
      </c>
      <c r="AL25" s="277">
        <f t="shared" si="8"/>
        <v>0</v>
      </c>
      <c r="AM25" s="277">
        <f t="shared" si="8"/>
        <v>0</v>
      </c>
      <c r="AN25" s="277">
        <f t="shared" si="8"/>
        <v>0</v>
      </c>
      <c r="AO25" s="277">
        <f t="shared" si="8"/>
        <v>0</v>
      </c>
      <c r="AP25" s="277">
        <f t="shared" si="8"/>
        <v>0</v>
      </c>
      <c r="AQ25" s="277">
        <f t="shared" si="8"/>
        <v>0</v>
      </c>
      <c r="AR25" s="277">
        <f t="shared" si="8"/>
        <v>0</v>
      </c>
      <c r="AS25" s="277">
        <f t="shared" si="8"/>
        <v>0</v>
      </c>
      <c r="AT25" s="277">
        <f t="shared" si="8"/>
        <v>0</v>
      </c>
      <c r="AU25" s="277">
        <f t="shared" si="8"/>
        <v>0</v>
      </c>
      <c r="AV25" s="277">
        <f t="shared" si="8"/>
        <v>0</v>
      </c>
    </row>
    <row r="26" spans="2:48" s="253" customFormat="1" ht="12.95" customHeight="1" x14ac:dyDescent="0.2">
      <c r="B26" s="14"/>
      <c r="C26" s="372">
        <v>9</v>
      </c>
      <c r="D26" s="372"/>
      <c r="E26" s="372"/>
      <c r="F26" s="253" t="s">
        <v>492</v>
      </c>
      <c r="G26" s="253" t="s">
        <v>395</v>
      </c>
      <c r="H26" s="277"/>
      <c r="I26" s="277"/>
      <c r="J26" s="277"/>
      <c r="K26" s="277"/>
      <c r="L26" s="277"/>
      <c r="M26" s="277"/>
      <c r="N26" s="277"/>
      <c r="O26" s="277"/>
      <c r="P26" s="277"/>
      <c r="Q26" s="277">
        <f t="shared" ref="Q26:AV26" si="9">HLOOKUP(Q15,t_growth,6)</f>
        <v>0</v>
      </c>
      <c r="R26" s="277">
        <f t="shared" si="9"/>
        <v>0</v>
      </c>
      <c r="S26" s="277">
        <f t="shared" si="9"/>
        <v>0</v>
      </c>
      <c r="T26" s="277">
        <f t="shared" si="9"/>
        <v>0</v>
      </c>
      <c r="U26" s="277">
        <f t="shared" si="9"/>
        <v>0</v>
      </c>
      <c r="V26" s="277">
        <f t="shared" si="9"/>
        <v>0</v>
      </c>
      <c r="W26" s="277">
        <f t="shared" si="9"/>
        <v>0</v>
      </c>
      <c r="X26" s="277">
        <f t="shared" si="9"/>
        <v>0</v>
      </c>
      <c r="Y26" s="277">
        <f t="shared" si="9"/>
        <v>0</v>
      </c>
      <c r="Z26" s="277">
        <f t="shared" si="9"/>
        <v>0</v>
      </c>
      <c r="AA26" s="277">
        <f t="shared" si="9"/>
        <v>0</v>
      </c>
      <c r="AB26" s="277">
        <f t="shared" si="9"/>
        <v>0</v>
      </c>
      <c r="AC26" s="277">
        <f t="shared" si="9"/>
        <v>0</v>
      </c>
      <c r="AD26" s="277">
        <f t="shared" si="9"/>
        <v>0</v>
      </c>
      <c r="AE26" s="277">
        <f t="shared" si="9"/>
        <v>0</v>
      </c>
      <c r="AF26" s="277">
        <f t="shared" si="9"/>
        <v>0</v>
      </c>
      <c r="AG26" s="277">
        <f t="shared" si="9"/>
        <v>0</v>
      </c>
      <c r="AH26" s="277">
        <f t="shared" si="9"/>
        <v>0</v>
      </c>
      <c r="AI26" s="277">
        <f t="shared" si="9"/>
        <v>0</v>
      </c>
      <c r="AJ26" s="277">
        <f t="shared" si="9"/>
        <v>0</v>
      </c>
      <c r="AK26" s="277">
        <f t="shared" si="9"/>
        <v>0</v>
      </c>
      <c r="AL26" s="277">
        <f t="shared" si="9"/>
        <v>0</v>
      </c>
      <c r="AM26" s="277">
        <f t="shared" si="9"/>
        <v>0</v>
      </c>
      <c r="AN26" s="277">
        <f t="shared" si="9"/>
        <v>0</v>
      </c>
      <c r="AO26" s="277">
        <f t="shared" si="9"/>
        <v>0</v>
      </c>
      <c r="AP26" s="277">
        <f t="shared" si="9"/>
        <v>0</v>
      </c>
      <c r="AQ26" s="277">
        <f t="shared" si="9"/>
        <v>0</v>
      </c>
      <c r="AR26" s="277">
        <f t="shared" si="9"/>
        <v>0</v>
      </c>
      <c r="AS26" s="277">
        <f t="shared" si="9"/>
        <v>0</v>
      </c>
      <c r="AT26" s="277">
        <f t="shared" si="9"/>
        <v>0</v>
      </c>
      <c r="AU26" s="277">
        <f t="shared" si="9"/>
        <v>0</v>
      </c>
      <c r="AV26" s="277">
        <f t="shared" si="9"/>
        <v>0</v>
      </c>
    </row>
    <row r="27" spans="2:48" s="253" customFormat="1" ht="12.95" customHeight="1" x14ac:dyDescent="0.2">
      <c r="B27" s="14"/>
      <c r="C27" s="372">
        <v>10</v>
      </c>
      <c r="D27" s="372"/>
      <c r="E27" s="372"/>
      <c r="F27" s="253" t="s">
        <v>492</v>
      </c>
      <c r="G27" s="253" t="s">
        <v>395</v>
      </c>
      <c r="H27" s="277"/>
      <c r="I27" s="277"/>
      <c r="J27" s="277"/>
      <c r="K27" s="277"/>
      <c r="L27" s="277"/>
      <c r="M27" s="277"/>
      <c r="N27" s="277"/>
      <c r="O27" s="277"/>
      <c r="P27" s="277"/>
      <c r="Q27" s="277"/>
      <c r="R27" s="277">
        <f t="shared" ref="R27:AV27" si="10">HLOOKUP(R16,t_growth,6)</f>
        <v>0</v>
      </c>
      <c r="S27" s="277">
        <f t="shared" si="10"/>
        <v>0</v>
      </c>
      <c r="T27" s="277">
        <f t="shared" si="10"/>
        <v>0</v>
      </c>
      <c r="U27" s="277">
        <f t="shared" si="10"/>
        <v>0</v>
      </c>
      <c r="V27" s="277">
        <f t="shared" si="10"/>
        <v>0</v>
      </c>
      <c r="W27" s="277">
        <f t="shared" si="10"/>
        <v>0</v>
      </c>
      <c r="X27" s="277">
        <f t="shared" si="10"/>
        <v>0</v>
      </c>
      <c r="Y27" s="277">
        <f t="shared" si="10"/>
        <v>0</v>
      </c>
      <c r="Z27" s="277">
        <f t="shared" si="10"/>
        <v>0</v>
      </c>
      <c r="AA27" s="277">
        <f t="shared" si="10"/>
        <v>0</v>
      </c>
      <c r="AB27" s="277">
        <f t="shared" si="10"/>
        <v>0</v>
      </c>
      <c r="AC27" s="277">
        <f t="shared" si="10"/>
        <v>0</v>
      </c>
      <c r="AD27" s="277">
        <f t="shared" si="10"/>
        <v>0</v>
      </c>
      <c r="AE27" s="277">
        <f t="shared" si="10"/>
        <v>0</v>
      </c>
      <c r="AF27" s="277">
        <f t="shared" si="10"/>
        <v>0</v>
      </c>
      <c r="AG27" s="277">
        <f t="shared" si="10"/>
        <v>0</v>
      </c>
      <c r="AH27" s="277">
        <f t="shared" si="10"/>
        <v>0</v>
      </c>
      <c r="AI27" s="277">
        <f t="shared" si="10"/>
        <v>0</v>
      </c>
      <c r="AJ27" s="277">
        <f t="shared" si="10"/>
        <v>0</v>
      </c>
      <c r="AK27" s="277">
        <f t="shared" si="10"/>
        <v>0</v>
      </c>
      <c r="AL27" s="277">
        <f t="shared" si="10"/>
        <v>0</v>
      </c>
      <c r="AM27" s="277">
        <f t="shared" si="10"/>
        <v>0</v>
      </c>
      <c r="AN27" s="277">
        <f t="shared" si="10"/>
        <v>0</v>
      </c>
      <c r="AO27" s="277">
        <f t="shared" si="10"/>
        <v>0</v>
      </c>
      <c r="AP27" s="277">
        <f t="shared" si="10"/>
        <v>0</v>
      </c>
      <c r="AQ27" s="277">
        <f t="shared" si="10"/>
        <v>0</v>
      </c>
      <c r="AR27" s="277">
        <f t="shared" si="10"/>
        <v>0</v>
      </c>
      <c r="AS27" s="277">
        <f t="shared" si="10"/>
        <v>0</v>
      </c>
      <c r="AT27" s="277">
        <f t="shared" si="10"/>
        <v>0</v>
      </c>
      <c r="AU27" s="277">
        <f t="shared" si="10"/>
        <v>0</v>
      </c>
      <c r="AV27" s="277">
        <f t="shared" si="10"/>
        <v>0</v>
      </c>
    </row>
    <row r="28" spans="2:48" s="253" customFormat="1" ht="12.95" customHeight="1" x14ac:dyDescent="0.2">
      <c r="B28" s="14" t="s">
        <v>496</v>
      </c>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1"/>
      <c r="AN28" s="171"/>
      <c r="AO28" s="171"/>
      <c r="AP28" s="171"/>
      <c r="AQ28" s="171"/>
      <c r="AR28" s="171"/>
      <c r="AS28" s="171"/>
      <c r="AT28" s="171"/>
      <c r="AU28" s="171"/>
      <c r="AV28" s="171"/>
    </row>
    <row r="29" spans="2:48" s="253" customFormat="1" ht="12.95" customHeight="1" x14ac:dyDescent="0.2">
      <c r="B29" s="14"/>
      <c r="C29" s="253" t="s">
        <v>858</v>
      </c>
      <c r="F29" s="253" t="s">
        <v>493</v>
      </c>
      <c r="G29" s="253" t="s">
        <v>395</v>
      </c>
      <c r="H29" s="147"/>
      <c r="I29" s="147">
        <f>I18</f>
        <v>1.3801503036642727E-2</v>
      </c>
      <c r="J29" s="147">
        <f t="shared" ref="J29:AV29" si="11">J18-I18</f>
        <v>8.870660069358649E-2</v>
      </c>
      <c r="K29" s="147">
        <f t="shared" si="11"/>
        <v>0.21889250191111381</v>
      </c>
      <c r="L29" s="147">
        <f t="shared" si="11"/>
        <v>0.38679027443885877</v>
      </c>
      <c r="M29" s="147">
        <f t="shared" si="11"/>
        <v>0.57839942135411293</v>
      </c>
      <c r="N29" s="147">
        <f t="shared" si="11"/>
        <v>0.7826745636946395</v>
      </c>
      <c r="O29" s="147">
        <f t="shared" si="11"/>
        <v>0.99100916955596396</v>
      </c>
      <c r="P29" s="147">
        <f t="shared" si="11"/>
        <v>1.1968016682944005</v>
      </c>
      <c r="Q29" s="147">
        <f t="shared" si="11"/>
        <v>1.3950914428611982</v>
      </c>
      <c r="R29" s="147">
        <f t="shared" si="11"/>
        <v>1.5822540365492577</v>
      </c>
      <c r="S29" s="147">
        <f t="shared" si="11"/>
        <v>1.7557464869953625</v>
      </c>
      <c r="T29" s="147">
        <f t="shared" si="11"/>
        <v>1.9138950482816846</v>
      </c>
      <c r="U29" s="147">
        <f t="shared" si="11"/>
        <v>2.0557187141442146</v>
      </c>
      <c r="V29" s="147">
        <f t="shared" si="11"/>
        <v>2.1807829396979503</v>
      </c>
      <c r="W29" s="147">
        <f t="shared" si="11"/>
        <v>2.2890787998168136</v>
      </c>
      <c r="X29" s="147">
        <f t="shared" si="11"/>
        <v>2.3809235400169406</v>
      </c>
      <c r="Y29" s="147">
        <f t="shared" si="11"/>
        <v>2.4568790881047384</v>
      </c>
      <c r="Z29" s="147">
        <f t="shared" si="11"/>
        <v>2.5176856171558732</v>
      </c>
      <c r="AA29" s="147">
        <f t="shared" si="11"/>
        <v>2.564207695610925</v>
      </c>
      <c r="AB29" s="147">
        <f t="shared" si="11"/>
        <v>2.5973909395725769</v>
      </c>
      <c r="AC29" s="147">
        <f t="shared" si="11"/>
        <v>2.6182274053303409</v>
      </c>
      <c r="AD29" s="147">
        <f t="shared" si="11"/>
        <v>2.6277282349196724</v>
      </c>
      <c r="AE29" s="147">
        <f t="shared" si="11"/>
        <v>2.626902301161131</v>
      </c>
      <c r="AF29" s="147">
        <f t="shared" si="11"/>
        <v>2.6167397971342226</v>
      </c>
      <c r="AG29" s="147">
        <f t="shared" si="11"/>
        <v>2.5981998835638649</v>
      </c>
      <c r="AH29" s="147">
        <f t="shared" si="11"/>
        <v>2.5722016505436329</v>
      </c>
      <c r="AI29" s="147">
        <f t="shared" si="11"/>
        <v>2.5396177711523222</v>
      </c>
      <c r="AJ29" s="147">
        <f t="shared" si="11"/>
        <v>2.5012703270672532</v>
      </c>
      <c r="AK29" s="147">
        <f t="shared" si="11"/>
        <v>2.4579283729931376</v>
      </c>
      <c r="AL29" s="147">
        <f t="shared" si="11"/>
        <v>2.4103068799643594</v>
      </c>
      <c r="AM29" s="147">
        <f t="shared" si="11"/>
        <v>2.3590667593578303</v>
      </c>
      <c r="AN29" s="147">
        <f t="shared" si="11"/>
        <v>2.3048157214873015</v>
      </c>
      <c r="AO29" s="147">
        <f t="shared" si="11"/>
        <v>2.248109766412</v>
      </c>
      <c r="AP29" s="147">
        <f t="shared" si="11"/>
        <v>2.1894551413296242</v>
      </c>
      <c r="AQ29" s="147">
        <f t="shared" si="11"/>
        <v>2.1293106297086268</v>
      </c>
      <c r="AR29" s="147">
        <f t="shared" si="11"/>
        <v>2.0680900630561467</v>
      </c>
      <c r="AS29" s="147">
        <f t="shared" si="11"/>
        <v>2.0061649676923565</v>
      </c>
      <c r="AT29" s="147">
        <f t="shared" si="11"/>
        <v>1.9438672767686711</v>
      </c>
      <c r="AU29" s="147">
        <f t="shared" si="11"/>
        <v>1.881492052593245</v>
      </c>
      <c r="AV29" s="147">
        <f t="shared" si="11"/>
        <v>1.8193001765820753</v>
      </c>
    </row>
    <row r="30" spans="2:48" s="253" customFormat="1" ht="12.95" customHeight="1" x14ac:dyDescent="0.2">
      <c r="B30" s="14"/>
      <c r="C30" s="253" t="s">
        <v>859</v>
      </c>
      <c r="F30" s="253" t="s">
        <v>493</v>
      </c>
      <c r="G30" s="253" t="s">
        <v>395</v>
      </c>
      <c r="H30" s="147"/>
      <c r="I30" s="147"/>
      <c r="J30" s="147">
        <f>J19</f>
        <v>1.3801503036642727E-2</v>
      </c>
      <c r="K30" s="147">
        <f t="shared" ref="K30:AV30" si="12">K19-J19</f>
        <v>8.870660069358649E-2</v>
      </c>
      <c r="L30" s="147">
        <f t="shared" si="12"/>
        <v>0.21889250191111381</v>
      </c>
      <c r="M30" s="147">
        <f t="shared" si="12"/>
        <v>0.38679027443885877</v>
      </c>
      <c r="N30" s="147">
        <f t="shared" si="12"/>
        <v>0.57839942135411293</v>
      </c>
      <c r="O30" s="147">
        <f t="shared" si="12"/>
        <v>0.7826745636946395</v>
      </c>
      <c r="P30" s="147">
        <f t="shared" si="12"/>
        <v>0.99100916955596396</v>
      </c>
      <c r="Q30" s="147">
        <f t="shared" si="12"/>
        <v>1.1968016682944005</v>
      </c>
      <c r="R30" s="147">
        <f t="shared" si="12"/>
        <v>1.3950914428611982</v>
      </c>
      <c r="S30" s="147">
        <f t="shared" si="12"/>
        <v>1.5822540365492577</v>
      </c>
      <c r="T30" s="147">
        <f t="shared" si="12"/>
        <v>1.7557464869953625</v>
      </c>
      <c r="U30" s="147">
        <f t="shared" si="12"/>
        <v>1.9138950482816846</v>
      </c>
      <c r="V30" s="147">
        <f t="shared" si="12"/>
        <v>2.0557187141442146</v>
      </c>
      <c r="W30" s="147">
        <f t="shared" si="12"/>
        <v>2.1807829396979503</v>
      </c>
      <c r="X30" s="147">
        <f t="shared" si="12"/>
        <v>2.2890787998168136</v>
      </c>
      <c r="Y30" s="147">
        <f t="shared" si="12"/>
        <v>2.3809235400169406</v>
      </c>
      <c r="Z30" s="147">
        <f t="shared" si="12"/>
        <v>2.4568790881047384</v>
      </c>
      <c r="AA30" s="147">
        <f t="shared" si="12"/>
        <v>2.5176856171558732</v>
      </c>
      <c r="AB30" s="147">
        <f t="shared" si="12"/>
        <v>2.564207695610925</v>
      </c>
      <c r="AC30" s="147">
        <f t="shared" si="12"/>
        <v>2.5973909395725769</v>
      </c>
      <c r="AD30" s="147">
        <f t="shared" si="12"/>
        <v>2.6182274053303409</v>
      </c>
      <c r="AE30" s="147">
        <f t="shared" si="12"/>
        <v>2.6277282349196724</v>
      </c>
      <c r="AF30" s="147">
        <f t="shared" si="12"/>
        <v>2.626902301161131</v>
      </c>
      <c r="AG30" s="147">
        <f t="shared" si="12"/>
        <v>2.6167397971342226</v>
      </c>
      <c r="AH30" s="147">
        <f t="shared" si="12"/>
        <v>2.5981998835638649</v>
      </c>
      <c r="AI30" s="147">
        <f t="shared" si="12"/>
        <v>2.5722016505436329</v>
      </c>
      <c r="AJ30" s="147">
        <f t="shared" si="12"/>
        <v>2.5396177711523222</v>
      </c>
      <c r="AK30" s="147">
        <f t="shared" si="12"/>
        <v>2.5012703270672532</v>
      </c>
      <c r="AL30" s="147">
        <f t="shared" si="12"/>
        <v>2.4579283729931376</v>
      </c>
      <c r="AM30" s="147">
        <f t="shared" si="12"/>
        <v>2.4103068799643594</v>
      </c>
      <c r="AN30" s="147">
        <f t="shared" si="12"/>
        <v>2.3590667593578303</v>
      </c>
      <c r="AO30" s="147">
        <f t="shared" si="12"/>
        <v>2.3048157214873015</v>
      </c>
      <c r="AP30" s="147">
        <f t="shared" si="12"/>
        <v>2.248109766412</v>
      </c>
      <c r="AQ30" s="147">
        <f t="shared" si="12"/>
        <v>2.1894551413296242</v>
      </c>
      <c r="AR30" s="147">
        <f t="shared" si="12"/>
        <v>2.1293106297086268</v>
      </c>
      <c r="AS30" s="147">
        <f t="shared" si="12"/>
        <v>2.0680900630561467</v>
      </c>
      <c r="AT30" s="147">
        <f t="shared" si="12"/>
        <v>2.0061649676923565</v>
      </c>
      <c r="AU30" s="147">
        <f t="shared" si="12"/>
        <v>1.9438672767686711</v>
      </c>
      <c r="AV30" s="147">
        <f t="shared" si="12"/>
        <v>1.881492052593245</v>
      </c>
    </row>
    <row r="31" spans="2:48" s="253" customFormat="1" ht="12.95" customHeight="1" x14ac:dyDescent="0.2">
      <c r="B31" s="14"/>
      <c r="C31" s="253" t="s">
        <v>860</v>
      </c>
      <c r="F31" s="253" t="s">
        <v>493</v>
      </c>
      <c r="G31" s="253" t="s">
        <v>395</v>
      </c>
      <c r="H31" s="277"/>
      <c r="I31" s="147"/>
      <c r="J31" s="147"/>
      <c r="K31" s="147">
        <f>K20</f>
        <v>1.3801503036642727E-2</v>
      </c>
      <c r="L31" s="147">
        <f t="shared" ref="L31:AV31" si="13">L20-K20</f>
        <v>8.870660069358649E-2</v>
      </c>
      <c r="M31" s="147">
        <f t="shared" si="13"/>
        <v>0.21889250191111381</v>
      </c>
      <c r="N31" s="147">
        <f t="shared" si="13"/>
        <v>0.38679027443885877</v>
      </c>
      <c r="O31" s="147">
        <f t="shared" si="13"/>
        <v>0.57839942135411293</v>
      </c>
      <c r="P31" s="147">
        <f t="shared" si="13"/>
        <v>0.7826745636946395</v>
      </c>
      <c r="Q31" s="147">
        <f t="shared" si="13"/>
        <v>0.99100916955596396</v>
      </c>
      <c r="R31" s="147">
        <f t="shared" si="13"/>
        <v>1.1968016682944005</v>
      </c>
      <c r="S31" s="147">
        <f t="shared" si="13"/>
        <v>1.3950914428611982</v>
      </c>
      <c r="T31" s="147">
        <f t="shared" si="13"/>
        <v>1.5822540365492577</v>
      </c>
      <c r="U31" s="147">
        <f t="shared" si="13"/>
        <v>1.7557464869953625</v>
      </c>
      <c r="V31" s="147">
        <f t="shared" si="13"/>
        <v>1.9138950482816846</v>
      </c>
      <c r="W31" s="147">
        <f t="shared" si="13"/>
        <v>2.0557187141442146</v>
      </c>
      <c r="X31" s="147">
        <f t="shared" si="13"/>
        <v>2.1807829396979503</v>
      </c>
      <c r="Y31" s="147">
        <f t="shared" si="13"/>
        <v>2.2890787998168136</v>
      </c>
      <c r="Z31" s="147">
        <f t="shared" si="13"/>
        <v>2.3809235400169406</v>
      </c>
      <c r="AA31" s="147">
        <f t="shared" si="13"/>
        <v>2.4568790881047384</v>
      </c>
      <c r="AB31" s="147">
        <f t="shared" si="13"/>
        <v>2.5176856171558732</v>
      </c>
      <c r="AC31" s="147">
        <f t="shared" si="13"/>
        <v>2.564207695610925</v>
      </c>
      <c r="AD31" s="147">
        <f t="shared" si="13"/>
        <v>2.5973909395725769</v>
      </c>
      <c r="AE31" s="147">
        <f t="shared" si="13"/>
        <v>2.6182274053303409</v>
      </c>
      <c r="AF31" s="147">
        <f t="shared" si="13"/>
        <v>2.6277282349196724</v>
      </c>
      <c r="AG31" s="147">
        <f t="shared" si="13"/>
        <v>2.626902301161131</v>
      </c>
      <c r="AH31" s="147">
        <f t="shared" si="13"/>
        <v>2.6167397971342226</v>
      </c>
      <c r="AI31" s="147">
        <f t="shared" si="13"/>
        <v>2.5981998835638649</v>
      </c>
      <c r="AJ31" s="147">
        <f t="shared" si="13"/>
        <v>2.5722016505436329</v>
      </c>
      <c r="AK31" s="147">
        <f t="shared" si="13"/>
        <v>2.5396177711523222</v>
      </c>
      <c r="AL31" s="147">
        <f t="shared" si="13"/>
        <v>2.5012703270672532</v>
      </c>
      <c r="AM31" s="147">
        <f t="shared" si="13"/>
        <v>2.4579283729931376</v>
      </c>
      <c r="AN31" s="147">
        <f t="shared" si="13"/>
        <v>2.4103068799643594</v>
      </c>
      <c r="AO31" s="147">
        <f t="shared" si="13"/>
        <v>2.3590667593578303</v>
      </c>
      <c r="AP31" s="147">
        <f t="shared" si="13"/>
        <v>2.3048157214873015</v>
      </c>
      <c r="AQ31" s="147">
        <f t="shared" si="13"/>
        <v>2.248109766412</v>
      </c>
      <c r="AR31" s="147">
        <f t="shared" si="13"/>
        <v>2.1894551413296242</v>
      </c>
      <c r="AS31" s="147">
        <f t="shared" si="13"/>
        <v>2.1293106297086268</v>
      </c>
      <c r="AT31" s="147">
        <f t="shared" si="13"/>
        <v>2.0680900630561467</v>
      </c>
      <c r="AU31" s="147">
        <f t="shared" si="13"/>
        <v>2.0061649676923565</v>
      </c>
      <c r="AV31" s="147">
        <f t="shared" si="13"/>
        <v>1.9438672767686711</v>
      </c>
    </row>
    <row r="32" spans="2:48" s="253" customFormat="1" ht="12.95" customHeight="1" x14ac:dyDescent="0.2">
      <c r="B32" s="14"/>
      <c r="C32" s="253" t="s">
        <v>861</v>
      </c>
      <c r="F32" s="253" t="s">
        <v>493</v>
      </c>
      <c r="G32" s="253" t="s">
        <v>395</v>
      </c>
      <c r="H32" s="277"/>
      <c r="I32" s="147"/>
      <c r="J32" s="147"/>
      <c r="K32" s="147"/>
      <c r="L32" s="147">
        <f>L21</f>
        <v>1.3801503036642727E-2</v>
      </c>
      <c r="M32" s="147">
        <f t="shared" ref="M32:AV32" si="14">M21-L21</f>
        <v>8.870660069358649E-2</v>
      </c>
      <c r="N32" s="147">
        <f t="shared" si="14"/>
        <v>0.21889250191111381</v>
      </c>
      <c r="O32" s="147">
        <f t="shared" si="14"/>
        <v>0.38679027443885877</v>
      </c>
      <c r="P32" s="147">
        <f t="shared" si="14"/>
        <v>0.57839942135411293</v>
      </c>
      <c r="Q32" s="147">
        <f t="shared" si="14"/>
        <v>0.7826745636946395</v>
      </c>
      <c r="R32" s="147">
        <f t="shared" si="14"/>
        <v>0.99100916955596396</v>
      </c>
      <c r="S32" s="147">
        <f t="shared" si="14"/>
        <v>1.1968016682944005</v>
      </c>
      <c r="T32" s="147">
        <f t="shared" si="14"/>
        <v>1.3950914428611982</v>
      </c>
      <c r="U32" s="147">
        <f t="shared" si="14"/>
        <v>1.5822540365492577</v>
      </c>
      <c r="V32" s="147">
        <f t="shared" si="14"/>
        <v>1.7557464869953625</v>
      </c>
      <c r="W32" s="147">
        <f t="shared" si="14"/>
        <v>1.9138950482816846</v>
      </c>
      <c r="X32" s="147">
        <f t="shared" si="14"/>
        <v>2.0557187141442146</v>
      </c>
      <c r="Y32" s="147">
        <f t="shared" si="14"/>
        <v>2.1807829396979503</v>
      </c>
      <c r="Z32" s="147">
        <f t="shared" si="14"/>
        <v>2.2890787998168136</v>
      </c>
      <c r="AA32" s="147">
        <f t="shared" si="14"/>
        <v>2.3809235400169406</v>
      </c>
      <c r="AB32" s="147">
        <f t="shared" si="14"/>
        <v>2.4568790881047384</v>
      </c>
      <c r="AC32" s="147">
        <f t="shared" si="14"/>
        <v>2.5176856171558732</v>
      </c>
      <c r="AD32" s="147">
        <f t="shared" si="14"/>
        <v>2.564207695610925</v>
      </c>
      <c r="AE32" s="147">
        <f t="shared" si="14"/>
        <v>2.5973909395725769</v>
      </c>
      <c r="AF32" s="147">
        <f t="shared" si="14"/>
        <v>2.6182274053303409</v>
      </c>
      <c r="AG32" s="147">
        <f t="shared" si="14"/>
        <v>2.6277282349196724</v>
      </c>
      <c r="AH32" s="147">
        <f t="shared" si="14"/>
        <v>2.626902301161131</v>
      </c>
      <c r="AI32" s="147">
        <f t="shared" si="14"/>
        <v>2.6167397971342226</v>
      </c>
      <c r="AJ32" s="147">
        <f t="shared" si="14"/>
        <v>2.5981998835638649</v>
      </c>
      <c r="AK32" s="147">
        <f t="shared" si="14"/>
        <v>2.5722016505436329</v>
      </c>
      <c r="AL32" s="147">
        <f t="shared" si="14"/>
        <v>2.5396177711523222</v>
      </c>
      <c r="AM32" s="147">
        <f t="shared" si="14"/>
        <v>2.5012703270672532</v>
      </c>
      <c r="AN32" s="147">
        <f t="shared" si="14"/>
        <v>2.4579283729931376</v>
      </c>
      <c r="AO32" s="147">
        <f t="shared" si="14"/>
        <v>2.4103068799643594</v>
      </c>
      <c r="AP32" s="147">
        <f t="shared" si="14"/>
        <v>2.3590667593578303</v>
      </c>
      <c r="AQ32" s="147">
        <f t="shared" si="14"/>
        <v>2.3048157214873015</v>
      </c>
      <c r="AR32" s="147">
        <f t="shared" si="14"/>
        <v>2.248109766412</v>
      </c>
      <c r="AS32" s="147">
        <f t="shared" si="14"/>
        <v>2.1894551413296242</v>
      </c>
      <c r="AT32" s="147">
        <f t="shared" si="14"/>
        <v>2.1293106297086268</v>
      </c>
      <c r="AU32" s="147">
        <f t="shared" si="14"/>
        <v>2.0680900630561467</v>
      </c>
      <c r="AV32" s="147">
        <f t="shared" si="14"/>
        <v>2.0061649676923565</v>
      </c>
    </row>
    <row r="33" spans="1:50" s="253" customFormat="1" ht="12.95" customHeight="1" x14ac:dyDescent="0.2">
      <c r="B33" s="14"/>
      <c r="C33" s="253" t="s">
        <v>862</v>
      </c>
      <c r="F33" s="253" t="s">
        <v>493</v>
      </c>
      <c r="G33" s="253" t="s">
        <v>395</v>
      </c>
      <c r="H33" s="277"/>
      <c r="I33" s="147"/>
      <c r="J33" s="147"/>
      <c r="K33" s="147"/>
      <c r="L33" s="147"/>
      <c r="M33" s="147">
        <f>M22</f>
        <v>1.3801503036642727E-2</v>
      </c>
      <c r="N33" s="147">
        <f t="shared" ref="N33:AV33" si="15">N22-M22</f>
        <v>8.870660069358649E-2</v>
      </c>
      <c r="O33" s="147">
        <f t="shared" si="15"/>
        <v>0.21889250191111381</v>
      </c>
      <c r="P33" s="147">
        <f t="shared" si="15"/>
        <v>0.38679027443885877</v>
      </c>
      <c r="Q33" s="147">
        <f t="shared" si="15"/>
        <v>0.57839942135411293</v>
      </c>
      <c r="R33" s="147">
        <f t="shared" si="15"/>
        <v>0.7826745636946395</v>
      </c>
      <c r="S33" s="147">
        <f t="shared" si="15"/>
        <v>0.99100916955596396</v>
      </c>
      <c r="T33" s="147">
        <f t="shared" si="15"/>
        <v>1.1968016682944005</v>
      </c>
      <c r="U33" s="147">
        <f t="shared" si="15"/>
        <v>1.3950914428611982</v>
      </c>
      <c r="V33" s="147">
        <f t="shared" si="15"/>
        <v>1.5822540365492577</v>
      </c>
      <c r="W33" s="147">
        <f t="shared" si="15"/>
        <v>1.7557464869953625</v>
      </c>
      <c r="X33" s="147">
        <f t="shared" si="15"/>
        <v>1.9138950482816846</v>
      </c>
      <c r="Y33" s="147">
        <f t="shared" si="15"/>
        <v>2.0557187141442146</v>
      </c>
      <c r="Z33" s="147">
        <f t="shared" si="15"/>
        <v>2.1807829396979503</v>
      </c>
      <c r="AA33" s="147">
        <f t="shared" si="15"/>
        <v>2.2890787998168136</v>
      </c>
      <c r="AB33" s="147">
        <f t="shared" si="15"/>
        <v>2.3809235400169406</v>
      </c>
      <c r="AC33" s="147">
        <f t="shared" si="15"/>
        <v>2.4568790881047384</v>
      </c>
      <c r="AD33" s="147">
        <f t="shared" si="15"/>
        <v>2.5176856171558732</v>
      </c>
      <c r="AE33" s="147">
        <f t="shared" si="15"/>
        <v>2.564207695610925</v>
      </c>
      <c r="AF33" s="147">
        <f t="shared" si="15"/>
        <v>2.5973909395725769</v>
      </c>
      <c r="AG33" s="147">
        <f t="shared" si="15"/>
        <v>2.6182274053303409</v>
      </c>
      <c r="AH33" s="147">
        <f t="shared" si="15"/>
        <v>2.6277282349196724</v>
      </c>
      <c r="AI33" s="147">
        <f t="shared" si="15"/>
        <v>2.626902301161131</v>
      </c>
      <c r="AJ33" s="147">
        <f t="shared" si="15"/>
        <v>2.6167397971342226</v>
      </c>
      <c r="AK33" s="147">
        <f t="shared" si="15"/>
        <v>2.5981998835638649</v>
      </c>
      <c r="AL33" s="147">
        <f t="shared" si="15"/>
        <v>2.5722016505436329</v>
      </c>
      <c r="AM33" s="147">
        <f t="shared" si="15"/>
        <v>2.5396177711523222</v>
      </c>
      <c r="AN33" s="147">
        <f t="shared" si="15"/>
        <v>2.5012703270672532</v>
      </c>
      <c r="AO33" s="147">
        <f t="shared" si="15"/>
        <v>2.4579283729931376</v>
      </c>
      <c r="AP33" s="147">
        <f t="shared" si="15"/>
        <v>2.4103068799643594</v>
      </c>
      <c r="AQ33" s="147">
        <f t="shared" si="15"/>
        <v>2.3590667593578303</v>
      </c>
      <c r="AR33" s="147">
        <f t="shared" si="15"/>
        <v>2.3048157214873015</v>
      </c>
      <c r="AS33" s="147">
        <f t="shared" si="15"/>
        <v>2.248109766412</v>
      </c>
      <c r="AT33" s="147">
        <f t="shared" si="15"/>
        <v>2.1894551413296242</v>
      </c>
      <c r="AU33" s="147">
        <f t="shared" si="15"/>
        <v>2.1293106297086268</v>
      </c>
      <c r="AV33" s="147">
        <f t="shared" si="15"/>
        <v>2.0680900630561467</v>
      </c>
    </row>
    <row r="34" spans="1:50" s="253" customFormat="1" ht="12.95" customHeight="1" x14ac:dyDescent="0.2">
      <c r="B34" s="14"/>
      <c r="C34" s="253" t="s">
        <v>863</v>
      </c>
      <c r="F34" s="253" t="s">
        <v>493</v>
      </c>
      <c r="G34" s="253" t="s">
        <v>395</v>
      </c>
      <c r="H34" s="277"/>
      <c r="I34" s="147"/>
      <c r="J34" s="147"/>
      <c r="K34" s="147"/>
      <c r="L34" s="147"/>
      <c r="M34" s="147"/>
      <c r="N34" s="147">
        <f>N23</f>
        <v>1.3801503036642727E-2</v>
      </c>
      <c r="O34" s="147">
        <f t="shared" ref="O34:AV34" si="16">O23-N23</f>
        <v>8.870660069358649E-2</v>
      </c>
      <c r="P34" s="147">
        <f t="shared" si="16"/>
        <v>0.21889250191111381</v>
      </c>
      <c r="Q34" s="147">
        <f t="shared" si="16"/>
        <v>0.38679027443885877</v>
      </c>
      <c r="R34" s="147">
        <f t="shared" si="16"/>
        <v>0.57839942135411293</v>
      </c>
      <c r="S34" s="147">
        <f t="shared" si="16"/>
        <v>0.7826745636946395</v>
      </c>
      <c r="T34" s="147">
        <f t="shared" si="16"/>
        <v>0.99100916955596396</v>
      </c>
      <c r="U34" s="147">
        <f t="shared" si="16"/>
        <v>1.1968016682944005</v>
      </c>
      <c r="V34" s="147">
        <f t="shared" si="16"/>
        <v>1.3950914428611982</v>
      </c>
      <c r="W34" s="147">
        <f t="shared" si="16"/>
        <v>1.5822540365492577</v>
      </c>
      <c r="X34" s="147">
        <f t="shared" si="16"/>
        <v>1.7557464869953625</v>
      </c>
      <c r="Y34" s="147">
        <f t="shared" si="16"/>
        <v>1.9138950482816846</v>
      </c>
      <c r="Z34" s="147">
        <f t="shared" si="16"/>
        <v>2.0557187141442146</v>
      </c>
      <c r="AA34" s="147">
        <f t="shared" si="16"/>
        <v>2.1807829396979503</v>
      </c>
      <c r="AB34" s="147">
        <f t="shared" si="16"/>
        <v>2.2890787998168136</v>
      </c>
      <c r="AC34" s="147">
        <f t="shared" si="16"/>
        <v>2.3809235400169406</v>
      </c>
      <c r="AD34" s="147">
        <f t="shared" si="16"/>
        <v>2.4568790881047384</v>
      </c>
      <c r="AE34" s="147">
        <f t="shared" si="16"/>
        <v>2.5176856171558732</v>
      </c>
      <c r="AF34" s="147">
        <f t="shared" si="16"/>
        <v>2.564207695610925</v>
      </c>
      <c r="AG34" s="147">
        <f t="shared" si="16"/>
        <v>2.5973909395725769</v>
      </c>
      <c r="AH34" s="147">
        <f t="shared" si="16"/>
        <v>2.6182274053303409</v>
      </c>
      <c r="AI34" s="147">
        <f t="shared" si="16"/>
        <v>2.6277282349196724</v>
      </c>
      <c r="AJ34" s="147">
        <f t="shared" si="16"/>
        <v>2.626902301161131</v>
      </c>
      <c r="AK34" s="147">
        <f t="shared" si="16"/>
        <v>2.6167397971342226</v>
      </c>
      <c r="AL34" s="147">
        <f t="shared" si="16"/>
        <v>2.5981998835638649</v>
      </c>
      <c r="AM34" s="147">
        <f t="shared" si="16"/>
        <v>2.5722016505436329</v>
      </c>
      <c r="AN34" s="147">
        <f t="shared" si="16"/>
        <v>2.5396177711523222</v>
      </c>
      <c r="AO34" s="147">
        <f t="shared" si="16"/>
        <v>2.5012703270672532</v>
      </c>
      <c r="AP34" s="147">
        <f t="shared" si="16"/>
        <v>2.4579283729931376</v>
      </c>
      <c r="AQ34" s="147">
        <f t="shared" si="16"/>
        <v>2.4103068799643594</v>
      </c>
      <c r="AR34" s="147">
        <f t="shared" si="16"/>
        <v>2.3590667593578303</v>
      </c>
      <c r="AS34" s="147">
        <f t="shared" si="16"/>
        <v>2.3048157214873015</v>
      </c>
      <c r="AT34" s="147">
        <f t="shared" si="16"/>
        <v>2.248109766412</v>
      </c>
      <c r="AU34" s="147">
        <f t="shared" si="16"/>
        <v>2.1894551413296242</v>
      </c>
      <c r="AV34" s="147">
        <f t="shared" si="16"/>
        <v>2.1293106297086268</v>
      </c>
    </row>
    <row r="35" spans="1:50" s="253" customFormat="1" ht="12.95" customHeight="1" x14ac:dyDescent="0.2">
      <c r="B35" s="14"/>
      <c r="C35" s="253" t="s">
        <v>864</v>
      </c>
      <c r="F35" s="253" t="s">
        <v>493</v>
      </c>
      <c r="G35" s="253" t="s">
        <v>395</v>
      </c>
      <c r="H35" s="277"/>
      <c r="I35" s="147"/>
      <c r="J35" s="147"/>
      <c r="K35" s="147"/>
      <c r="L35" s="147"/>
      <c r="M35" s="147"/>
      <c r="N35" s="147"/>
      <c r="O35" s="147">
        <f>O24</f>
        <v>0</v>
      </c>
      <c r="P35" s="147">
        <f t="shared" ref="P35:AV35" si="17">P24-O24</f>
        <v>0</v>
      </c>
      <c r="Q35" s="147">
        <f t="shared" si="17"/>
        <v>0</v>
      </c>
      <c r="R35" s="147">
        <f t="shared" si="17"/>
        <v>0</v>
      </c>
      <c r="S35" s="147">
        <f t="shared" si="17"/>
        <v>0</v>
      </c>
      <c r="T35" s="147">
        <f t="shared" si="17"/>
        <v>0</v>
      </c>
      <c r="U35" s="147">
        <f t="shared" si="17"/>
        <v>0</v>
      </c>
      <c r="V35" s="147">
        <f t="shared" si="17"/>
        <v>0</v>
      </c>
      <c r="W35" s="147">
        <f t="shared" si="17"/>
        <v>0</v>
      </c>
      <c r="X35" s="147">
        <f t="shared" si="17"/>
        <v>0</v>
      </c>
      <c r="Y35" s="147">
        <f t="shared" si="17"/>
        <v>0</v>
      </c>
      <c r="Z35" s="147">
        <f t="shared" si="17"/>
        <v>0</v>
      </c>
      <c r="AA35" s="147">
        <f t="shared" si="17"/>
        <v>0</v>
      </c>
      <c r="AB35" s="147">
        <f t="shared" si="17"/>
        <v>0</v>
      </c>
      <c r="AC35" s="147">
        <f t="shared" si="17"/>
        <v>0</v>
      </c>
      <c r="AD35" s="147">
        <f t="shared" si="17"/>
        <v>0</v>
      </c>
      <c r="AE35" s="147">
        <f t="shared" si="17"/>
        <v>0</v>
      </c>
      <c r="AF35" s="147">
        <f t="shared" si="17"/>
        <v>0</v>
      </c>
      <c r="AG35" s="147">
        <f t="shared" si="17"/>
        <v>0</v>
      </c>
      <c r="AH35" s="147">
        <f t="shared" si="17"/>
        <v>0</v>
      </c>
      <c r="AI35" s="147">
        <f t="shared" si="17"/>
        <v>0</v>
      </c>
      <c r="AJ35" s="147">
        <f t="shared" si="17"/>
        <v>0</v>
      </c>
      <c r="AK35" s="147">
        <f t="shared" si="17"/>
        <v>0</v>
      </c>
      <c r="AL35" s="147">
        <f t="shared" si="17"/>
        <v>0</v>
      </c>
      <c r="AM35" s="147">
        <f t="shared" si="17"/>
        <v>0</v>
      </c>
      <c r="AN35" s="147">
        <f t="shared" si="17"/>
        <v>0</v>
      </c>
      <c r="AO35" s="147">
        <f t="shared" si="17"/>
        <v>0</v>
      </c>
      <c r="AP35" s="147">
        <f t="shared" si="17"/>
        <v>0</v>
      </c>
      <c r="AQ35" s="147">
        <f t="shared" si="17"/>
        <v>0</v>
      </c>
      <c r="AR35" s="147">
        <f t="shared" si="17"/>
        <v>0</v>
      </c>
      <c r="AS35" s="147">
        <f t="shared" si="17"/>
        <v>0</v>
      </c>
      <c r="AT35" s="147">
        <f t="shared" si="17"/>
        <v>0</v>
      </c>
      <c r="AU35" s="147">
        <f t="shared" si="17"/>
        <v>0</v>
      </c>
      <c r="AV35" s="147">
        <f t="shared" si="17"/>
        <v>0</v>
      </c>
    </row>
    <row r="36" spans="1:50" s="253" customFormat="1" ht="12.95" customHeight="1" x14ac:dyDescent="0.2">
      <c r="B36" s="14"/>
      <c r="C36" s="253" t="s">
        <v>865</v>
      </c>
      <c r="F36" s="253" t="s">
        <v>493</v>
      </c>
      <c r="G36" s="253" t="s">
        <v>395</v>
      </c>
      <c r="H36" s="277"/>
      <c r="I36" s="147"/>
      <c r="J36" s="147"/>
      <c r="K36" s="147"/>
      <c r="L36" s="147"/>
      <c r="M36" s="147"/>
      <c r="N36" s="147"/>
      <c r="O36" s="147"/>
      <c r="P36" s="147">
        <f>P25</f>
        <v>0</v>
      </c>
      <c r="Q36" s="147">
        <f t="shared" ref="Q36:AV36" si="18">Q25-P25</f>
        <v>0</v>
      </c>
      <c r="R36" s="147">
        <f t="shared" si="18"/>
        <v>0</v>
      </c>
      <c r="S36" s="147">
        <f t="shared" si="18"/>
        <v>0</v>
      </c>
      <c r="T36" s="147">
        <f t="shared" si="18"/>
        <v>0</v>
      </c>
      <c r="U36" s="147">
        <f t="shared" si="18"/>
        <v>0</v>
      </c>
      <c r="V36" s="147">
        <f t="shared" si="18"/>
        <v>0</v>
      </c>
      <c r="W36" s="147">
        <f t="shared" si="18"/>
        <v>0</v>
      </c>
      <c r="X36" s="147">
        <f t="shared" si="18"/>
        <v>0</v>
      </c>
      <c r="Y36" s="147">
        <f t="shared" si="18"/>
        <v>0</v>
      </c>
      <c r="Z36" s="147">
        <f t="shared" si="18"/>
        <v>0</v>
      </c>
      <c r="AA36" s="147">
        <f t="shared" si="18"/>
        <v>0</v>
      </c>
      <c r="AB36" s="147">
        <f t="shared" si="18"/>
        <v>0</v>
      </c>
      <c r="AC36" s="147">
        <f t="shared" si="18"/>
        <v>0</v>
      </c>
      <c r="AD36" s="147">
        <f t="shared" si="18"/>
        <v>0</v>
      </c>
      <c r="AE36" s="147">
        <f t="shared" si="18"/>
        <v>0</v>
      </c>
      <c r="AF36" s="147">
        <f t="shared" si="18"/>
        <v>0</v>
      </c>
      <c r="AG36" s="147">
        <f t="shared" si="18"/>
        <v>0</v>
      </c>
      <c r="AH36" s="147">
        <f t="shared" si="18"/>
        <v>0</v>
      </c>
      <c r="AI36" s="147">
        <f t="shared" si="18"/>
        <v>0</v>
      </c>
      <c r="AJ36" s="147">
        <f t="shared" si="18"/>
        <v>0</v>
      </c>
      <c r="AK36" s="147">
        <f t="shared" si="18"/>
        <v>0</v>
      </c>
      <c r="AL36" s="147">
        <f t="shared" si="18"/>
        <v>0</v>
      </c>
      <c r="AM36" s="147">
        <f t="shared" si="18"/>
        <v>0</v>
      </c>
      <c r="AN36" s="147">
        <f t="shared" si="18"/>
        <v>0</v>
      </c>
      <c r="AO36" s="147">
        <f t="shared" si="18"/>
        <v>0</v>
      </c>
      <c r="AP36" s="147">
        <f t="shared" si="18"/>
        <v>0</v>
      </c>
      <c r="AQ36" s="147">
        <f t="shared" si="18"/>
        <v>0</v>
      </c>
      <c r="AR36" s="147">
        <f t="shared" si="18"/>
        <v>0</v>
      </c>
      <c r="AS36" s="147">
        <f t="shared" si="18"/>
        <v>0</v>
      </c>
      <c r="AT36" s="147">
        <f t="shared" si="18"/>
        <v>0</v>
      </c>
      <c r="AU36" s="147">
        <f t="shared" si="18"/>
        <v>0</v>
      </c>
      <c r="AV36" s="147">
        <f t="shared" si="18"/>
        <v>0</v>
      </c>
    </row>
    <row r="37" spans="1:50" s="253" customFormat="1" ht="12.95" customHeight="1" x14ac:dyDescent="0.2">
      <c r="B37" s="14"/>
      <c r="C37" s="253" t="s">
        <v>866</v>
      </c>
      <c r="F37" s="253" t="s">
        <v>493</v>
      </c>
      <c r="G37" s="253" t="s">
        <v>395</v>
      </c>
      <c r="H37" s="277"/>
      <c r="I37" s="147"/>
      <c r="J37" s="147"/>
      <c r="K37" s="147"/>
      <c r="L37" s="147"/>
      <c r="M37" s="147"/>
      <c r="N37" s="147"/>
      <c r="O37" s="147"/>
      <c r="P37" s="147"/>
      <c r="Q37" s="147">
        <f>Q26</f>
        <v>0</v>
      </c>
      <c r="R37" s="147">
        <f t="shared" ref="R37:AV37" si="19">R26-Q26</f>
        <v>0</v>
      </c>
      <c r="S37" s="147">
        <f t="shared" si="19"/>
        <v>0</v>
      </c>
      <c r="T37" s="147">
        <f t="shared" si="19"/>
        <v>0</v>
      </c>
      <c r="U37" s="147">
        <f t="shared" si="19"/>
        <v>0</v>
      </c>
      <c r="V37" s="147">
        <f t="shared" si="19"/>
        <v>0</v>
      </c>
      <c r="W37" s="147">
        <f t="shared" si="19"/>
        <v>0</v>
      </c>
      <c r="X37" s="147">
        <f t="shared" si="19"/>
        <v>0</v>
      </c>
      <c r="Y37" s="147">
        <f t="shared" si="19"/>
        <v>0</v>
      </c>
      <c r="Z37" s="147">
        <f t="shared" si="19"/>
        <v>0</v>
      </c>
      <c r="AA37" s="147">
        <f t="shared" si="19"/>
        <v>0</v>
      </c>
      <c r="AB37" s="147">
        <f t="shared" si="19"/>
        <v>0</v>
      </c>
      <c r="AC37" s="147">
        <f t="shared" si="19"/>
        <v>0</v>
      </c>
      <c r="AD37" s="147">
        <f t="shared" si="19"/>
        <v>0</v>
      </c>
      <c r="AE37" s="147">
        <f t="shared" si="19"/>
        <v>0</v>
      </c>
      <c r="AF37" s="147">
        <f t="shared" si="19"/>
        <v>0</v>
      </c>
      <c r="AG37" s="147">
        <f t="shared" si="19"/>
        <v>0</v>
      </c>
      <c r="AH37" s="147">
        <f t="shared" si="19"/>
        <v>0</v>
      </c>
      <c r="AI37" s="147">
        <f t="shared" si="19"/>
        <v>0</v>
      </c>
      <c r="AJ37" s="147">
        <f t="shared" si="19"/>
        <v>0</v>
      </c>
      <c r="AK37" s="147">
        <f t="shared" si="19"/>
        <v>0</v>
      </c>
      <c r="AL37" s="147">
        <f t="shared" si="19"/>
        <v>0</v>
      </c>
      <c r="AM37" s="147">
        <f t="shared" si="19"/>
        <v>0</v>
      </c>
      <c r="AN37" s="147">
        <f t="shared" si="19"/>
        <v>0</v>
      </c>
      <c r="AO37" s="147">
        <f t="shared" si="19"/>
        <v>0</v>
      </c>
      <c r="AP37" s="147">
        <f t="shared" si="19"/>
        <v>0</v>
      </c>
      <c r="AQ37" s="147">
        <f t="shared" si="19"/>
        <v>0</v>
      </c>
      <c r="AR37" s="147">
        <f t="shared" si="19"/>
        <v>0</v>
      </c>
      <c r="AS37" s="147">
        <f t="shared" si="19"/>
        <v>0</v>
      </c>
      <c r="AT37" s="147">
        <f t="shared" si="19"/>
        <v>0</v>
      </c>
      <c r="AU37" s="147">
        <f t="shared" si="19"/>
        <v>0</v>
      </c>
      <c r="AV37" s="147">
        <f t="shared" si="19"/>
        <v>0</v>
      </c>
    </row>
    <row r="38" spans="1:50" s="253" customFormat="1" ht="12.95" customHeight="1" x14ac:dyDescent="0.2">
      <c r="B38" s="14"/>
      <c r="C38" s="253" t="s">
        <v>867</v>
      </c>
      <c r="F38" s="253" t="s">
        <v>493</v>
      </c>
      <c r="G38" s="253" t="s">
        <v>395</v>
      </c>
      <c r="H38" s="277"/>
      <c r="I38" s="147"/>
      <c r="J38" s="147"/>
      <c r="K38" s="147"/>
      <c r="L38" s="147"/>
      <c r="M38" s="147"/>
      <c r="N38" s="147"/>
      <c r="O38" s="147"/>
      <c r="P38" s="147"/>
      <c r="Q38" s="147"/>
      <c r="R38" s="147">
        <f>R27</f>
        <v>0</v>
      </c>
      <c r="S38" s="147">
        <f t="shared" ref="S38:AV38" si="20">S27-R27</f>
        <v>0</v>
      </c>
      <c r="T38" s="147">
        <f t="shared" si="20"/>
        <v>0</v>
      </c>
      <c r="U38" s="147">
        <f t="shared" si="20"/>
        <v>0</v>
      </c>
      <c r="V38" s="147">
        <f t="shared" si="20"/>
        <v>0</v>
      </c>
      <c r="W38" s="147">
        <f t="shared" si="20"/>
        <v>0</v>
      </c>
      <c r="X38" s="147">
        <f t="shared" si="20"/>
        <v>0</v>
      </c>
      <c r="Y38" s="147">
        <f t="shared" si="20"/>
        <v>0</v>
      </c>
      <c r="Z38" s="147">
        <f t="shared" si="20"/>
        <v>0</v>
      </c>
      <c r="AA38" s="147">
        <f t="shared" si="20"/>
        <v>0</v>
      </c>
      <c r="AB38" s="147">
        <f t="shared" si="20"/>
        <v>0</v>
      </c>
      <c r="AC38" s="147">
        <f t="shared" si="20"/>
        <v>0</v>
      </c>
      <c r="AD38" s="147">
        <f t="shared" si="20"/>
        <v>0</v>
      </c>
      <c r="AE38" s="147">
        <f t="shared" si="20"/>
        <v>0</v>
      </c>
      <c r="AF38" s="147">
        <f t="shared" si="20"/>
        <v>0</v>
      </c>
      <c r="AG38" s="147">
        <f t="shared" si="20"/>
        <v>0</v>
      </c>
      <c r="AH38" s="147">
        <f t="shared" si="20"/>
        <v>0</v>
      </c>
      <c r="AI38" s="147">
        <f t="shared" si="20"/>
        <v>0</v>
      </c>
      <c r="AJ38" s="147">
        <f t="shared" si="20"/>
        <v>0</v>
      </c>
      <c r="AK38" s="147">
        <f t="shared" si="20"/>
        <v>0</v>
      </c>
      <c r="AL38" s="147">
        <f t="shared" si="20"/>
        <v>0</v>
      </c>
      <c r="AM38" s="147">
        <f t="shared" si="20"/>
        <v>0</v>
      </c>
      <c r="AN38" s="147">
        <f t="shared" si="20"/>
        <v>0</v>
      </c>
      <c r="AO38" s="147">
        <f t="shared" si="20"/>
        <v>0</v>
      </c>
      <c r="AP38" s="147">
        <f t="shared" si="20"/>
        <v>0</v>
      </c>
      <c r="AQ38" s="147">
        <f t="shared" si="20"/>
        <v>0</v>
      </c>
      <c r="AR38" s="147">
        <f t="shared" si="20"/>
        <v>0</v>
      </c>
      <c r="AS38" s="147">
        <f t="shared" si="20"/>
        <v>0</v>
      </c>
      <c r="AT38" s="147">
        <f t="shared" si="20"/>
        <v>0</v>
      </c>
      <c r="AU38" s="147">
        <f t="shared" si="20"/>
        <v>0</v>
      </c>
      <c r="AV38" s="147">
        <f t="shared" si="20"/>
        <v>0</v>
      </c>
    </row>
    <row r="39" spans="1:50" s="253" customFormat="1" ht="12.95" customHeight="1" x14ac:dyDescent="0.2">
      <c r="B39" s="253" t="s">
        <v>495</v>
      </c>
      <c r="F39" s="253" t="s">
        <v>493</v>
      </c>
      <c r="G39" s="253" t="s">
        <v>432</v>
      </c>
      <c r="H39" s="124"/>
      <c r="I39" s="124">
        <f>SRWC!$F$26*SUM(I29:I38)</f>
        <v>0</v>
      </c>
      <c r="J39" s="124">
        <f>SRWC!$F$26*SUM(J29:J38)</f>
        <v>0</v>
      </c>
      <c r="K39" s="124">
        <f>SRWC!$F$26*SUM(K29:K38)</f>
        <v>0</v>
      </c>
      <c r="L39" s="124">
        <f>SRWC!$F$26*SUM(L29:L38)</f>
        <v>0</v>
      </c>
      <c r="M39" s="124">
        <f>SRWC!$F$26*SUM(M29:M38)</f>
        <v>0</v>
      </c>
      <c r="N39" s="124">
        <f>SRWC!$F$26*SUM(N29:N38)</f>
        <v>0</v>
      </c>
      <c r="O39" s="124">
        <f>SRWC!$F$26*SUM(O29:O38)</f>
        <v>0</v>
      </c>
      <c r="P39" s="124">
        <f>SRWC!$F$26*SUM(P29:P38)</f>
        <v>0</v>
      </c>
      <c r="Q39" s="124">
        <f>SRWC!$F$26*SUM(Q29:Q38)</f>
        <v>0</v>
      </c>
      <c r="R39" s="124">
        <f>SRWC!$F$26*SUM(R29:R38)</f>
        <v>0</v>
      </c>
      <c r="S39" s="124">
        <f>SRWC!$F$26*SUM(S29:S38)</f>
        <v>0</v>
      </c>
      <c r="T39" s="124">
        <f>SRWC!$F$26*SUM(T29:T38)</f>
        <v>0</v>
      </c>
      <c r="U39" s="124">
        <f>SRWC!$F$26*SUM(U29:U38)</f>
        <v>0</v>
      </c>
      <c r="V39" s="124">
        <f>SRWC!$F$26*SUM(V29:V38)</f>
        <v>0</v>
      </c>
      <c r="W39" s="124">
        <f>SRWC!$F$26*SUM(W29:W38)</f>
        <v>0</v>
      </c>
      <c r="X39" s="124">
        <f>SRWC!$F$26*SUM(X29:X38)</f>
        <v>0</v>
      </c>
      <c r="Y39" s="124">
        <f>SRWC!$F$26*SUM(Y29:Y38)</f>
        <v>0</v>
      </c>
      <c r="Z39" s="124">
        <f>SRWC!$F$26*SUM(Z29:Z38)</f>
        <v>0</v>
      </c>
      <c r="AA39" s="124">
        <f>SRWC!$F$26*SUM(AA29:AA38)</f>
        <v>0</v>
      </c>
      <c r="AB39" s="124">
        <f>SRWC!$F$26*SUM(AB29:AB38)</f>
        <v>0</v>
      </c>
      <c r="AC39" s="124">
        <f>SRWC!$F$26*SUM(AC29:AC38)</f>
        <v>0</v>
      </c>
      <c r="AD39" s="124">
        <f>SRWC!$F$26*SUM(AD29:AD38)</f>
        <v>0</v>
      </c>
      <c r="AE39" s="124">
        <f>SRWC!$F$26*SUM(AE29:AE38)</f>
        <v>0</v>
      </c>
      <c r="AF39" s="124">
        <f>SRWC!$F$26*SUM(AF29:AF38)</f>
        <v>0</v>
      </c>
      <c r="AG39" s="124">
        <f>SRWC!$F$26*SUM(AG29:AG38)</f>
        <v>0</v>
      </c>
      <c r="AH39" s="124">
        <f>SRWC!$F$26*SUM(AH29:AH38)</f>
        <v>0</v>
      </c>
      <c r="AI39" s="124">
        <f>SRWC!$F$26*SUM(AI29:AI38)</f>
        <v>0</v>
      </c>
      <c r="AJ39" s="124">
        <f>SRWC!$F$26*SUM(AJ29:AJ38)</f>
        <v>0</v>
      </c>
      <c r="AK39" s="124">
        <f>SRWC!$F$26*SUM(AK29:AK38)</f>
        <v>0</v>
      </c>
      <c r="AL39" s="124">
        <f>SRWC!$F$26*SUM(AL29:AL38)</f>
        <v>0</v>
      </c>
      <c r="AM39" s="124">
        <f>SRWC!$F$26*SUM(AM29:AM38)</f>
        <v>0</v>
      </c>
      <c r="AN39" s="124">
        <f>SRWC!$F$26*SUM(AN29:AN38)</f>
        <v>0</v>
      </c>
      <c r="AO39" s="124">
        <f>SRWC!$F$26*SUM(AO29:AO38)</f>
        <v>0</v>
      </c>
      <c r="AP39" s="124">
        <f>SRWC!$F$26*SUM(AP29:AP38)</f>
        <v>0</v>
      </c>
      <c r="AQ39" s="124">
        <f>SRWC!$F$26*SUM(AQ29:AQ38)</f>
        <v>0</v>
      </c>
      <c r="AR39" s="124">
        <f>SRWC!$F$26*SUM(AR29:AR38)</f>
        <v>0</v>
      </c>
      <c r="AS39" s="124">
        <f>SRWC!$F$26*SUM(AS29:AS38)</f>
        <v>0</v>
      </c>
      <c r="AT39" s="124">
        <f>SRWC!$F$26*SUM(AT29:AT38)</f>
        <v>0</v>
      </c>
      <c r="AU39" s="124">
        <f>SRWC!$F$26*SUM(AU29:AU38)</f>
        <v>0</v>
      </c>
      <c r="AV39" s="124">
        <f>SRWC!$F$26*SUM(AV29:AV38)</f>
        <v>0</v>
      </c>
    </row>
    <row r="40" spans="1:50" s="253" customFormat="1" ht="12.95" customHeight="1" x14ac:dyDescent="0.2">
      <c r="A40" s="73"/>
      <c r="B40" s="14"/>
      <c r="F40" s="73"/>
      <c r="H40" s="124"/>
      <c r="I40" s="147"/>
      <c r="J40" s="147"/>
      <c r="K40" s="147"/>
      <c r="L40" s="147"/>
      <c r="M40" s="147"/>
      <c r="N40" s="147"/>
      <c r="O40" s="147"/>
      <c r="P40" s="147"/>
      <c r="Q40" s="147"/>
      <c r="R40" s="147"/>
      <c r="S40" s="147"/>
      <c r="T40" s="147"/>
      <c r="U40" s="147"/>
      <c r="V40" s="147"/>
      <c r="W40" s="147"/>
      <c r="X40" s="147"/>
      <c r="Y40" s="147"/>
      <c r="Z40" s="147"/>
      <c r="AA40" s="147"/>
      <c r="AB40" s="147"/>
      <c r="AC40" s="147"/>
      <c r="AD40" s="147"/>
      <c r="AE40" s="147"/>
      <c r="AF40" s="147"/>
      <c r="AG40" s="147"/>
      <c r="AH40" s="147"/>
      <c r="AI40" s="147"/>
      <c r="AJ40" s="147"/>
      <c r="AK40" s="147"/>
      <c r="AL40" s="147"/>
      <c r="AM40" s="147"/>
      <c r="AN40" s="147"/>
      <c r="AO40" s="147"/>
      <c r="AP40" s="147"/>
      <c r="AQ40" s="147"/>
      <c r="AR40" s="147"/>
      <c r="AS40" s="147"/>
      <c r="AT40" s="147"/>
      <c r="AU40" s="147"/>
      <c r="AV40" s="147"/>
    </row>
    <row r="41" spans="1:50" s="253" customFormat="1" ht="12.95" customHeight="1" x14ac:dyDescent="0.25">
      <c r="B41" s="307" t="s">
        <v>974</v>
      </c>
      <c r="C41" s="106"/>
      <c r="D41" s="106"/>
      <c r="E41" s="106"/>
      <c r="F41" s="106"/>
      <c r="G41" s="106"/>
      <c r="H41" s="106"/>
      <c r="I41" s="106"/>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8"/>
    </row>
    <row r="42" spans="1:50" s="253" customFormat="1" ht="12.95" customHeight="1" x14ac:dyDescent="0.25">
      <c r="B42" s="19" t="s">
        <v>300</v>
      </c>
      <c r="C42" s="75"/>
      <c r="D42" s="75"/>
      <c r="E42" s="74"/>
      <c r="F42" s="56" t="s">
        <v>491</v>
      </c>
      <c r="G42" s="113" t="s">
        <v>1</v>
      </c>
      <c r="H42" s="114" t="s">
        <v>456</v>
      </c>
      <c r="I42" s="114" t="s">
        <v>381</v>
      </c>
      <c r="J42" s="56" t="s">
        <v>382</v>
      </c>
      <c r="K42" s="56" t="s">
        <v>383</v>
      </c>
      <c r="L42" s="56" t="s">
        <v>384</v>
      </c>
      <c r="M42" s="56" t="s">
        <v>385</v>
      </c>
      <c r="N42" s="56" t="s">
        <v>386</v>
      </c>
      <c r="O42" s="56" t="s">
        <v>387</v>
      </c>
      <c r="P42" s="56" t="s">
        <v>388</v>
      </c>
      <c r="Q42" s="56" t="s">
        <v>389</v>
      </c>
      <c r="R42" s="56" t="s">
        <v>390</v>
      </c>
      <c r="S42" s="56" t="s">
        <v>401</v>
      </c>
      <c r="T42" s="56" t="s">
        <v>402</v>
      </c>
      <c r="U42" s="56" t="s">
        <v>403</v>
      </c>
      <c r="V42" s="56" t="s">
        <v>404</v>
      </c>
      <c r="W42" s="56" t="s">
        <v>405</v>
      </c>
      <c r="X42" s="56" t="s">
        <v>406</v>
      </c>
      <c r="Y42" s="56" t="s">
        <v>407</v>
      </c>
      <c r="Z42" s="56" t="s">
        <v>408</v>
      </c>
      <c r="AA42" s="56" t="s">
        <v>409</v>
      </c>
      <c r="AB42" s="56" t="s">
        <v>410</v>
      </c>
      <c r="AC42" s="56" t="s">
        <v>411</v>
      </c>
      <c r="AD42" s="56" t="s">
        <v>412</v>
      </c>
      <c r="AE42" s="56" t="s">
        <v>413</v>
      </c>
      <c r="AF42" s="56" t="s">
        <v>414</v>
      </c>
      <c r="AG42" s="56" t="s">
        <v>415</v>
      </c>
      <c r="AH42" s="56" t="s">
        <v>416</v>
      </c>
      <c r="AI42" s="56" t="s">
        <v>417</v>
      </c>
      <c r="AJ42" s="56" t="s">
        <v>418</v>
      </c>
      <c r="AK42" s="56" t="s">
        <v>419</v>
      </c>
      <c r="AL42" s="56" t="s">
        <v>420</v>
      </c>
      <c r="AM42" s="56" t="s">
        <v>421</v>
      </c>
      <c r="AN42" s="56" t="s">
        <v>422</v>
      </c>
      <c r="AO42" s="56" t="s">
        <v>423</v>
      </c>
      <c r="AP42" s="56" t="s">
        <v>424</v>
      </c>
      <c r="AQ42" s="56" t="s">
        <v>425</v>
      </c>
      <c r="AR42" s="56" t="s">
        <v>426</v>
      </c>
      <c r="AS42" s="56" t="s">
        <v>427</v>
      </c>
      <c r="AT42" s="56" t="s">
        <v>428</v>
      </c>
      <c r="AU42" s="56" t="s">
        <v>429</v>
      </c>
      <c r="AV42" s="56" t="s">
        <v>430</v>
      </c>
      <c r="AW42" s="5" t="s">
        <v>2</v>
      </c>
      <c r="AX42" s="14"/>
    </row>
    <row r="43" spans="1:50" s="253" customFormat="1" ht="12.95" customHeight="1" x14ac:dyDescent="0.2">
      <c r="B43" s="14" t="s">
        <v>970</v>
      </c>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row>
    <row r="44" spans="1:50" s="253" customFormat="1" ht="12.95" customHeight="1" x14ac:dyDescent="0.2">
      <c r="B44" s="14"/>
      <c r="C44" s="372">
        <v>1</v>
      </c>
      <c r="D44" s="372"/>
      <c r="E44" s="372"/>
      <c r="F44" s="253" t="s">
        <v>492</v>
      </c>
      <c r="G44" s="253" t="s">
        <v>4</v>
      </c>
      <c r="H44" s="124"/>
      <c r="I44" s="124">
        <v>1</v>
      </c>
      <c r="J44" s="124">
        <f>MOD(I44,SRWC!$F$8)+1</f>
        <v>2</v>
      </c>
      <c r="K44" s="124">
        <f>MOD(J44,SRWC!$F$8)+1</f>
        <v>3</v>
      </c>
      <c r="L44" s="124">
        <f>MOD(K44,SRWC!$F$8)+1</f>
        <v>4</v>
      </c>
      <c r="M44" s="124">
        <f>MOD(L44,SRWC!$F$8)+1</f>
        <v>5</v>
      </c>
      <c r="N44" s="124">
        <f>MOD(M44,SRWC!$F$8)+1</f>
        <v>6</v>
      </c>
      <c r="O44" s="124">
        <f>MOD(N44,SRWC!$F$8)+1</f>
        <v>1</v>
      </c>
      <c r="P44" s="124">
        <f>MOD(O44,SRWC!$F$8)+1</f>
        <v>2</v>
      </c>
      <c r="Q44" s="124">
        <f>MOD(P44,SRWC!$F$8)+1</f>
        <v>3</v>
      </c>
      <c r="R44" s="124">
        <f>MOD(Q44,SRWC!$F$8)+1</f>
        <v>4</v>
      </c>
      <c r="S44" s="124">
        <f>MOD(R44,SRWC!$F$8)+1</f>
        <v>5</v>
      </c>
      <c r="T44" s="124">
        <f>MOD(S44,SRWC!$F$8)+1</f>
        <v>6</v>
      </c>
      <c r="U44" s="124">
        <f>MOD(T44,SRWC!$F$8)+1</f>
        <v>1</v>
      </c>
      <c r="V44" s="124">
        <f>MOD(U44,SRWC!$F$8)+1</f>
        <v>2</v>
      </c>
      <c r="W44" s="124">
        <f>MOD(V44,SRWC!$F$8)+1</f>
        <v>3</v>
      </c>
      <c r="X44" s="124">
        <f>MOD(W44,SRWC!$F$8)+1</f>
        <v>4</v>
      </c>
      <c r="Y44" s="124">
        <f>MOD(X44,SRWC!$F$8)+1</f>
        <v>5</v>
      </c>
      <c r="Z44" s="124">
        <f>MOD(Y44,SRWC!$F$8)+1</f>
        <v>6</v>
      </c>
      <c r="AA44" s="124">
        <f>MOD(Z44,SRWC!$F$8)+1</f>
        <v>1</v>
      </c>
      <c r="AB44" s="124">
        <f>MOD(AA44,SRWC!$F$8)+1</f>
        <v>2</v>
      </c>
      <c r="AC44" s="124">
        <f>MOD(AB44,SRWC!$F$8)+1</f>
        <v>3</v>
      </c>
      <c r="AD44" s="124">
        <f>MOD(AC44,SRWC!$F$8)+1</f>
        <v>4</v>
      </c>
      <c r="AE44" s="124">
        <f>MOD(AD44,SRWC!$F$8)+1</f>
        <v>5</v>
      </c>
      <c r="AF44" s="124">
        <f>MOD(AE44,SRWC!$F$8)+1</f>
        <v>6</v>
      </c>
      <c r="AG44" s="124">
        <f>MOD(AF44,SRWC!$F$8)+1</f>
        <v>1</v>
      </c>
      <c r="AH44" s="124">
        <f>MOD(AG44,SRWC!$F$8)+1</f>
        <v>2</v>
      </c>
      <c r="AI44" s="124">
        <f>MOD(AH44,SRWC!$F$8)+1</f>
        <v>3</v>
      </c>
      <c r="AJ44" s="124">
        <f>MOD(AI44,SRWC!$F$8)+1</f>
        <v>4</v>
      </c>
      <c r="AK44" s="124">
        <f>MOD(AJ44,SRWC!$F$8)+1</f>
        <v>5</v>
      </c>
      <c r="AL44" s="124">
        <f>MOD(AK44,SRWC!$F$8)+1</f>
        <v>6</v>
      </c>
      <c r="AM44" s="124">
        <f>MOD(AL44,SRWC!$F$8)+1</f>
        <v>1</v>
      </c>
      <c r="AN44" s="124">
        <f>MOD(AM44,SRWC!$F$8)+1</f>
        <v>2</v>
      </c>
      <c r="AO44" s="124">
        <f>MOD(AN44,SRWC!$F$8)+1</f>
        <v>3</v>
      </c>
      <c r="AP44" s="124">
        <f>MOD(AO44,SRWC!$F$8)+1</f>
        <v>4</v>
      </c>
      <c r="AQ44" s="124">
        <f>MOD(AP44,SRWC!$F$8)+1</f>
        <v>5</v>
      </c>
      <c r="AR44" s="124">
        <f>MOD(AQ44,SRWC!$F$8)+1</f>
        <v>6</v>
      </c>
      <c r="AS44" s="124">
        <f>MOD(AR44,SRWC!$F$8)+1</f>
        <v>1</v>
      </c>
      <c r="AT44" s="124">
        <f>MOD(AS44,SRWC!$F$8)+1</f>
        <v>2</v>
      </c>
      <c r="AU44" s="124">
        <f>MOD(AT44,SRWC!$F$8)+1</f>
        <v>3</v>
      </c>
      <c r="AV44" s="124">
        <f>MOD(AU44,SRWC!$F$8)+1</f>
        <v>4</v>
      </c>
    </row>
    <row r="45" spans="1:50" s="253" customFormat="1" ht="12.95" customHeight="1" x14ac:dyDescent="0.2">
      <c r="B45" s="14"/>
      <c r="C45" s="372">
        <v>2</v>
      </c>
      <c r="D45" s="372"/>
      <c r="E45" s="372"/>
      <c r="F45" s="253" t="s">
        <v>492</v>
      </c>
      <c r="G45" s="253" t="s">
        <v>4</v>
      </c>
      <c r="H45" s="124"/>
      <c r="I45" s="124"/>
      <c r="J45" s="124">
        <f>IF($C45&gt;SRWC!$F$8,0,I44)</f>
        <v>1</v>
      </c>
      <c r="K45" s="124">
        <f>IF($C45&gt;SRWC!$F$8,0,J44)</f>
        <v>2</v>
      </c>
      <c r="L45" s="124">
        <f>IF($C45&gt;SRWC!$F$8,0,K44)</f>
        <v>3</v>
      </c>
      <c r="M45" s="124">
        <f>IF($C45&gt;SRWC!$F$8,0,L44)</f>
        <v>4</v>
      </c>
      <c r="N45" s="124">
        <f>IF($C45&gt;SRWC!$F$8,0,M44)</f>
        <v>5</v>
      </c>
      <c r="O45" s="124">
        <f>IF($C45&gt;SRWC!$F$8,0,N44)</f>
        <v>6</v>
      </c>
      <c r="P45" s="124">
        <f>IF($C45&gt;SRWC!$F$8,0,O44)</f>
        <v>1</v>
      </c>
      <c r="Q45" s="124">
        <f>IF($C45&gt;SRWC!$F$8,0,P44)</f>
        <v>2</v>
      </c>
      <c r="R45" s="124">
        <f>IF($C45&gt;SRWC!$F$8,0,Q44)</f>
        <v>3</v>
      </c>
      <c r="S45" s="124">
        <f>IF($C45&gt;SRWC!$F$8,0,R44)</f>
        <v>4</v>
      </c>
      <c r="T45" s="124">
        <f>IF($C45&gt;SRWC!$F$8,0,S44)</f>
        <v>5</v>
      </c>
      <c r="U45" s="124">
        <f>IF($C45&gt;SRWC!$F$8,0,T44)</f>
        <v>6</v>
      </c>
      <c r="V45" s="124">
        <f>IF($C45&gt;SRWC!$F$8,0,U44)</f>
        <v>1</v>
      </c>
      <c r="W45" s="124">
        <f>IF($C45&gt;SRWC!$F$8,0,V44)</f>
        <v>2</v>
      </c>
      <c r="X45" s="124">
        <f>IF($C45&gt;SRWC!$F$8,0,W44)</f>
        <v>3</v>
      </c>
      <c r="Y45" s="124">
        <f>IF($C45&gt;SRWC!$F$8,0,X44)</f>
        <v>4</v>
      </c>
      <c r="Z45" s="124">
        <f>IF($C45&gt;SRWC!$F$8,0,Y44)</f>
        <v>5</v>
      </c>
      <c r="AA45" s="124">
        <f>IF($C45&gt;SRWC!$F$8,0,Z44)</f>
        <v>6</v>
      </c>
      <c r="AB45" s="124">
        <f>IF($C45&gt;SRWC!$F$8,0,AA44)</f>
        <v>1</v>
      </c>
      <c r="AC45" s="124">
        <f>IF($C45&gt;SRWC!$F$8,0,AB44)</f>
        <v>2</v>
      </c>
      <c r="AD45" s="124">
        <f>IF($C45&gt;SRWC!$F$8,0,AC44)</f>
        <v>3</v>
      </c>
      <c r="AE45" s="124">
        <f>IF($C45&gt;SRWC!$F$8,0,AD44)</f>
        <v>4</v>
      </c>
      <c r="AF45" s="124">
        <f>IF($C45&gt;SRWC!$F$8,0,AE44)</f>
        <v>5</v>
      </c>
      <c r="AG45" s="124">
        <f>IF($C45&gt;SRWC!$F$8,0,AF44)</f>
        <v>6</v>
      </c>
      <c r="AH45" s="124">
        <f>IF($C45&gt;SRWC!$F$8,0,AG44)</f>
        <v>1</v>
      </c>
      <c r="AI45" s="124">
        <f>IF($C45&gt;SRWC!$F$8,0,AH44)</f>
        <v>2</v>
      </c>
      <c r="AJ45" s="124">
        <f>IF($C45&gt;SRWC!$F$8,0,AI44)</f>
        <v>3</v>
      </c>
      <c r="AK45" s="124">
        <f>IF($C45&gt;SRWC!$F$8,0,AJ44)</f>
        <v>4</v>
      </c>
      <c r="AL45" s="124">
        <f>IF($C45&gt;SRWC!$F$8,0,AK44)</f>
        <v>5</v>
      </c>
      <c r="AM45" s="124">
        <f>IF($C45&gt;SRWC!$F$8,0,AL44)</f>
        <v>6</v>
      </c>
      <c r="AN45" s="124">
        <f>IF($C45&gt;SRWC!$F$8,0,AM44)</f>
        <v>1</v>
      </c>
      <c r="AO45" s="124">
        <f>IF($C45&gt;SRWC!$F$8,0,AN44)</f>
        <v>2</v>
      </c>
      <c r="AP45" s="124">
        <f>IF($C45&gt;SRWC!$F$8,0,AO44)</f>
        <v>3</v>
      </c>
      <c r="AQ45" s="124">
        <f>IF($C45&gt;SRWC!$F$8,0,AP44)</f>
        <v>4</v>
      </c>
      <c r="AR45" s="124">
        <f>IF($C45&gt;SRWC!$F$8,0,AQ44)</f>
        <v>5</v>
      </c>
      <c r="AS45" s="124">
        <f>IF($C45&gt;SRWC!$F$8,0,AR44)</f>
        <v>6</v>
      </c>
      <c r="AT45" s="124">
        <f>IF($C45&gt;SRWC!$F$8,0,AS44)</f>
        <v>1</v>
      </c>
      <c r="AU45" s="124">
        <f>IF($C45&gt;SRWC!$F$8,0,AT44)</f>
        <v>2</v>
      </c>
      <c r="AV45" s="124">
        <f>IF($C45&gt;SRWC!$F$8,0,AU44)</f>
        <v>3</v>
      </c>
    </row>
    <row r="46" spans="1:50" s="253" customFormat="1" ht="12.95" customHeight="1" x14ac:dyDescent="0.2">
      <c r="B46" s="14"/>
      <c r="C46" s="372">
        <v>3</v>
      </c>
      <c r="D46" s="372"/>
      <c r="E46" s="372"/>
      <c r="F46" s="253" t="s">
        <v>492</v>
      </c>
      <c r="G46" s="253" t="s">
        <v>4</v>
      </c>
      <c r="H46" s="124"/>
      <c r="I46" s="124"/>
      <c r="J46" s="124"/>
      <c r="K46" s="124">
        <f>IF($C46&gt;SRWC!$F$8,0,J45)</f>
        <v>1</v>
      </c>
      <c r="L46" s="124">
        <f>IF($C46&gt;SRWC!$F$8,0,K45)</f>
        <v>2</v>
      </c>
      <c r="M46" s="124">
        <f>IF($C46&gt;SRWC!$F$8,0,L45)</f>
        <v>3</v>
      </c>
      <c r="N46" s="124">
        <f>IF($C46&gt;SRWC!$F$8,0,M45)</f>
        <v>4</v>
      </c>
      <c r="O46" s="124">
        <f>IF($C46&gt;SRWC!$F$8,0,N45)</f>
        <v>5</v>
      </c>
      <c r="P46" s="124">
        <f>IF($C46&gt;SRWC!$F$8,0,O45)</f>
        <v>6</v>
      </c>
      <c r="Q46" s="124">
        <f>IF($C46&gt;SRWC!$F$8,0,P45)</f>
        <v>1</v>
      </c>
      <c r="R46" s="124">
        <f>IF($C46&gt;SRWC!$F$8,0,Q45)</f>
        <v>2</v>
      </c>
      <c r="S46" s="124">
        <f>IF($C46&gt;SRWC!$F$8,0,R45)</f>
        <v>3</v>
      </c>
      <c r="T46" s="124">
        <f>IF($C46&gt;SRWC!$F$8,0,S45)</f>
        <v>4</v>
      </c>
      <c r="U46" s="124">
        <f>IF($C46&gt;SRWC!$F$8,0,T45)</f>
        <v>5</v>
      </c>
      <c r="V46" s="124">
        <f>IF($C46&gt;SRWC!$F$8,0,U45)</f>
        <v>6</v>
      </c>
      <c r="W46" s="124">
        <f>IF($C46&gt;SRWC!$F$8,0,V45)</f>
        <v>1</v>
      </c>
      <c r="X46" s="124">
        <f>IF($C46&gt;SRWC!$F$8,0,W45)</f>
        <v>2</v>
      </c>
      <c r="Y46" s="124">
        <f>IF($C46&gt;SRWC!$F$8,0,X45)</f>
        <v>3</v>
      </c>
      <c r="Z46" s="124">
        <f>IF($C46&gt;SRWC!$F$8,0,Y45)</f>
        <v>4</v>
      </c>
      <c r="AA46" s="124">
        <f>IF($C46&gt;SRWC!$F$8,0,Z45)</f>
        <v>5</v>
      </c>
      <c r="AB46" s="124">
        <f>IF($C46&gt;SRWC!$F$8,0,AA45)</f>
        <v>6</v>
      </c>
      <c r="AC46" s="124">
        <f>IF($C46&gt;SRWC!$F$8,0,AB45)</f>
        <v>1</v>
      </c>
      <c r="AD46" s="124">
        <f>IF($C46&gt;SRWC!$F$8,0,AC45)</f>
        <v>2</v>
      </c>
      <c r="AE46" s="124">
        <f>IF($C46&gt;SRWC!$F$8,0,AD45)</f>
        <v>3</v>
      </c>
      <c r="AF46" s="124">
        <f>IF($C46&gt;SRWC!$F$8,0,AE45)</f>
        <v>4</v>
      </c>
      <c r="AG46" s="124">
        <f>IF($C46&gt;SRWC!$F$8,0,AF45)</f>
        <v>5</v>
      </c>
      <c r="AH46" s="124">
        <f>IF($C46&gt;SRWC!$F$8,0,AG45)</f>
        <v>6</v>
      </c>
      <c r="AI46" s="124">
        <f>IF($C46&gt;SRWC!$F$8,0,AH45)</f>
        <v>1</v>
      </c>
      <c r="AJ46" s="124">
        <f>IF($C46&gt;SRWC!$F$8,0,AI45)</f>
        <v>2</v>
      </c>
      <c r="AK46" s="124">
        <f>IF($C46&gt;SRWC!$F$8,0,AJ45)</f>
        <v>3</v>
      </c>
      <c r="AL46" s="124">
        <f>IF($C46&gt;SRWC!$F$8,0,AK45)</f>
        <v>4</v>
      </c>
      <c r="AM46" s="124">
        <f>IF($C46&gt;SRWC!$F$8,0,AL45)</f>
        <v>5</v>
      </c>
      <c r="AN46" s="124">
        <f>IF($C46&gt;SRWC!$F$8,0,AM45)</f>
        <v>6</v>
      </c>
      <c r="AO46" s="124">
        <f>IF($C46&gt;SRWC!$F$8,0,AN45)</f>
        <v>1</v>
      </c>
      <c r="AP46" s="124">
        <f>IF($C46&gt;SRWC!$F$8,0,AO45)</f>
        <v>2</v>
      </c>
      <c r="AQ46" s="124">
        <f>IF($C46&gt;SRWC!$F$8,0,AP45)</f>
        <v>3</v>
      </c>
      <c r="AR46" s="124">
        <f>IF($C46&gt;SRWC!$F$8,0,AQ45)</f>
        <v>4</v>
      </c>
      <c r="AS46" s="124">
        <f>IF($C46&gt;SRWC!$F$8,0,AR45)</f>
        <v>5</v>
      </c>
      <c r="AT46" s="124">
        <f>IF($C46&gt;SRWC!$F$8,0,AS45)</f>
        <v>6</v>
      </c>
      <c r="AU46" s="124">
        <f>IF($C46&gt;SRWC!$F$8,0,AT45)</f>
        <v>1</v>
      </c>
      <c r="AV46" s="124">
        <f>IF($C46&gt;SRWC!$F$8,0,AU45)</f>
        <v>2</v>
      </c>
    </row>
    <row r="47" spans="1:50" s="253" customFormat="1" ht="12.95" customHeight="1" x14ac:dyDescent="0.2">
      <c r="B47" s="14"/>
      <c r="C47" s="372">
        <v>4</v>
      </c>
      <c r="D47" s="372"/>
      <c r="E47" s="372"/>
      <c r="F47" s="253" t="s">
        <v>492</v>
      </c>
      <c r="G47" s="253" t="s">
        <v>4</v>
      </c>
      <c r="H47" s="124"/>
      <c r="I47" s="124"/>
      <c r="J47" s="124"/>
      <c r="K47" s="124"/>
      <c r="L47" s="301">
        <f>IF($C47&gt;SRWC!$F$8,0,K46)</f>
        <v>1</v>
      </c>
      <c r="M47" s="124">
        <f>IF($C47&gt;SRWC!$F$8,0,L46)</f>
        <v>2</v>
      </c>
      <c r="N47" s="124">
        <f>IF($C47&gt;SRWC!$F$8,0,M46)</f>
        <v>3</v>
      </c>
      <c r="O47" s="124">
        <f>IF($C47&gt;SRWC!$F$8,0,N46)</f>
        <v>4</v>
      </c>
      <c r="P47" s="124">
        <f>IF($C47&gt;SRWC!$F$8,0,O46)</f>
        <v>5</v>
      </c>
      <c r="Q47" s="124">
        <f>IF($C47&gt;SRWC!$F$8,0,P46)</f>
        <v>6</v>
      </c>
      <c r="R47" s="124">
        <f>IF($C47&gt;SRWC!$F$8,0,Q46)</f>
        <v>1</v>
      </c>
      <c r="S47" s="124">
        <f>IF($C47&gt;SRWC!$F$8,0,R46)</f>
        <v>2</v>
      </c>
      <c r="T47" s="124">
        <f>IF($C47&gt;SRWC!$F$8,0,S46)</f>
        <v>3</v>
      </c>
      <c r="U47" s="124">
        <f>IF($C47&gt;SRWC!$F$8,0,T46)</f>
        <v>4</v>
      </c>
      <c r="V47" s="124">
        <f>IF($C47&gt;SRWC!$F$8,0,U46)</f>
        <v>5</v>
      </c>
      <c r="W47" s="124">
        <f>IF($C47&gt;SRWC!$F$8,0,V46)</f>
        <v>6</v>
      </c>
      <c r="X47" s="124">
        <f>IF($C47&gt;SRWC!$F$8,0,W46)</f>
        <v>1</v>
      </c>
      <c r="Y47" s="124">
        <f>IF($C47&gt;SRWC!$F$8,0,X46)</f>
        <v>2</v>
      </c>
      <c r="Z47" s="124">
        <f>IF($C47&gt;SRWC!$F$8,0,Y46)</f>
        <v>3</v>
      </c>
      <c r="AA47" s="124">
        <f>IF($C47&gt;SRWC!$F$8,0,Z46)</f>
        <v>4</v>
      </c>
      <c r="AB47" s="124">
        <f>IF($C47&gt;SRWC!$F$8,0,AA46)</f>
        <v>5</v>
      </c>
      <c r="AC47" s="124">
        <f>IF($C47&gt;SRWC!$F$8,0,AB46)</f>
        <v>6</v>
      </c>
      <c r="AD47" s="124">
        <f>IF($C47&gt;SRWC!$F$8,0,AC46)</f>
        <v>1</v>
      </c>
      <c r="AE47" s="124">
        <f>IF($C47&gt;SRWC!$F$8,0,AD46)</f>
        <v>2</v>
      </c>
      <c r="AF47" s="124">
        <f>IF($C47&gt;SRWC!$F$8,0,AE46)</f>
        <v>3</v>
      </c>
      <c r="AG47" s="124">
        <f>IF($C47&gt;SRWC!$F$8,0,AF46)</f>
        <v>4</v>
      </c>
      <c r="AH47" s="124">
        <f>IF($C47&gt;SRWC!$F$8,0,AG46)</f>
        <v>5</v>
      </c>
      <c r="AI47" s="124">
        <f>IF($C47&gt;SRWC!$F$8,0,AH46)</f>
        <v>6</v>
      </c>
      <c r="AJ47" s="124">
        <f>IF($C47&gt;SRWC!$F$8,0,AI46)</f>
        <v>1</v>
      </c>
      <c r="AK47" s="124">
        <f>IF($C47&gt;SRWC!$F$8,0,AJ46)</f>
        <v>2</v>
      </c>
      <c r="AL47" s="124">
        <f>IF($C47&gt;SRWC!$F$8,0,AK46)</f>
        <v>3</v>
      </c>
      <c r="AM47" s="124">
        <f>IF($C47&gt;SRWC!$F$8,0,AL46)</f>
        <v>4</v>
      </c>
      <c r="AN47" s="124">
        <f>IF($C47&gt;SRWC!$F$8,0,AM46)</f>
        <v>5</v>
      </c>
      <c r="AO47" s="124">
        <f>IF($C47&gt;SRWC!$F$8,0,AN46)</f>
        <v>6</v>
      </c>
      <c r="AP47" s="124">
        <f>IF($C47&gt;SRWC!$F$8,0,AO46)</f>
        <v>1</v>
      </c>
      <c r="AQ47" s="124">
        <f>IF($C47&gt;SRWC!$F$8,0,AP46)</f>
        <v>2</v>
      </c>
      <c r="AR47" s="124">
        <f>IF($C47&gt;SRWC!$F$8,0,AQ46)</f>
        <v>3</v>
      </c>
      <c r="AS47" s="124">
        <f>IF($C47&gt;SRWC!$F$8,0,AR46)</f>
        <v>4</v>
      </c>
      <c r="AT47" s="124">
        <f>IF($C47&gt;SRWC!$F$8,0,AS46)</f>
        <v>5</v>
      </c>
      <c r="AU47" s="124">
        <f>IF($C47&gt;SRWC!$F$8,0,AT46)</f>
        <v>6</v>
      </c>
      <c r="AV47" s="124">
        <f>IF($C47&gt;SRWC!$F$8,0,AU46)</f>
        <v>1</v>
      </c>
    </row>
    <row r="48" spans="1:50" s="253" customFormat="1" ht="12.95" customHeight="1" x14ac:dyDescent="0.2">
      <c r="B48" s="14"/>
      <c r="C48" s="372">
        <v>5</v>
      </c>
      <c r="D48" s="372"/>
      <c r="E48" s="372"/>
      <c r="F48" s="253" t="s">
        <v>492</v>
      </c>
      <c r="G48" s="253" t="s">
        <v>4</v>
      </c>
      <c r="H48" s="124"/>
      <c r="I48" s="124"/>
      <c r="J48" s="124"/>
      <c r="K48" s="124"/>
      <c r="L48" s="124"/>
      <c r="M48" s="124">
        <f>IF($C48&gt;SRWC!$F$8,0,L47)</f>
        <v>1</v>
      </c>
      <c r="N48" s="124">
        <f>IF($C48&gt;SRWC!$F$8,0,M47)</f>
        <v>2</v>
      </c>
      <c r="O48" s="124">
        <f>IF($C48&gt;SRWC!$F$8,0,N47)</f>
        <v>3</v>
      </c>
      <c r="P48" s="124">
        <f>IF($C48&gt;SRWC!$F$8,0,O47)</f>
        <v>4</v>
      </c>
      <c r="Q48" s="124">
        <f>IF($C48&gt;SRWC!$F$8,0,P47)</f>
        <v>5</v>
      </c>
      <c r="R48" s="124">
        <f>IF($C48&gt;SRWC!$F$8,0,Q47)</f>
        <v>6</v>
      </c>
      <c r="S48" s="124">
        <f>IF($C48&gt;SRWC!$F$8,0,R47)</f>
        <v>1</v>
      </c>
      <c r="T48" s="124">
        <f>IF($C48&gt;SRWC!$F$8,0,S47)</f>
        <v>2</v>
      </c>
      <c r="U48" s="124">
        <f>IF($C48&gt;SRWC!$F$8,0,T47)</f>
        <v>3</v>
      </c>
      <c r="V48" s="124">
        <f>IF($C48&gt;SRWC!$F$8,0,U47)</f>
        <v>4</v>
      </c>
      <c r="W48" s="124">
        <f>IF($C48&gt;SRWC!$F$8,0,V47)</f>
        <v>5</v>
      </c>
      <c r="X48" s="124">
        <f>IF($C48&gt;SRWC!$F$8,0,W47)</f>
        <v>6</v>
      </c>
      <c r="Y48" s="124">
        <f>IF($C48&gt;SRWC!$F$8,0,X47)</f>
        <v>1</v>
      </c>
      <c r="Z48" s="124">
        <f>IF($C48&gt;SRWC!$F$8,0,Y47)</f>
        <v>2</v>
      </c>
      <c r="AA48" s="124">
        <f>IF($C48&gt;SRWC!$F$8,0,Z47)</f>
        <v>3</v>
      </c>
      <c r="AB48" s="124">
        <f>IF($C48&gt;SRWC!$F$8,0,AA47)</f>
        <v>4</v>
      </c>
      <c r="AC48" s="124">
        <f>IF($C48&gt;SRWC!$F$8,0,AB47)</f>
        <v>5</v>
      </c>
      <c r="AD48" s="124">
        <f>IF($C48&gt;SRWC!$F$8,0,AC47)</f>
        <v>6</v>
      </c>
      <c r="AE48" s="124">
        <f>IF($C48&gt;SRWC!$F$8,0,AD47)</f>
        <v>1</v>
      </c>
      <c r="AF48" s="124">
        <f>IF($C48&gt;SRWC!$F$8,0,AE47)</f>
        <v>2</v>
      </c>
      <c r="AG48" s="124">
        <f>IF($C48&gt;SRWC!$F$8,0,AF47)</f>
        <v>3</v>
      </c>
      <c r="AH48" s="124">
        <f>IF($C48&gt;SRWC!$F$8,0,AG47)</f>
        <v>4</v>
      </c>
      <c r="AI48" s="124">
        <f>IF($C48&gt;SRWC!$F$8,0,AH47)</f>
        <v>5</v>
      </c>
      <c r="AJ48" s="124">
        <f>IF($C48&gt;SRWC!$F$8,0,AI47)</f>
        <v>6</v>
      </c>
      <c r="AK48" s="124">
        <f>IF($C48&gt;SRWC!$F$8,0,AJ47)</f>
        <v>1</v>
      </c>
      <c r="AL48" s="124">
        <f>IF($C48&gt;SRWC!$F$8,0,AK47)</f>
        <v>2</v>
      </c>
      <c r="AM48" s="124">
        <f>IF($C48&gt;SRWC!$F$8,0,AL47)</f>
        <v>3</v>
      </c>
      <c r="AN48" s="124">
        <f>IF($C48&gt;SRWC!$F$8,0,AM47)</f>
        <v>4</v>
      </c>
      <c r="AO48" s="124">
        <f>IF($C48&gt;SRWC!$F$8,0,AN47)</f>
        <v>5</v>
      </c>
      <c r="AP48" s="124">
        <f>IF($C48&gt;SRWC!$F$8,0,AO47)</f>
        <v>6</v>
      </c>
      <c r="AQ48" s="124">
        <f>IF($C48&gt;SRWC!$F$8,0,AP47)</f>
        <v>1</v>
      </c>
      <c r="AR48" s="124">
        <f>IF($C48&gt;SRWC!$F$8,0,AQ47)</f>
        <v>2</v>
      </c>
      <c r="AS48" s="124">
        <f>IF($C48&gt;SRWC!$F$8,0,AR47)</f>
        <v>3</v>
      </c>
      <c r="AT48" s="124">
        <f>IF($C48&gt;SRWC!$F$8,0,AS47)</f>
        <v>4</v>
      </c>
      <c r="AU48" s="124">
        <f>IF($C48&gt;SRWC!$F$8,0,AT47)</f>
        <v>5</v>
      </c>
      <c r="AV48" s="124">
        <f>IF($C48&gt;SRWC!$F$8,0,AU47)</f>
        <v>6</v>
      </c>
    </row>
    <row r="49" spans="2:48" s="253" customFormat="1" ht="12.95" customHeight="1" x14ac:dyDescent="0.2">
      <c r="B49" s="14"/>
      <c r="C49" s="372">
        <v>6</v>
      </c>
      <c r="D49" s="372"/>
      <c r="E49" s="372"/>
      <c r="F49" s="253" t="s">
        <v>492</v>
      </c>
      <c r="G49" s="253" t="s">
        <v>4</v>
      </c>
      <c r="H49" s="124"/>
      <c r="I49" s="124"/>
      <c r="J49" s="124"/>
      <c r="K49" s="124"/>
      <c r="L49" s="124"/>
      <c r="M49" s="124"/>
      <c r="N49" s="124">
        <f>IF($C49&gt;SRWC!$F$8,0,M48)</f>
        <v>1</v>
      </c>
      <c r="O49" s="124">
        <f>IF($C49&gt;SRWC!$F$8,0,N48)</f>
        <v>2</v>
      </c>
      <c r="P49" s="124">
        <f>IF($C49&gt;SRWC!$F$8,0,O48)</f>
        <v>3</v>
      </c>
      <c r="Q49" s="124">
        <f>IF($C49&gt;SRWC!$F$8,0,P48)</f>
        <v>4</v>
      </c>
      <c r="R49" s="124">
        <f>IF($C49&gt;SRWC!$F$8,0,Q48)</f>
        <v>5</v>
      </c>
      <c r="S49" s="124">
        <f>IF($C49&gt;SRWC!$F$8,0,R48)</f>
        <v>6</v>
      </c>
      <c r="T49" s="124">
        <f>IF($C49&gt;SRWC!$F$8,0,S48)</f>
        <v>1</v>
      </c>
      <c r="U49" s="124">
        <f>IF($C49&gt;SRWC!$F$8,0,T48)</f>
        <v>2</v>
      </c>
      <c r="V49" s="124">
        <f>IF($C49&gt;SRWC!$F$8,0,U48)</f>
        <v>3</v>
      </c>
      <c r="W49" s="124">
        <f>IF($C49&gt;SRWC!$F$8,0,V48)</f>
        <v>4</v>
      </c>
      <c r="X49" s="124">
        <f>IF($C49&gt;SRWC!$F$8,0,W48)</f>
        <v>5</v>
      </c>
      <c r="Y49" s="124">
        <f>IF($C49&gt;SRWC!$F$8,0,X48)</f>
        <v>6</v>
      </c>
      <c r="Z49" s="124">
        <f>IF($C49&gt;SRWC!$F$8,0,Y48)</f>
        <v>1</v>
      </c>
      <c r="AA49" s="124">
        <f>IF($C49&gt;SRWC!$F$8,0,Z48)</f>
        <v>2</v>
      </c>
      <c r="AB49" s="124">
        <f>IF($C49&gt;SRWC!$F$8,0,AA48)</f>
        <v>3</v>
      </c>
      <c r="AC49" s="124">
        <f>IF($C49&gt;SRWC!$F$8,0,AB48)</f>
        <v>4</v>
      </c>
      <c r="AD49" s="124">
        <f>IF($C49&gt;SRWC!$F$8,0,AC48)</f>
        <v>5</v>
      </c>
      <c r="AE49" s="124">
        <f>IF($C49&gt;SRWC!$F$8,0,AD48)</f>
        <v>6</v>
      </c>
      <c r="AF49" s="124">
        <f>IF($C49&gt;SRWC!$F$8,0,AE48)</f>
        <v>1</v>
      </c>
      <c r="AG49" s="124">
        <f>IF($C49&gt;SRWC!$F$8,0,AF48)</f>
        <v>2</v>
      </c>
      <c r="AH49" s="124">
        <f>IF($C49&gt;SRWC!$F$8,0,AG48)</f>
        <v>3</v>
      </c>
      <c r="AI49" s="124">
        <f>IF($C49&gt;SRWC!$F$8,0,AH48)</f>
        <v>4</v>
      </c>
      <c r="AJ49" s="124">
        <f>IF($C49&gt;SRWC!$F$8,0,AI48)</f>
        <v>5</v>
      </c>
      <c r="AK49" s="124">
        <f>IF($C49&gt;SRWC!$F$8,0,AJ48)</f>
        <v>6</v>
      </c>
      <c r="AL49" s="124">
        <f>IF($C49&gt;SRWC!$F$8,0,AK48)</f>
        <v>1</v>
      </c>
      <c r="AM49" s="124">
        <f>IF($C49&gt;SRWC!$F$8,0,AL48)</f>
        <v>2</v>
      </c>
      <c r="AN49" s="124">
        <f>IF($C49&gt;SRWC!$F$8,0,AM48)</f>
        <v>3</v>
      </c>
      <c r="AO49" s="124">
        <f>IF($C49&gt;SRWC!$F$8,0,AN48)</f>
        <v>4</v>
      </c>
      <c r="AP49" s="124">
        <f>IF($C49&gt;SRWC!$F$8,0,AO48)</f>
        <v>5</v>
      </c>
      <c r="AQ49" s="124">
        <f>IF($C49&gt;SRWC!$F$8,0,AP48)</f>
        <v>6</v>
      </c>
      <c r="AR49" s="124">
        <f>IF($C49&gt;SRWC!$F$8,0,AQ48)</f>
        <v>1</v>
      </c>
      <c r="AS49" s="124">
        <f>IF($C49&gt;SRWC!$F$8,0,AR48)</f>
        <v>2</v>
      </c>
      <c r="AT49" s="124">
        <f>IF($C49&gt;SRWC!$F$8,0,AS48)</f>
        <v>3</v>
      </c>
      <c r="AU49" s="124">
        <f>IF($C49&gt;SRWC!$F$8,0,AT48)</f>
        <v>4</v>
      </c>
      <c r="AV49" s="124">
        <f>IF($C49&gt;SRWC!$F$8,0,AU48)</f>
        <v>5</v>
      </c>
    </row>
    <row r="50" spans="2:48" s="253" customFormat="1" ht="12.95" customHeight="1" x14ac:dyDescent="0.2">
      <c r="B50" s="14"/>
      <c r="C50" s="372">
        <v>7</v>
      </c>
      <c r="D50" s="372"/>
      <c r="E50" s="372"/>
      <c r="F50" s="253" t="s">
        <v>492</v>
      </c>
      <c r="G50" s="253" t="s">
        <v>4</v>
      </c>
      <c r="H50" s="124"/>
      <c r="I50" s="124"/>
      <c r="J50" s="124"/>
      <c r="K50" s="124"/>
      <c r="L50" s="124"/>
      <c r="M50" s="124"/>
      <c r="N50" s="124"/>
      <c r="O50" s="124">
        <f>IF($C50&gt;SRWC!$F$8,0,N49)</f>
        <v>0</v>
      </c>
      <c r="P50" s="124">
        <f>IF($C50&gt;SRWC!$F$8,0,O49)</f>
        <v>0</v>
      </c>
      <c r="Q50" s="124">
        <f>IF($C50&gt;SRWC!$F$8,0,P49)</f>
        <v>0</v>
      </c>
      <c r="R50" s="124">
        <f>IF($C50&gt;SRWC!$F$8,0,Q49)</f>
        <v>0</v>
      </c>
      <c r="S50" s="124">
        <f>IF($C50&gt;SRWC!$F$8,0,R49)</f>
        <v>0</v>
      </c>
      <c r="T50" s="124">
        <f>IF($C50&gt;SRWC!$F$8,0,S49)</f>
        <v>0</v>
      </c>
      <c r="U50" s="124">
        <f>IF($C50&gt;SRWC!$F$8,0,T49)</f>
        <v>0</v>
      </c>
      <c r="V50" s="124">
        <f>IF($C50&gt;SRWC!$F$8,0,U49)</f>
        <v>0</v>
      </c>
      <c r="W50" s="124">
        <f>IF($C50&gt;SRWC!$F$8,0,V49)</f>
        <v>0</v>
      </c>
      <c r="X50" s="124">
        <f>IF($C50&gt;SRWC!$F$8,0,W49)</f>
        <v>0</v>
      </c>
      <c r="Y50" s="124">
        <f>IF($C50&gt;SRWC!$F$8,0,X49)</f>
        <v>0</v>
      </c>
      <c r="Z50" s="124">
        <f>IF($C50&gt;SRWC!$F$8,0,Y49)</f>
        <v>0</v>
      </c>
      <c r="AA50" s="124">
        <f>IF($C50&gt;SRWC!$F$8,0,Z49)</f>
        <v>0</v>
      </c>
      <c r="AB50" s="124">
        <f>IF($C50&gt;SRWC!$F$8,0,AA49)</f>
        <v>0</v>
      </c>
      <c r="AC50" s="124">
        <f>IF($C50&gt;SRWC!$F$8,0,AB49)</f>
        <v>0</v>
      </c>
      <c r="AD50" s="124">
        <f>IF($C50&gt;SRWC!$F$8,0,AC49)</f>
        <v>0</v>
      </c>
      <c r="AE50" s="124">
        <f>IF($C50&gt;SRWC!$F$8,0,AD49)</f>
        <v>0</v>
      </c>
      <c r="AF50" s="124">
        <f>IF($C50&gt;SRWC!$F$8,0,AE49)</f>
        <v>0</v>
      </c>
      <c r="AG50" s="124">
        <f>IF($C50&gt;SRWC!$F$8,0,AF49)</f>
        <v>0</v>
      </c>
      <c r="AH50" s="124">
        <f>IF($C50&gt;SRWC!$F$8,0,AG49)</f>
        <v>0</v>
      </c>
      <c r="AI50" s="124">
        <f>IF($C50&gt;SRWC!$F$8,0,AH49)</f>
        <v>0</v>
      </c>
      <c r="AJ50" s="124">
        <f>IF($C50&gt;SRWC!$F$8,0,AI49)</f>
        <v>0</v>
      </c>
      <c r="AK50" s="124">
        <f>IF($C50&gt;SRWC!$F$8,0,AJ49)</f>
        <v>0</v>
      </c>
      <c r="AL50" s="124">
        <f>IF($C50&gt;SRWC!$F$8,0,AK49)</f>
        <v>0</v>
      </c>
      <c r="AM50" s="124">
        <f>IF($C50&gt;SRWC!$F$8,0,AL49)</f>
        <v>0</v>
      </c>
      <c r="AN50" s="124">
        <f>IF($C50&gt;SRWC!$F$8,0,AM49)</f>
        <v>0</v>
      </c>
      <c r="AO50" s="124">
        <f>IF($C50&gt;SRWC!$F$8,0,AN49)</f>
        <v>0</v>
      </c>
      <c r="AP50" s="124">
        <f>IF($C50&gt;SRWC!$F$8,0,AO49)</f>
        <v>0</v>
      </c>
      <c r="AQ50" s="124">
        <f>IF($C50&gt;SRWC!$F$8,0,AP49)</f>
        <v>0</v>
      </c>
      <c r="AR50" s="124">
        <f>IF($C50&gt;SRWC!$F$8,0,AQ49)</f>
        <v>0</v>
      </c>
      <c r="AS50" s="124">
        <f>IF($C50&gt;SRWC!$F$8,0,AR49)</f>
        <v>0</v>
      </c>
      <c r="AT50" s="124">
        <f>IF($C50&gt;SRWC!$F$8,0,AS49)</f>
        <v>0</v>
      </c>
      <c r="AU50" s="124">
        <f>IF($C50&gt;SRWC!$F$8,0,AT49)</f>
        <v>0</v>
      </c>
      <c r="AV50" s="124">
        <f>IF($C50&gt;SRWC!$F$8,0,AU49)</f>
        <v>0</v>
      </c>
    </row>
    <row r="51" spans="2:48" s="253" customFormat="1" ht="12.95" customHeight="1" x14ac:dyDescent="0.2">
      <c r="B51" s="14"/>
      <c r="C51" s="372">
        <v>8</v>
      </c>
      <c r="D51" s="372"/>
      <c r="E51" s="372"/>
      <c r="F51" s="253" t="s">
        <v>492</v>
      </c>
      <c r="G51" s="253" t="s">
        <v>4</v>
      </c>
      <c r="H51" s="124"/>
      <c r="I51" s="124"/>
      <c r="J51" s="124"/>
      <c r="K51" s="124"/>
      <c r="L51" s="124"/>
      <c r="M51" s="124"/>
      <c r="N51" s="124"/>
      <c r="O51" s="124"/>
      <c r="P51" s="124">
        <f>IF($C51&gt;SRWC!$F$8,0,O50)</f>
        <v>0</v>
      </c>
      <c r="Q51" s="124">
        <f>IF($C51&gt;SRWC!$F$8,0,P50)</f>
        <v>0</v>
      </c>
      <c r="R51" s="124">
        <f>IF($C51&gt;SRWC!$F$8,0,Q50)</f>
        <v>0</v>
      </c>
      <c r="S51" s="124">
        <f>IF($C51&gt;SRWC!$F$8,0,R50)</f>
        <v>0</v>
      </c>
      <c r="T51" s="124">
        <f>IF($C51&gt;SRWC!$F$8,0,S50)</f>
        <v>0</v>
      </c>
      <c r="U51" s="124">
        <f>IF($C51&gt;SRWC!$F$8,0,T50)</f>
        <v>0</v>
      </c>
      <c r="V51" s="124">
        <f>IF($C51&gt;SRWC!$F$8,0,U50)</f>
        <v>0</v>
      </c>
      <c r="W51" s="124">
        <f>IF($C51&gt;SRWC!$F$8,0,V50)</f>
        <v>0</v>
      </c>
      <c r="X51" s="124">
        <f>IF($C51&gt;SRWC!$F$8,0,W50)</f>
        <v>0</v>
      </c>
      <c r="Y51" s="124">
        <f>IF($C51&gt;SRWC!$F$8,0,X50)</f>
        <v>0</v>
      </c>
      <c r="Z51" s="124">
        <f>IF($C51&gt;SRWC!$F$8,0,Y50)</f>
        <v>0</v>
      </c>
      <c r="AA51" s="124">
        <f>IF($C51&gt;SRWC!$F$8,0,Z50)</f>
        <v>0</v>
      </c>
      <c r="AB51" s="124">
        <f>IF($C51&gt;SRWC!$F$8,0,AA50)</f>
        <v>0</v>
      </c>
      <c r="AC51" s="124">
        <f>IF($C51&gt;SRWC!$F$8,0,AB50)</f>
        <v>0</v>
      </c>
      <c r="AD51" s="124">
        <f>IF($C51&gt;SRWC!$F$8,0,AC50)</f>
        <v>0</v>
      </c>
      <c r="AE51" s="124">
        <f>IF($C51&gt;SRWC!$F$8,0,AD50)</f>
        <v>0</v>
      </c>
      <c r="AF51" s="124">
        <f>IF($C51&gt;SRWC!$F$8,0,AE50)</f>
        <v>0</v>
      </c>
      <c r="AG51" s="124">
        <f>IF($C51&gt;SRWC!$F$8,0,AF50)</f>
        <v>0</v>
      </c>
      <c r="AH51" s="124">
        <f>IF($C51&gt;SRWC!$F$8,0,AG50)</f>
        <v>0</v>
      </c>
      <c r="AI51" s="124">
        <f>IF($C51&gt;SRWC!$F$8,0,AH50)</f>
        <v>0</v>
      </c>
      <c r="AJ51" s="124">
        <f>IF($C51&gt;SRWC!$F$8,0,AI50)</f>
        <v>0</v>
      </c>
      <c r="AK51" s="124">
        <f>IF($C51&gt;SRWC!$F$8,0,AJ50)</f>
        <v>0</v>
      </c>
      <c r="AL51" s="124">
        <f>IF($C51&gt;SRWC!$F$8,0,AK50)</f>
        <v>0</v>
      </c>
      <c r="AM51" s="124">
        <f>IF($C51&gt;SRWC!$F$8,0,AL50)</f>
        <v>0</v>
      </c>
      <c r="AN51" s="124">
        <f>IF($C51&gt;SRWC!$F$8,0,AM50)</f>
        <v>0</v>
      </c>
      <c r="AO51" s="124">
        <f>IF($C51&gt;SRWC!$F$8,0,AN50)</f>
        <v>0</v>
      </c>
      <c r="AP51" s="124">
        <f>IF($C51&gt;SRWC!$F$8,0,AO50)</f>
        <v>0</v>
      </c>
      <c r="AQ51" s="124">
        <f>IF($C51&gt;SRWC!$F$8,0,AP50)</f>
        <v>0</v>
      </c>
      <c r="AR51" s="124">
        <f>IF($C51&gt;SRWC!$F$8,0,AQ50)</f>
        <v>0</v>
      </c>
      <c r="AS51" s="124">
        <f>IF($C51&gt;SRWC!$F$8,0,AR50)</f>
        <v>0</v>
      </c>
      <c r="AT51" s="124">
        <f>IF($C51&gt;SRWC!$F$8,0,AS50)</f>
        <v>0</v>
      </c>
      <c r="AU51" s="124">
        <f>IF($C51&gt;SRWC!$F$8,0,AT50)</f>
        <v>0</v>
      </c>
      <c r="AV51" s="124">
        <f>IF($C51&gt;SRWC!$F$8,0,AU50)</f>
        <v>0</v>
      </c>
    </row>
    <row r="52" spans="2:48" s="253" customFormat="1" ht="12.95" customHeight="1" x14ac:dyDescent="0.2">
      <c r="B52" s="14"/>
      <c r="C52" s="372">
        <v>9</v>
      </c>
      <c r="D52" s="372"/>
      <c r="E52" s="372"/>
      <c r="F52" s="253" t="s">
        <v>492</v>
      </c>
      <c r="G52" s="253" t="s">
        <v>4</v>
      </c>
      <c r="H52" s="124"/>
      <c r="I52" s="124"/>
      <c r="J52" s="124"/>
      <c r="K52" s="124"/>
      <c r="L52" s="124"/>
      <c r="M52" s="124"/>
      <c r="N52" s="124"/>
      <c r="O52" s="124"/>
      <c r="P52" s="124"/>
      <c r="Q52" s="124">
        <f>IF($C52&gt;SRWC!$F$8,0,P51)</f>
        <v>0</v>
      </c>
      <c r="R52" s="124">
        <f>IF($C52&gt;SRWC!$F$8,0,Q51)</f>
        <v>0</v>
      </c>
      <c r="S52" s="124">
        <f>IF($C52&gt;SRWC!$F$8,0,R51)</f>
        <v>0</v>
      </c>
      <c r="T52" s="124">
        <f>IF($C52&gt;SRWC!$F$8,0,S51)</f>
        <v>0</v>
      </c>
      <c r="U52" s="124">
        <f>IF($C52&gt;SRWC!$F$8,0,T51)</f>
        <v>0</v>
      </c>
      <c r="V52" s="124">
        <f>IF($C52&gt;SRWC!$F$8,0,U51)</f>
        <v>0</v>
      </c>
      <c r="W52" s="124">
        <f>IF($C52&gt;SRWC!$F$8,0,V51)</f>
        <v>0</v>
      </c>
      <c r="X52" s="124">
        <f>IF($C52&gt;SRWC!$F$8,0,W51)</f>
        <v>0</v>
      </c>
      <c r="Y52" s="124">
        <f>IF($C52&gt;SRWC!$F$8,0,X51)</f>
        <v>0</v>
      </c>
      <c r="Z52" s="124">
        <f>IF($C52&gt;SRWC!$F$8,0,Y51)</f>
        <v>0</v>
      </c>
      <c r="AA52" s="124">
        <f>IF($C52&gt;SRWC!$F$8,0,Z51)</f>
        <v>0</v>
      </c>
      <c r="AB52" s="124">
        <f>IF($C52&gt;SRWC!$F$8,0,AA51)</f>
        <v>0</v>
      </c>
      <c r="AC52" s="124">
        <f>IF($C52&gt;SRWC!$F$8,0,AB51)</f>
        <v>0</v>
      </c>
      <c r="AD52" s="124">
        <f>IF($C52&gt;SRWC!$F$8,0,AC51)</f>
        <v>0</v>
      </c>
      <c r="AE52" s="124">
        <f>IF($C52&gt;SRWC!$F$8,0,AD51)</f>
        <v>0</v>
      </c>
      <c r="AF52" s="124">
        <f>IF($C52&gt;SRWC!$F$8,0,AE51)</f>
        <v>0</v>
      </c>
      <c r="AG52" s="124">
        <f>IF($C52&gt;SRWC!$F$8,0,AF51)</f>
        <v>0</v>
      </c>
      <c r="AH52" s="124">
        <f>IF($C52&gt;SRWC!$F$8,0,AG51)</f>
        <v>0</v>
      </c>
      <c r="AI52" s="124">
        <f>IF($C52&gt;SRWC!$F$8,0,AH51)</f>
        <v>0</v>
      </c>
      <c r="AJ52" s="124">
        <f>IF($C52&gt;SRWC!$F$8,0,AI51)</f>
        <v>0</v>
      </c>
      <c r="AK52" s="124">
        <f>IF($C52&gt;SRWC!$F$8,0,AJ51)</f>
        <v>0</v>
      </c>
      <c r="AL52" s="124">
        <f>IF($C52&gt;SRWC!$F$8,0,AK51)</f>
        <v>0</v>
      </c>
      <c r="AM52" s="124">
        <f>IF($C52&gt;SRWC!$F$8,0,AL51)</f>
        <v>0</v>
      </c>
      <c r="AN52" s="124">
        <f>IF($C52&gt;SRWC!$F$8,0,AM51)</f>
        <v>0</v>
      </c>
      <c r="AO52" s="124">
        <f>IF($C52&gt;SRWC!$F$8,0,AN51)</f>
        <v>0</v>
      </c>
      <c r="AP52" s="124">
        <f>IF($C52&gt;SRWC!$F$8,0,AO51)</f>
        <v>0</v>
      </c>
      <c r="AQ52" s="124">
        <f>IF($C52&gt;SRWC!$F$8,0,AP51)</f>
        <v>0</v>
      </c>
      <c r="AR52" s="124">
        <f>IF($C52&gt;SRWC!$F$8,0,AQ51)</f>
        <v>0</v>
      </c>
      <c r="AS52" s="124">
        <f>IF($C52&gt;SRWC!$F$8,0,AR51)</f>
        <v>0</v>
      </c>
      <c r="AT52" s="124">
        <f>IF($C52&gt;SRWC!$F$8,0,AS51)</f>
        <v>0</v>
      </c>
      <c r="AU52" s="124">
        <f>IF($C52&gt;SRWC!$F$8,0,AT51)</f>
        <v>0</v>
      </c>
      <c r="AV52" s="124">
        <f>IF($C52&gt;SRWC!$F$8,0,AU51)</f>
        <v>0</v>
      </c>
    </row>
    <row r="53" spans="2:48" s="253" customFormat="1" ht="12.95" customHeight="1" x14ac:dyDescent="0.2">
      <c r="B53" s="14"/>
      <c r="C53" s="372">
        <v>10</v>
      </c>
      <c r="D53" s="372"/>
      <c r="E53" s="372"/>
      <c r="F53" s="253" t="s">
        <v>492</v>
      </c>
      <c r="G53" s="253" t="s">
        <v>4</v>
      </c>
      <c r="H53" s="124"/>
      <c r="I53" s="124"/>
      <c r="J53" s="124"/>
      <c r="K53" s="124"/>
      <c r="L53" s="124"/>
      <c r="M53" s="124"/>
      <c r="N53" s="124"/>
      <c r="O53" s="124"/>
      <c r="P53" s="124"/>
      <c r="Q53" s="124"/>
      <c r="R53" s="124">
        <f>IF($C53&gt;SRWC!$F$8,0,Q52)</f>
        <v>0</v>
      </c>
      <c r="S53" s="124">
        <f>IF($C53&gt;SRWC!$F$8,0,R52)</f>
        <v>0</v>
      </c>
      <c r="T53" s="124">
        <f>IF($C53&gt;SRWC!$F$8,0,S52)</f>
        <v>0</v>
      </c>
      <c r="U53" s="124">
        <f>IF($C53&gt;SRWC!$F$8,0,T52)</f>
        <v>0</v>
      </c>
      <c r="V53" s="124">
        <f>IF($C53&gt;SRWC!$F$8,0,U52)</f>
        <v>0</v>
      </c>
      <c r="W53" s="124">
        <f>IF($C53&gt;SRWC!$F$8,0,V52)</f>
        <v>0</v>
      </c>
      <c r="X53" s="124">
        <f>IF($C53&gt;SRWC!$F$8,0,W52)</f>
        <v>0</v>
      </c>
      <c r="Y53" s="124">
        <f>IF($C53&gt;SRWC!$F$8,0,X52)</f>
        <v>0</v>
      </c>
      <c r="Z53" s="124">
        <f>IF($C53&gt;SRWC!$F$8,0,Y52)</f>
        <v>0</v>
      </c>
      <c r="AA53" s="124">
        <f>IF($C53&gt;SRWC!$F$8,0,Z52)</f>
        <v>0</v>
      </c>
      <c r="AB53" s="124">
        <f>IF($C53&gt;SRWC!$F$8,0,AA52)</f>
        <v>0</v>
      </c>
      <c r="AC53" s="124">
        <f>IF($C53&gt;SRWC!$F$8,0,AB52)</f>
        <v>0</v>
      </c>
      <c r="AD53" s="124">
        <f>IF($C53&gt;SRWC!$F$8,0,AC52)</f>
        <v>0</v>
      </c>
      <c r="AE53" s="124">
        <f>IF($C53&gt;SRWC!$F$8,0,AD52)</f>
        <v>0</v>
      </c>
      <c r="AF53" s="124">
        <f>IF($C53&gt;SRWC!$F$8,0,AE52)</f>
        <v>0</v>
      </c>
      <c r="AG53" s="124">
        <f>IF($C53&gt;SRWC!$F$8,0,AF52)</f>
        <v>0</v>
      </c>
      <c r="AH53" s="124">
        <f>IF($C53&gt;SRWC!$F$8,0,AG52)</f>
        <v>0</v>
      </c>
      <c r="AI53" s="124">
        <f>IF($C53&gt;SRWC!$F$8,0,AH52)</f>
        <v>0</v>
      </c>
      <c r="AJ53" s="124">
        <f>IF($C53&gt;SRWC!$F$8,0,AI52)</f>
        <v>0</v>
      </c>
      <c r="AK53" s="124">
        <f>IF($C53&gt;SRWC!$F$8,0,AJ52)</f>
        <v>0</v>
      </c>
      <c r="AL53" s="124">
        <f>IF($C53&gt;SRWC!$F$8,0,AK52)</f>
        <v>0</v>
      </c>
      <c r="AM53" s="124">
        <f>IF($C53&gt;SRWC!$F$8,0,AL52)</f>
        <v>0</v>
      </c>
      <c r="AN53" s="124">
        <f>IF($C53&gt;SRWC!$F$8,0,AM52)</f>
        <v>0</v>
      </c>
      <c r="AO53" s="124">
        <f>IF($C53&gt;SRWC!$F$8,0,AN52)</f>
        <v>0</v>
      </c>
      <c r="AP53" s="124">
        <f>IF($C53&gt;SRWC!$F$8,0,AO52)</f>
        <v>0</v>
      </c>
      <c r="AQ53" s="124">
        <f>IF($C53&gt;SRWC!$F$8,0,AP52)</f>
        <v>0</v>
      </c>
      <c r="AR53" s="124">
        <f>IF($C53&gt;SRWC!$F$8,0,AQ52)</f>
        <v>0</v>
      </c>
      <c r="AS53" s="124">
        <f>IF($C53&gt;SRWC!$F$8,0,AR52)</f>
        <v>0</v>
      </c>
      <c r="AT53" s="124">
        <f>IF($C53&gt;SRWC!$F$8,0,AS52)</f>
        <v>0</v>
      </c>
      <c r="AU53" s="124">
        <f>IF($C53&gt;SRWC!$F$8,0,AT52)</f>
        <v>0</v>
      </c>
      <c r="AV53" s="124">
        <f>IF($C53&gt;SRWC!$F$8,0,AU52)</f>
        <v>0</v>
      </c>
    </row>
    <row r="54" spans="2:48" s="253" customFormat="1" ht="12.95" customHeight="1" x14ac:dyDescent="0.2">
      <c r="B54" s="14" t="s">
        <v>912</v>
      </c>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c r="AQ54" s="171"/>
      <c r="AR54" s="171"/>
      <c r="AS54" s="171"/>
      <c r="AT54" s="171"/>
      <c r="AU54" s="171"/>
      <c r="AV54" s="171"/>
    </row>
    <row r="55" spans="2:48" s="253" customFormat="1" ht="12.95" customHeight="1" x14ac:dyDescent="0.2">
      <c r="B55" s="14"/>
      <c r="C55" s="372">
        <v>1</v>
      </c>
      <c r="D55" s="372"/>
      <c r="E55" s="372"/>
      <c r="F55" s="253" t="s">
        <v>492</v>
      </c>
      <c r="G55" s="253" t="s">
        <v>395</v>
      </c>
      <c r="H55" s="277"/>
      <c r="I55" s="277">
        <f t="shared" ref="I55:AV55" si="21">HLOOKUP(I44,t_growth,2)</f>
        <v>0.10442733828597339</v>
      </c>
      <c r="J55" s="277">
        <f t="shared" si="21"/>
        <v>1.525167867693304</v>
      </c>
      <c r="K55" s="277">
        <f t="shared" si="21"/>
        <v>5.1837686199986015</v>
      </c>
      <c r="L55" s="277">
        <f t="shared" si="21"/>
        <v>10.124110763786708</v>
      </c>
      <c r="M55" s="277">
        <f t="shared" si="21"/>
        <v>15.033175614903744</v>
      </c>
      <c r="N55" s="277">
        <f t="shared" si="21"/>
        <v>19.166991741648051</v>
      </c>
      <c r="O55" s="277">
        <f t="shared" si="21"/>
        <v>0.10442733828597339</v>
      </c>
      <c r="P55" s="277">
        <f t="shared" si="21"/>
        <v>1.525167867693304</v>
      </c>
      <c r="Q55" s="277">
        <f t="shared" si="21"/>
        <v>5.1837686199986015</v>
      </c>
      <c r="R55" s="277">
        <f t="shared" si="21"/>
        <v>10.124110763786708</v>
      </c>
      <c r="S55" s="277">
        <f t="shared" si="21"/>
        <v>15.033175614903744</v>
      </c>
      <c r="T55" s="277">
        <f t="shared" si="21"/>
        <v>19.166991741648051</v>
      </c>
      <c r="U55" s="277">
        <f t="shared" si="21"/>
        <v>0.10442733828597339</v>
      </c>
      <c r="V55" s="277">
        <f t="shared" si="21"/>
        <v>1.525167867693304</v>
      </c>
      <c r="W55" s="277">
        <f t="shared" si="21"/>
        <v>5.1837686199986015</v>
      </c>
      <c r="X55" s="277">
        <f t="shared" si="21"/>
        <v>10.124110763786708</v>
      </c>
      <c r="Y55" s="277">
        <f t="shared" si="21"/>
        <v>15.033175614903744</v>
      </c>
      <c r="Z55" s="277">
        <f t="shared" si="21"/>
        <v>19.166991741648051</v>
      </c>
      <c r="AA55" s="277">
        <f t="shared" si="21"/>
        <v>0.10442733828597339</v>
      </c>
      <c r="AB55" s="277">
        <f t="shared" si="21"/>
        <v>1.525167867693304</v>
      </c>
      <c r="AC55" s="277">
        <f t="shared" si="21"/>
        <v>5.1837686199986015</v>
      </c>
      <c r="AD55" s="277">
        <f t="shared" si="21"/>
        <v>10.124110763786708</v>
      </c>
      <c r="AE55" s="277">
        <f t="shared" si="21"/>
        <v>15.033175614903744</v>
      </c>
      <c r="AF55" s="277">
        <f t="shared" si="21"/>
        <v>19.166991741648051</v>
      </c>
      <c r="AG55" s="277">
        <f t="shared" si="21"/>
        <v>0.10442733828597339</v>
      </c>
      <c r="AH55" s="277">
        <f t="shared" si="21"/>
        <v>1.525167867693304</v>
      </c>
      <c r="AI55" s="277">
        <f t="shared" si="21"/>
        <v>5.1837686199986015</v>
      </c>
      <c r="AJ55" s="277">
        <f t="shared" si="21"/>
        <v>10.124110763786708</v>
      </c>
      <c r="AK55" s="277">
        <f t="shared" si="21"/>
        <v>15.033175614903744</v>
      </c>
      <c r="AL55" s="277">
        <f t="shared" si="21"/>
        <v>19.166991741648051</v>
      </c>
      <c r="AM55" s="277">
        <f t="shared" si="21"/>
        <v>0.10442733828597339</v>
      </c>
      <c r="AN55" s="277">
        <f t="shared" si="21"/>
        <v>1.525167867693304</v>
      </c>
      <c r="AO55" s="277">
        <f t="shared" si="21"/>
        <v>5.1837686199986015</v>
      </c>
      <c r="AP55" s="277">
        <f t="shared" si="21"/>
        <v>10.124110763786708</v>
      </c>
      <c r="AQ55" s="277">
        <f t="shared" si="21"/>
        <v>15.033175614903744</v>
      </c>
      <c r="AR55" s="277">
        <f t="shared" si="21"/>
        <v>19.166991741648051</v>
      </c>
      <c r="AS55" s="277">
        <f t="shared" si="21"/>
        <v>0.10442733828597339</v>
      </c>
      <c r="AT55" s="277">
        <f t="shared" si="21"/>
        <v>1.525167867693304</v>
      </c>
      <c r="AU55" s="277">
        <f t="shared" si="21"/>
        <v>5.1837686199986015</v>
      </c>
      <c r="AV55" s="277">
        <f t="shared" si="21"/>
        <v>10.124110763786708</v>
      </c>
    </row>
    <row r="56" spans="2:48" s="253" customFormat="1" ht="12.95" customHeight="1" x14ac:dyDescent="0.2">
      <c r="B56" s="14"/>
      <c r="C56" s="372">
        <v>2</v>
      </c>
      <c r="D56" s="372"/>
      <c r="E56" s="372"/>
      <c r="F56" s="253" t="s">
        <v>492</v>
      </c>
      <c r="G56" s="253" t="s">
        <v>395</v>
      </c>
      <c r="H56" s="277"/>
      <c r="I56" s="277"/>
      <c r="J56" s="277">
        <f t="shared" ref="J56:AV56" si="22">HLOOKUP(J45,t_growth,2)</f>
        <v>0.10442733828597339</v>
      </c>
      <c r="K56" s="277">
        <f t="shared" si="22"/>
        <v>1.525167867693304</v>
      </c>
      <c r="L56" s="277">
        <f t="shared" si="22"/>
        <v>5.1837686199986015</v>
      </c>
      <c r="M56" s="277">
        <f t="shared" si="22"/>
        <v>10.124110763786708</v>
      </c>
      <c r="N56" s="277">
        <f t="shared" si="22"/>
        <v>15.033175614903744</v>
      </c>
      <c r="O56" s="277">
        <f t="shared" si="22"/>
        <v>19.166991741648051</v>
      </c>
      <c r="P56" s="277">
        <f t="shared" si="22"/>
        <v>0.10442733828597339</v>
      </c>
      <c r="Q56" s="277">
        <f t="shared" si="22"/>
        <v>1.525167867693304</v>
      </c>
      <c r="R56" s="277">
        <f t="shared" si="22"/>
        <v>5.1837686199986015</v>
      </c>
      <c r="S56" s="277">
        <f t="shared" si="22"/>
        <v>10.124110763786708</v>
      </c>
      <c r="T56" s="277">
        <f t="shared" si="22"/>
        <v>15.033175614903744</v>
      </c>
      <c r="U56" s="277">
        <f t="shared" si="22"/>
        <v>19.166991741648051</v>
      </c>
      <c r="V56" s="277">
        <f t="shared" si="22"/>
        <v>0.10442733828597339</v>
      </c>
      <c r="W56" s="277">
        <f t="shared" si="22"/>
        <v>1.525167867693304</v>
      </c>
      <c r="X56" s="277">
        <f t="shared" si="22"/>
        <v>5.1837686199986015</v>
      </c>
      <c r="Y56" s="277">
        <f t="shared" si="22"/>
        <v>10.124110763786708</v>
      </c>
      <c r="Z56" s="277">
        <f t="shared" si="22"/>
        <v>15.033175614903744</v>
      </c>
      <c r="AA56" s="277">
        <f t="shared" si="22"/>
        <v>19.166991741648051</v>
      </c>
      <c r="AB56" s="277">
        <f t="shared" si="22"/>
        <v>0.10442733828597339</v>
      </c>
      <c r="AC56" s="277">
        <f t="shared" si="22"/>
        <v>1.525167867693304</v>
      </c>
      <c r="AD56" s="277">
        <f t="shared" si="22"/>
        <v>5.1837686199986015</v>
      </c>
      <c r="AE56" s="277">
        <f t="shared" si="22"/>
        <v>10.124110763786708</v>
      </c>
      <c r="AF56" s="277">
        <f t="shared" si="22"/>
        <v>15.033175614903744</v>
      </c>
      <c r="AG56" s="277">
        <f t="shared" si="22"/>
        <v>19.166991741648051</v>
      </c>
      <c r="AH56" s="277">
        <f t="shared" si="22"/>
        <v>0.10442733828597339</v>
      </c>
      <c r="AI56" s="277">
        <f t="shared" si="22"/>
        <v>1.525167867693304</v>
      </c>
      <c r="AJ56" s="277">
        <f t="shared" si="22"/>
        <v>5.1837686199986015</v>
      </c>
      <c r="AK56" s="277">
        <f t="shared" si="22"/>
        <v>10.124110763786708</v>
      </c>
      <c r="AL56" s="277">
        <f t="shared" si="22"/>
        <v>15.033175614903744</v>
      </c>
      <c r="AM56" s="277">
        <f t="shared" si="22"/>
        <v>19.166991741648051</v>
      </c>
      <c r="AN56" s="277">
        <f t="shared" si="22"/>
        <v>0.10442733828597339</v>
      </c>
      <c r="AO56" s="277">
        <f t="shared" si="22"/>
        <v>1.525167867693304</v>
      </c>
      <c r="AP56" s="277">
        <f t="shared" si="22"/>
        <v>5.1837686199986015</v>
      </c>
      <c r="AQ56" s="277">
        <f t="shared" si="22"/>
        <v>10.124110763786708</v>
      </c>
      <c r="AR56" s="277">
        <f t="shared" si="22"/>
        <v>15.033175614903744</v>
      </c>
      <c r="AS56" s="277">
        <f t="shared" si="22"/>
        <v>19.166991741648051</v>
      </c>
      <c r="AT56" s="277">
        <f t="shared" si="22"/>
        <v>0.10442733828597339</v>
      </c>
      <c r="AU56" s="277">
        <f t="shared" si="22"/>
        <v>1.525167867693304</v>
      </c>
      <c r="AV56" s="277">
        <f t="shared" si="22"/>
        <v>5.1837686199986015</v>
      </c>
    </row>
    <row r="57" spans="2:48" s="253" customFormat="1" ht="12.95" customHeight="1" x14ac:dyDescent="0.2">
      <c r="B57" s="14"/>
      <c r="C57" s="372">
        <v>3</v>
      </c>
      <c r="D57" s="372"/>
      <c r="E57" s="372"/>
      <c r="F57" s="253" t="s">
        <v>492</v>
      </c>
      <c r="G57" s="253" t="s">
        <v>395</v>
      </c>
      <c r="H57" s="277"/>
      <c r="I57" s="277"/>
      <c r="J57" s="277"/>
      <c r="K57" s="277">
        <f t="shared" ref="K57:AV57" si="23">HLOOKUP(K46,t_growth,2)</f>
        <v>0.10442733828597339</v>
      </c>
      <c r="L57" s="277">
        <f t="shared" si="23"/>
        <v>1.525167867693304</v>
      </c>
      <c r="M57" s="277">
        <f t="shared" si="23"/>
        <v>5.1837686199986015</v>
      </c>
      <c r="N57" s="277">
        <f t="shared" si="23"/>
        <v>10.124110763786708</v>
      </c>
      <c r="O57" s="277">
        <f t="shared" si="23"/>
        <v>15.033175614903744</v>
      </c>
      <c r="P57" s="277">
        <f t="shared" si="23"/>
        <v>19.166991741648051</v>
      </c>
      <c r="Q57" s="277">
        <f t="shared" si="23"/>
        <v>0.10442733828597339</v>
      </c>
      <c r="R57" s="277">
        <f t="shared" si="23"/>
        <v>1.525167867693304</v>
      </c>
      <c r="S57" s="277">
        <f t="shared" si="23"/>
        <v>5.1837686199986015</v>
      </c>
      <c r="T57" s="277">
        <f t="shared" si="23"/>
        <v>10.124110763786708</v>
      </c>
      <c r="U57" s="277">
        <f t="shared" si="23"/>
        <v>15.033175614903744</v>
      </c>
      <c r="V57" s="277">
        <f t="shared" si="23"/>
        <v>19.166991741648051</v>
      </c>
      <c r="W57" s="277">
        <f t="shared" si="23"/>
        <v>0.10442733828597339</v>
      </c>
      <c r="X57" s="277">
        <f t="shared" si="23"/>
        <v>1.525167867693304</v>
      </c>
      <c r="Y57" s="277">
        <f t="shared" si="23"/>
        <v>5.1837686199986015</v>
      </c>
      <c r="Z57" s="277">
        <f t="shared" si="23"/>
        <v>10.124110763786708</v>
      </c>
      <c r="AA57" s="277">
        <f t="shared" si="23"/>
        <v>15.033175614903744</v>
      </c>
      <c r="AB57" s="277">
        <f t="shared" si="23"/>
        <v>19.166991741648051</v>
      </c>
      <c r="AC57" s="277">
        <f t="shared" si="23"/>
        <v>0.10442733828597339</v>
      </c>
      <c r="AD57" s="277">
        <f t="shared" si="23"/>
        <v>1.525167867693304</v>
      </c>
      <c r="AE57" s="277">
        <f t="shared" si="23"/>
        <v>5.1837686199986015</v>
      </c>
      <c r="AF57" s="277">
        <f t="shared" si="23"/>
        <v>10.124110763786708</v>
      </c>
      <c r="AG57" s="277">
        <f t="shared" si="23"/>
        <v>15.033175614903744</v>
      </c>
      <c r="AH57" s="277">
        <f t="shared" si="23"/>
        <v>19.166991741648051</v>
      </c>
      <c r="AI57" s="277">
        <f t="shared" si="23"/>
        <v>0.10442733828597339</v>
      </c>
      <c r="AJ57" s="277">
        <f t="shared" si="23"/>
        <v>1.525167867693304</v>
      </c>
      <c r="AK57" s="277">
        <f t="shared" si="23"/>
        <v>5.1837686199986015</v>
      </c>
      <c r="AL57" s="277">
        <f t="shared" si="23"/>
        <v>10.124110763786708</v>
      </c>
      <c r="AM57" s="277">
        <f t="shared" si="23"/>
        <v>15.033175614903744</v>
      </c>
      <c r="AN57" s="277">
        <f t="shared" si="23"/>
        <v>19.166991741648051</v>
      </c>
      <c r="AO57" s="277">
        <f t="shared" si="23"/>
        <v>0.10442733828597339</v>
      </c>
      <c r="AP57" s="277">
        <f t="shared" si="23"/>
        <v>1.525167867693304</v>
      </c>
      <c r="AQ57" s="277">
        <f t="shared" si="23"/>
        <v>5.1837686199986015</v>
      </c>
      <c r="AR57" s="277">
        <f t="shared" si="23"/>
        <v>10.124110763786708</v>
      </c>
      <c r="AS57" s="277">
        <f t="shared" si="23"/>
        <v>15.033175614903744</v>
      </c>
      <c r="AT57" s="277">
        <f t="shared" si="23"/>
        <v>19.166991741648051</v>
      </c>
      <c r="AU57" s="277">
        <f t="shared" si="23"/>
        <v>0.10442733828597339</v>
      </c>
      <c r="AV57" s="277">
        <f t="shared" si="23"/>
        <v>1.525167867693304</v>
      </c>
    </row>
    <row r="58" spans="2:48" s="253" customFormat="1" ht="12.95" customHeight="1" x14ac:dyDescent="0.2">
      <c r="B58" s="14"/>
      <c r="C58" s="372">
        <v>4</v>
      </c>
      <c r="D58" s="372"/>
      <c r="E58" s="372"/>
      <c r="F58" s="253" t="s">
        <v>492</v>
      </c>
      <c r="G58" s="253" t="s">
        <v>395</v>
      </c>
      <c r="H58" s="277"/>
      <c r="I58" s="277"/>
      <c r="J58" s="277"/>
      <c r="K58" s="277"/>
      <c r="L58" s="277">
        <f t="shared" ref="L58:AV58" si="24">HLOOKUP(L47,t_growth,2)</f>
        <v>0.10442733828597339</v>
      </c>
      <c r="M58" s="277">
        <f t="shared" si="24"/>
        <v>1.525167867693304</v>
      </c>
      <c r="N58" s="277">
        <f t="shared" si="24"/>
        <v>5.1837686199986015</v>
      </c>
      <c r="O58" s="277">
        <f t="shared" si="24"/>
        <v>10.124110763786708</v>
      </c>
      <c r="P58" s="277">
        <f t="shared" si="24"/>
        <v>15.033175614903744</v>
      </c>
      <c r="Q58" s="277">
        <f t="shared" si="24"/>
        <v>19.166991741648051</v>
      </c>
      <c r="R58" s="277">
        <f t="shared" si="24"/>
        <v>0.10442733828597339</v>
      </c>
      <c r="S58" s="277">
        <f t="shared" si="24"/>
        <v>1.525167867693304</v>
      </c>
      <c r="T58" s="277">
        <f t="shared" si="24"/>
        <v>5.1837686199986015</v>
      </c>
      <c r="U58" s="277">
        <f t="shared" si="24"/>
        <v>10.124110763786708</v>
      </c>
      <c r="V58" s="277">
        <f t="shared" si="24"/>
        <v>15.033175614903744</v>
      </c>
      <c r="W58" s="277">
        <f t="shared" si="24"/>
        <v>19.166991741648051</v>
      </c>
      <c r="X58" s="277">
        <f t="shared" si="24"/>
        <v>0.10442733828597339</v>
      </c>
      <c r="Y58" s="277">
        <f t="shared" si="24"/>
        <v>1.525167867693304</v>
      </c>
      <c r="Z58" s="277">
        <f t="shared" si="24"/>
        <v>5.1837686199986015</v>
      </c>
      <c r="AA58" s="277">
        <f t="shared" si="24"/>
        <v>10.124110763786708</v>
      </c>
      <c r="AB58" s="277">
        <f t="shared" si="24"/>
        <v>15.033175614903744</v>
      </c>
      <c r="AC58" s="277">
        <f t="shared" si="24"/>
        <v>19.166991741648051</v>
      </c>
      <c r="AD58" s="277">
        <f t="shared" si="24"/>
        <v>0.10442733828597339</v>
      </c>
      <c r="AE58" s="277">
        <f t="shared" si="24"/>
        <v>1.525167867693304</v>
      </c>
      <c r="AF58" s="277">
        <f t="shared" si="24"/>
        <v>5.1837686199986015</v>
      </c>
      <c r="AG58" s="277">
        <f t="shared" si="24"/>
        <v>10.124110763786708</v>
      </c>
      <c r="AH58" s="277">
        <f t="shared" si="24"/>
        <v>15.033175614903744</v>
      </c>
      <c r="AI58" s="277">
        <f t="shared" si="24"/>
        <v>19.166991741648051</v>
      </c>
      <c r="AJ58" s="277">
        <f t="shared" si="24"/>
        <v>0.10442733828597339</v>
      </c>
      <c r="AK58" s="277">
        <f t="shared" si="24"/>
        <v>1.525167867693304</v>
      </c>
      <c r="AL58" s="277">
        <f t="shared" si="24"/>
        <v>5.1837686199986015</v>
      </c>
      <c r="AM58" s="277">
        <f t="shared" si="24"/>
        <v>10.124110763786708</v>
      </c>
      <c r="AN58" s="277">
        <f t="shared" si="24"/>
        <v>15.033175614903744</v>
      </c>
      <c r="AO58" s="277">
        <f t="shared" si="24"/>
        <v>19.166991741648051</v>
      </c>
      <c r="AP58" s="277">
        <f t="shared" si="24"/>
        <v>0.10442733828597339</v>
      </c>
      <c r="AQ58" s="277">
        <f t="shared" si="24"/>
        <v>1.525167867693304</v>
      </c>
      <c r="AR58" s="277">
        <f t="shared" si="24"/>
        <v>5.1837686199986015</v>
      </c>
      <c r="AS58" s="277">
        <f t="shared" si="24"/>
        <v>10.124110763786708</v>
      </c>
      <c r="AT58" s="277">
        <f t="shared" si="24"/>
        <v>15.033175614903744</v>
      </c>
      <c r="AU58" s="277">
        <f t="shared" si="24"/>
        <v>19.166991741648051</v>
      </c>
      <c r="AV58" s="277">
        <f t="shared" si="24"/>
        <v>0.10442733828597339</v>
      </c>
    </row>
    <row r="59" spans="2:48" s="253" customFormat="1" ht="12.95" customHeight="1" x14ac:dyDescent="0.2">
      <c r="B59" s="14"/>
      <c r="C59" s="372">
        <v>5</v>
      </c>
      <c r="D59" s="372"/>
      <c r="E59" s="372"/>
      <c r="F59" s="253" t="s">
        <v>492</v>
      </c>
      <c r="G59" s="253" t="s">
        <v>395</v>
      </c>
      <c r="H59" s="277"/>
      <c r="I59" s="277"/>
      <c r="J59" s="277"/>
      <c r="K59" s="277"/>
      <c r="L59" s="277"/>
      <c r="M59" s="277">
        <f t="shared" ref="M59:AV59" si="25">HLOOKUP(M48,t_growth,2)</f>
        <v>0.10442733828597339</v>
      </c>
      <c r="N59" s="277">
        <f t="shared" si="25"/>
        <v>1.525167867693304</v>
      </c>
      <c r="O59" s="277">
        <f t="shared" si="25"/>
        <v>5.1837686199986015</v>
      </c>
      <c r="P59" s="277">
        <f t="shared" si="25"/>
        <v>10.124110763786708</v>
      </c>
      <c r="Q59" s="277">
        <f t="shared" si="25"/>
        <v>15.033175614903744</v>
      </c>
      <c r="R59" s="277">
        <f t="shared" si="25"/>
        <v>19.166991741648051</v>
      </c>
      <c r="S59" s="277">
        <f t="shared" si="25"/>
        <v>0.10442733828597339</v>
      </c>
      <c r="T59" s="277">
        <f t="shared" si="25"/>
        <v>1.525167867693304</v>
      </c>
      <c r="U59" s="277">
        <f t="shared" si="25"/>
        <v>5.1837686199986015</v>
      </c>
      <c r="V59" s="277">
        <f t="shared" si="25"/>
        <v>10.124110763786708</v>
      </c>
      <c r="W59" s="277">
        <f t="shared" si="25"/>
        <v>15.033175614903744</v>
      </c>
      <c r="X59" s="277">
        <f t="shared" si="25"/>
        <v>19.166991741648051</v>
      </c>
      <c r="Y59" s="277">
        <f t="shared" si="25"/>
        <v>0.10442733828597339</v>
      </c>
      <c r="Z59" s="277">
        <f t="shared" si="25"/>
        <v>1.525167867693304</v>
      </c>
      <c r="AA59" s="277">
        <f t="shared" si="25"/>
        <v>5.1837686199986015</v>
      </c>
      <c r="AB59" s="277">
        <f t="shared" si="25"/>
        <v>10.124110763786708</v>
      </c>
      <c r="AC59" s="277">
        <f t="shared" si="25"/>
        <v>15.033175614903744</v>
      </c>
      <c r="AD59" s="277">
        <f t="shared" si="25"/>
        <v>19.166991741648051</v>
      </c>
      <c r="AE59" s="277">
        <f t="shared" si="25"/>
        <v>0.10442733828597339</v>
      </c>
      <c r="AF59" s="277">
        <f t="shared" si="25"/>
        <v>1.525167867693304</v>
      </c>
      <c r="AG59" s="277">
        <f t="shared" si="25"/>
        <v>5.1837686199986015</v>
      </c>
      <c r="AH59" s="277">
        <f t="shared" si="25"/>
        <v>10.124110763786708</v>
      </c>
      <c r="AI59" s="277">
        <f t="shared" si="25"/>
        <v>15.033175614903744</v>
      </c>
      <c r="AJ59" s="277">
        <f t="shared" si="25"/>
        <v>19.166991741648051</v>
      </c>
      <c r="AK59" s="277">
        <f t="shared" si="25"/>
        <v>0.10442733828597339</v>
      </c>
      <c r="AL59" s="277">
        <f t="shared" si="25"/>
        <v>1.525167867693304</v>
      </c>
      <c r="AM59" s="277">
        <f t="shared" si="25"/>
        <v>5.1837686199986015</v>
      </c>
      <c r="AN59" s="277">
        <f t="shared" si="25"/>
        <v>10.124110763786708</v>
      </c>
      <c r="AO59" s="277">
        <f t="shared" si="25"/>
        <v>15.033175614903744</v>
      </c>
      <c r="AP59" s="277">
        <f t="shared" si="25"/>
        <v>19.166991741648051</v>
      </c>
      <c r="AQ59" s="277">
        <f t="shared" si="25"/>
        <v>0.10442733828597339</v>
      </c>
      <c r="AR59" s="277">
        <f t="shared" si="25"/>
        <v>1.525167867693304</v>
      </c>
      <c r="AS59" s="277">
        <f t="shared" si="25"/>
        <v>5.1837686199986015</v>
      </c>
      <c r="AT59" s="277">
        <f t="shared" si="25"/>
        <v>10.124110763786708</v>
      </c>
      <c r="AU59" s="277">
        <f t="shared" si="25"/>
        <v>15.033175614903744</v>
      </c>
      <c r="AV59" s="277">
        <f t="shared" si="25"/>
        <v>19.166991741648051</v>
      </c>
    </row>
    <row r="60" spans="2:48" s="253" customFormat="1" ht="12.95" customHeight="1" x14ac:dyDescent="0.2">
      <c r="B60" s="14"/>
      <c r="C60" s="372">
        <v>6</v>
      </c>
      <c r="D60" s="372"/>
      <c r="E60" s="372"/>
      <c r="F60" s="253" t="s">
        <v>492</v>
      </c>
      <c r="G60" s="253" t="s">
        <v>395</v>
      </c>
      <c r="H60" s="277"/>
      <c r="I60" s="277"/>
      <c r="J60" s="277"/>
      <c r="K60" s="277"/>
      <c r="L60" s="277"/>
      <c r="M60" s="277"/>
      <c r="N60" s="277">
        <f t="shared" ref="N60:AV60" si="26">HLOOKUP(N49,t_growth,2)</f>
        <v>0.10442733828597339</v>
      </c>
      <c r="O60" s="277">
        <f t="shared" si="26"/>
        <v>1.525167867693304</v>
      </c>
      <c r="P60" s="277">
        <f t="shared" si="26"/>
        <v>5.1837686199986015</v>
      </c>
      <c r="Q60" s="277">
        <f t="shared" si="26"/>
        <v>10.124110763786708</v>
      </c>
      <c r="R60" s="277">
        <f t="shared" si="26"/>
        <v>15.033175614903744</v>
      </c>
      <c r="S60" s="277">
        <f t="shared" si="26"/>
        <v>19.166991741648051</v>
      </c>
      <c r="T60" s="277">
        <f t="shared" si="26"/>
        <v>0.10442733828597339</v>
      </c>
      <c r="U60" s="277">
        <f t="shared" si="26"/>
        <v>1.525167867693304</v>
      </c>
      <c r="V60" s="277">
        <f t="shared" si="26"/>
        <v>5.1837686199986015</v>
      </c>
      <c r="W60" s="277">
        <f t="shared" si="26"/>
        <v>10.124110763786708</v>
      </c>
      <c r="X60" s="277">
        <f t="shared" si="26"/>
        <v>15.033175614903744</v>
      </c>
      <c r="Y60" s="277">
        <f t="shared" si="26"/>
        <v>19.166991741648051</v>
      </c>
      <c r="Z60" s="277">
        <f t="shared" si="26"/>
        <v>0.10442733828597339</v>
      </c>
      <c r="AA60" s="277">
        <f t="shared" si="26"/>
        <v>1.525167867693304</v>
      </c>
      <c r="AB60" s="277">
        <f t="shared" si="26"/>
        <v>5.1837686199986015</v>
      </c>
      <c r="AC60" s="277">
        <f t="shared" si="26"/>
        <v>10.124110763786708</v>
      </c>
      <c r="AD60" s="277">
        <f t="shared" si="26"/>
        <v>15.033175614903744</v>
      </c>
      <c r="AE60" s="277">
        <f t="shared" si="26"/>
        <v>19.166991741648051</v>
      </c>
      <c r="AF60" s="277">
        <f t="shared" si="26"/>
        <v>0.10442733828597339</v>
      </c>
      <c r="AG60" s="277">
        <f t="shared" si="26"/>
        <v>1.525167867693304</v>
      </c>
      <c r="AH60" s="277">
        <f t="shared" si="26"/>
        <v>5.1837686199986015</v>
      </c>
      <c r="AI60" s="277">
        <f t="shared" si="26"/>
        <v>10.124110763786708</v>
      </c>
      <c r="AJ60" s="277">
        <f t="shared" si="26"/>
        <v>15.033175614903744</v>
      </c>
      <c r="AK60" s="277">
        <f t="shared" si="26"/>
        <v>19.166991741648051</v>
      </c>
      <c r="AL60" s="277">
        <f t="shared" si="26"/>
        <v>0.10442733828597339</v>
      </c>
      <c r="AM60" s="277">
        <f t="shared" si="26"/>
        <v>1.525167867693304</v>
      </c>
      <c r="AN60" s="277">
        <f t="shared" si="26"/>
        <v>5.1837686199986015</v>
      </c>
      <c r="AO60" s="277">
        <f t="shared" si="26"/>
        <v>10.124110763786708</v>
      </c>
      <c r="AP60" s="277">
        <f t="shared" si="26"/>
        <v>15.033175614903744</v>
      </c>
      <c r="AQ60" s="277">
        <f t="shared" si="26"/>
        <v>19.166991741648051</v>
      </c>
      <c r="AR60" s="277">
        <f t="shared" si="26"/>
        <v>0.10442733828597339</v>
      </c>
      <c r="AS60" s="277">
        <f t="shared" si="26"/>
        <v>1.525167867693304</v>
      </c>
      <c r="AT60" s="277">
        <f t="shared" si="26"/>
        <v>5.1837686199986015</v>
      </c>
      <c r="AU60" s="277">
        <f t="shared" si="26"/>
        <v>10.124110763786708</v>
      </c>
      <c r="AV60" s="277">
        <f t="shared" si="26"/>
        <v>15.033175614903744</v>
      </c>
    </row>
    <row r="61" spans="2:48" s="253" customFormat="1" ht="12.95" customHeight="1" x14ac:dyDescent="0.2">
      <c r="B61" s="14"/>
      <c r="C61" s="372">
        <v>7</v>
      </c>
      <c r="D61" s="372"/>
      <c r="E61" s="372"/>
      <c r="F61" s="253" t="s">
        <v>492</v>
      </c>
      <c r="G61" s="253" t="s">
        <v>395</v>
      </c>
      <c r="H61" s="277"/>
      <c r="I61" s="277"/>
      <c r="J61" s="277"/>
      <c r="K61" s="277"/>
      <c r="L61" s="277"/>
      <c r="M61" s="277"/>
      <c r="N61" s="277"/>
      <c r="O61" s="277">
        <f t="shared" ref="O61:AV61" si="27">HLOOKUP(O50,t_growth,2)</f>
        <v>0</v>
      </c>
      <c r="P61" s="277">
        <f t="shared" si="27"/>
        <v>0</v>
      </c>
      <c r="Q61" s="277">
        <f t="shared" si="27"/>
        <v>0</v>
      </c>
      <c r="R61" s="277">
        <f t="shared" si="27"/>
        <v>0</v>
      </c>
      <c r="S61" s="277">
        <f t="shared" si="27"/>
        <v>0</v>
      </c>
      <c r="T61" s="277">
        <f t="shared" si="27"/>
        <v>0</v>
      </c>
      <c r="U61" s="277">
        <f t="shared" si="27"/>
        <v>0</v>
      </c>
      <c r="V61" s="277">
        <f t="shared" si="27"/>
        <v>0</v>
      </c>
      <c r="W61" s="277">
        <f t="shared" si="27"/>
        <v>0</v>
      </c>
      <c r="X61" s="277">
        <f t="shared" si="27"/>
        <v>0</v>
      </c>
      <c r="Y61" s="277">
        <f t="shared" si="27"/>
        <v>0</v>
      </c>
      <c r="Z61" s="277">
        <f t="shared" si="27"/>
        <v>0</v>
      </c>
      <c r="AA61" s="277">
        <f t="shared" si="27"/>
        <v>0</v>
      </c>
      <c r="AB61" s="277">
        <f t="shared" si="27"/>
        <v>0</v>
      </c>
      <c r="AC61" s="277">
        <f t="shared" si="27"/>
        <v>0</v>
      </c>
      <c r="AD61" s="277">
        <f t="shared" si="27"/>
        <v>0</v>
      </c>
      <c r="AE61" s="277">
        <f t="shared" si="27"/>
        <v>0</v>
      </c>
      <c r="AF61" s="277">
        <f t="shared" si="27"/>
        <v>0</v>
      </c>
      <c r="AG61" s="277">
        <f t="shared" si="27"/>
        <v>0</v>
      </c>
      <c r="AH61" s="277">
        <f t="shared" si="27"/>
        <v>0</v>
      </c>
      <c r="AI61" s="277">
        <f t="shared" si="27"/>
        <v>0</v>
      </c>
      <c r="AJ61" s="277">
        <f t="shared" si="27"/>
        <v>0</v>
      </c>
      <c r="AK61" s="277">
        <f t="shared" si="27"/>
        <v>0</v>
      </c>
      <c r="AL61" s="277">
        <f t="shared" si="27"/>
        <v>0</v>
      </c>
      <c r="AM61" s="277">
        <f t="shared" si="27"/>
        <v>0</v>
      </c>
      <c r="AN61" s="277">
        <f t="shared" si="27"/>
        <v>0</v>
      </c>
      <c r="AO61" s="277">
        <f t="shared" si="27"/>
        <v>0</v>
      </c>
      <c r="AP61" s="277">
        <f t="shared" si="27"/>
        <v>0</v>
      </c>
      <c r="AQ61" s="277">
        <f t="shared" si="27"/>
        <v>0</v>
      </c>
      <c r="AR61" s="277">
        <f t="shared" si="27"/>
        <v>0</v>
      </c>
      <c r="AS61" s="277">
        <f t="shared" si="27"/>
        <v>0</v>
      </c>
      <c r="AT61" s="277">
        <f t="shared" si="27"/>
        <v>0</v>
      </c>
      <c r="AU61" s="277">
        <f t="shared" si="27"/>
        <v>0</v>
      </c>
      <c r="AV61" s="277">
        <f t="shared" si="27"/>
        <v>0</v>
      </c>
    </row>
    <row r="62" spans="2:48" s="253" customFormat="1" ht="12.95" customHeight="1" x14ac:dyDescent="0.2">
      <c r="B62" s="14"/>
      <c r="C62" s="372">
        <v>8</v>
      </c>
      <c r="D62" s="372"/>
      <c r="E62" s="372"/>
      <c r="F62" s="253" t="s">
        <v>492</v>
      </c>
      <c r="G62" s="253" t="s">
        <v>395</v>
      </c>
      <c r="H62" s="277"/>
      <c r="I62" s="277"/>
      <c r="J62" s="277"/>
      <c r="K62" s="277"/>
      <c r="L62" s="277"/>
      <c r="M62" s="277"/>
      <c r="N62" s="277"/>
      <c r="O62" s="277"/>
      <c r="P62" s="277">
        <f t="shared" ref="P62:AV62" si="28">HLOOKUP(P51,t_growth,2)</f>
        <v>0</v>
      </c>
      <c r="Q62" s="277">
        <f t="shared" si="28"/>
        <v>0</v>
      </c>
      <c r="R62" s="277">
        <f t="shared" si="28"/>
        <v>0</v>
      </c>
      <c r="S62" s="277">
        <f t="shared" si="28"/>
        <v>0</v>
      </c>
      <c r="T62" s="277">
        <f t="shared" si="28"/>
        <v>0</v>
      </c>
      <c r="U62" s="277">
        <f t="shared" si="28"/>
        <v>0</v>
      </c>
      <c r="V62" s="277">
        <f t="shared" si="28"/>
        <v>0</v>
      </c>
      <c r="W62" s="277">
        <f t="shared" si="28"/>
        <v>0</v>
      </c>
      <c r="X62" s="277">
        <f t="shared" si="28"/>
        <v>0</v>
      </c>
      <c r="Y62" s="277">
        <f t="shared" si="28"/>
        <v>0</v>
      </c>
      <c r="Z62" s="277">
        <f t="shared" si="28"/>
        <v>0</v>
      </c>
      <c r="AA62" s="277">
        <f t="shared" si="28"/>
        <v>0</v>
      </c>
      <c r="AB62" s="277">
        <f t="shared" si="28"/>
        <v>0</v>
      </c>
      <c r="AC62" s="277">
        <f t="shared" si="28"/>
        <v>0</v>
      </c>
      <c r="AD62" s="277">
        <f t="shared" si="28"/>
        <v>0</v>
      </c>
      <c r="AE62" s="277">
        <f t="shared" si="28"/>
        <v>0</v>
      </c>
      <c r="AF62" s="277">
        <f t="shared" si="28"/>
        <v>0</v>
      </c>
      <c r="AG62" s="277">
        <f t="shared" si="28"/>
        <v>0</v>
      </c>
      <c r="AH62" s="277">
        <f t="shared" si="28"/>
        <v>0</v>
      </c>
      <c r="AI62" s="277">
        <f t="shared" si="28"/>
        <v>0</v>
      </c>
      <c r="AJ62" s="277">
        <f t="shared" si="28"/>
        <v>0</v>
      </c>
      <c r="AK62" s="277">
        <f t="shared" si="28"/>
        <v>0</v>
      </c>
      <c r="AL62" s="277">
        <f t="shared" si="28"/>
        <v>0</v>
      </c>
      <c r="AM62" s="277">
        <f t="shared" si="28"/>
        <v>0</v>
      </c>
      <c r="AN62" s="277">
        <f t="shared" si="28"/>
        <v>0</v>
      </c>
      <c r="AO62" s="277">
        <f t="shared" si="28"/>
        <v>0</v>
      </c>
      <c r="AP62" s="277">
        <f t="shared" si="28"/>
        <v>0</v>
      </c>
      <c r="AQ62" s="277">
        <f t="shared" si="28"/>
        <v>0</v>
      </c>
      <c r="AR62" s="277">
        <f t="shared" si="28"/>
        <v>0</v>
      </c>
      <c r="AS62" s="277">
        <f t="shared" si="28"/>
        <v>0</v>
      </c>
      <c r="AT62" s="277">
        <f t="shared" si="28"/>
        <v>0</v>
      </c>
      <c r="AU62" s="277">
        <f t="shared" si="28"/>
        <v>0</v>
      </c>
      <c r="AV62" s="277">
        <f t="shared" si="28"/>
        <v>0</v>
      </c>
    </row>
    <row r="63" spans="2:48" s="253" customFormat="1" ht="12.95" customHeight="1" x14ac:dyDescent="0.2">
      <c r="B63" s="14"/>
      <c r="C63" s="372">
        <v>9</v>
      </c>
      <c r="D63" s="372"/>
      <c r="E63" s="372"/>
      <c r="F63" s="253" t="s">
        <v>492</v>
      </c>
      <c r="G63" s="253" t="s">
        <v>395</v>
      </c>
      <c r="H63" s="277"/>
      <c r="I63" s="277"/>
      <c r="J63" s="277"/>
      <c r="K63" s="277"/>
      <c r="L63" s="277"/>
      <c r="M63" s="277"/>
      <c r="N63" s="277"/>
      <c r="O63" s="277"/>
      <c r="P63" s="277"/>
      <c r="Q63" s="277">
        <f t="shared" ref="Q63:AV63" si="29">HLOOKUP(Q52,t_growth,2)</f>
        <v>0</v>
      </c>
      <c r="R63" s="277">
        <f t="shared" si="29"/>
        <v>0</v>
      </c>
      <c r="S63" s="277">
        <f t="shared" si="29"/>
        <v>0</v>
      </c>
      <c r="T63" s="277">
        <f t="shared" si="29"/>
        <v>0</v>
      </c>
      <c r="U63" s="277">
        <f t="shared" si="29"/>
        <v>0</v>
      </c>
      <c r="V63" s="277">
        <f t="shared" si="29"/>
        <v>0</v>
      </c>
      <c r="W63" s="277">
        <f t="shared" si="29"/>
        <v>0</v>
      </c>
      <c r="X63" s="277">
        <f t="shared" si="29"/>
        <v>0</v>
      </c>
      <c r="Y63" s="277">
        <f t="shared" si="29"/>
        <v>0</v>
      </c>
      <c r="Z63" s="277">
        <f t="shared" si="29"/>
        <v>0</v>
      </c>
      <c r="AA63" s="277">
        <f t="shared" si="29"/>
        <v>0</v>
      </c>
      <c r="AB63" s="277">
        <f t="shared" si="29"/>
        <v>0</v>
      </c>
      <c r="AC63" s="277">
        <f t="shared" si="29"/>
        <v>0</v>
      </c>
      <c r="AD63" s="277">
        <f t="shared" si="29"/>
        <v>0</v>
      </c>
      <c r="AE63" s="277">
        <f t="shared" si="29"/>
        <v>0</v>
      </c>
      <c r="AF63" s="277">
        <f t="shared" si="29"/>
        <v>0</v>
      </c>
      <c r="AG63" s="277">
        <f t="shared" si="29"/>
        <v>0</v>
      </c>
      <c r="AH63" s="277">
        <f t="shared" si="29"/>
        <v>0</v>
      </c>
      <c r="AI63" s="277">
        <f t="shared" si="29"/>
        <v>0</v>
      </c>
      <c r="AJ63" s="277">
        <f t="shared" si="29"/>
        <v>0</v>
      </c>
      <c r="AK63" s="277">
        <f t="shared" si="29"/>
        <v>0</v>
      </c>
      <c r="AL63" s="277">
        <f t="shared" si="29"/>
        <v>0</v>
      </c>
      <c r="AM63" s="277">
        <f t="shared" si="29"/>
        <v>0</v>
      </c>
      <c r="AN63" s="277">
        <f t="shared" si="29"/>
        <v>0</v>
      </c>
      <c r="AO63" s="277">
        <f t="shared" si="29"/>
        <v>0</v>
      </c>
      <c r="AP63" s="277">
        <f t="shared" si="29"/>
        <v>0</v>
      </c>
      <c r="AQ63" s="277">
        <f t="shared" si="29"/>
        <v>0</v>
      </c>
      <c r="AR63" s="277">
        <f t="shared" si="29"/>
        <v>0</v>
      </c>
      <c r="AS63" s="277">
        <f t="shared" si="29"/>
        <v>0</v>
      </c>
      <c r="AT63" s="277">
        <f t="shared" si="29"/>
        <v>0</v>
      </c>
      <c r="AU63" s="277">
        <f t="shared" si="29"/>
        <v>0</v>
      </c>
      <c r="AV63" s="277">
        <f t="shared" si="29"/>
        <v>0</v>
      </c>
    </row>
    <row r="64" spans="2:48" s="253" customFormat="1" ht="12.95" customHeight="1" x14ac:dyDescent="0.2">
      <c r="B64" s="14"/>
      <c r="C64" s="372">
        <v>10</v>
      </c>
      <c r="D64" s="372"/>
      <c r="E64" s="372"/>
      <c r="F64" s="253" t="s">
        <v>492</v>
      </c>
      <c r="G64" s="253" t="s">
        <v>395</v>
      </c>
      <c r="H64" s="277"/>
      <c r="I64" s="277"/>
      <c r="J64" s="277"/>
      <c r="K64" s="277"/>
      <c r="L64" s="277"/>
      <c r="M64" s="277"/>
      <c r="N64" s="277"/>
      <c r="O64" s="277"/>
      <c r="P64" s="277"/>
      <c r="Q64" s="277"/>
      <c r="R64" s="277">
        <f t="shared" ref="R64:AV64" si="30">HLOOKUP(R53,t_growth,2)</f>
        <v>0</v>
      </c>
      <c r="S64" s="277">
        <f t="shared" si="30"/>
        <v>0</v>
      </c>
      <c r="T64" s="277">
        <f t="shared" si="30"/>
        <v>0</v>
      </c>
      <c r="U64" s="277">
        <f t="shared" si="30"/>
        <v>0</v>
      </c>
      <c r="V64" s="277">
        <f t="shared" si="30"/>
        <v>0</v>
      </c>
      <c r="W64" s="277">
        <f t="shared" si="30"/>
        <v>0</v>
      </c>
      <c r="X64" s="277">
        <f t="shared" si="30"/>
        <v>0</v>
      </c>
      <c r="Y64" s="277">
        <f t="shared" si="30"/>
        <v>0</v>
      </c>
      <c r="Z64" s="277">
        <f t="shared" si="30"/>
        <v>0</v>
      </c>
      <c r="AA64" s="277">
        <f t="shared" si="30"/>
        <v>0</v>
      </c>
      <c r="AB64" s="277">
        <f t="shared" si="30"/>
        <v>0</v>
      </c>
      <c r="AC64" s="277">
        <f t="shared" si="30"/>
        <v>0</v>
      </c>
      <c r="AD64" s="277">
        <f t="shared" si="30"/>
        <v>0</v>
      </c>
      <c r="AE64" s="277">
        <f t="shared" si="30"/>
        <v>0</v>
      </c>
      <c r="AF64" s="277">
        <f t="shared" si="30"/>
        <v>0</v>
      </c>
      <c r="AG64" s="277">
        <f t="shared" si="30"/>
        <v>0</v>
      </c>
      <c r="AH64" s="277">
        <f t="shared" si="30"/>
        <v>0</v>
      </c>
      <c r="AI64" s="277">
        <f t="shared" si="30"/>
        <v>0</v>
      </c>
      <c r="AJ64" s="277">
        <f t="shared" si="30"/>
        <v>0</v>
      </c>
      <c r="AK64" s="277">
        <f t="shared" si="30"/>
        <v>0</v>
      </c>
      <c r="AL64" s="277">
        <f t="shared" si="30"/>
        <v>0</v>
      </c>
      <c r="AM64" s="277">
        <f t="shared" si="30"/>
        <v>0</v>
      </c>
      <c r="AN64" s="277">
        <f t="shared" si="30"/>
        <v>0</v>
      </c>
      <c r="AO64" s="277">
        <f t="shared" si="30"/>
        <v>0</v>
      </c>
      <c r="AP64" s="277">
        <f t="shared" si="30"/>
        <v>0</v>
      </c>
      <c r="AQ64" s="277">
        <f t="shared" si="30"/>
        <v>0</v>
      </c>
      <c r="AR64" s="277">
        <f t="shared" si="30"/>
        <v>0</v>
      </c>
      <c r="AS64" s="277">
        <f t="shared" si="30"/>
        <v>0</v>
      </c>
      <c r="AT64" s="277">
        <f t="shared" si="30"/>
        <v>0</v>
      </c>
      <c r="AU64" s="277">
        <f t="shared" si="30"/>
        <v>0</v>
      </c>
      <c r="AV64" s="277">
        <f t="shared" si="30"/>
        <v>0</v>
      </c>
    </row>
    <row r="65" spans="2:50" s="253" customFormat="1" ht="12.95" customHeight="1" x14ac:dyDescent="0.2">
      <c r="B65" s="14" t="s">
        <v>496</v>
      </c>
      <c r="H65" s="171"/>
      <c r="I65" s="171"/>
      <c r="J65" s="171"/>
      <c r="K65" s="171"/>
      <c r="L65" s="171"/>
      <c r="M65" s="171"/>
      <c r="N65" s="171"/>
      <c r="O65" s="171"/>
      <c r="P65" s="171"/>
      <c r="Q65" s="171"/>
      <c r="R65" s="171"/>
      <c r="S65" s="171"/>
      <c r="T65" s="171"/>
      <c r="U65" s="171"/>
      <c r="V65" s="171"/>
      <c r="W65" s="171"/>
      <c r="X65" s="171"/>
      <c r="Y65" s="171"/>
      <c r="Z65" s="171"/>
      <c r="AA65" s="171"/>
      <c r="AB65" s="171"/>
      <c r="AC65" s="171"/>
      <c r="AD65" s="171"/>
      <c r="AE65" s="171"/>
      <c r="AF65" s="171"/>
      <c r="AG65" s="171"/>
      <c r="AH65" s="171"/>
      <c r="AI65" s="171"/>
      <c r="AJ65" s="171"/>
      <c r="AK65" s="171"/>
      <c r="AL65" s="171"/>
      <c r="AM65" s="171"/>
      <c r="AN65" s="171"/>
      <c r="AO65" s="171"/>
      <c r="AP65" s="171"/>
      <c r="AQ65" s="171"/>
      <c r="AR65" s="171"/>
      <c r="AS65" s="171"/>
      <c r="AT65" s="171"/>
      <c r="AU65" s="171"/>
      <c r="AV65" s="171"/>
    </row>
    <row r="66" spans="2:50" s="253" customFormat="1" ht="12.95" customHeight="1" x14ac:dyDescent="0.2">
      <c r="B66" s="14"/>
      <c r="C66" s="253" t="s">
        <v>858</v>
      </c>
      <c r="F66" s="253" t="s">
        <v>493</v>
      </c>
      <c r="G66" s="253" t="s">
        <v>395</v>
      </c>
      <c r="H66" s="147"/>
      <c r="I66" s="147">
        <f t="shared" ref="I66:AV66" si="31">IF(I44=1,I55,I55-H55)</f>
        <v>0.10442733828597339</v>
      </c>
      <c r="J66" s="147">
        <f t="shared" si="31"/>
        <v>1.4207405294073308</v>
      </c>
      <c r="K66" s="147">
        <f t="shared" si="31"/>
        <v>3.6586007523052975</v>
      </c>
      <c r="L66" s="147">
        <f t="shared" si="31"/>
        <v>4.940342143788107</v>
      </c>
      <c r="M66" s="147">
        <f t="shared" si="31"/>
        <v>4.9090648511170354</v>
      </c>
      <c r="N66" s="147">
        <f t="shared" si="31"/>
        <v>4.133816126744307</v>
      </c>
      <c r="O66" s="147">
        <f t="shared" si="31"/>
        <v>0.10442733828597339</v>
      </c>
      <c r="P66" s="147">
        <f t="shared" si="31"/>
        <v>1.4207405294073308</v>
      </c>
      <c r="Q66" s="147">
        <f t="shared" si="31"/>
        <v>3.6586007523052975</v>
      </c>
      <c r="R66" s="147">
        <f t="shared" si="31"/>
        <v>4.940342143788107</v>
      </c>
      <c r="S66" s="147">
        <f t="shared" si="31"/>
        <v>4.9090648511170354</v>
      </c>
      <c r="T66" s="147">
        <f t="shared" si="31"/>
        <v>4.133816126744307</v>
      </c>
      <c r="U66" s="147">
        <f t="shared" si="31"/>
        <v>0.10442733828597339</v>
      </c>
      <c r="V66" s="147">
        <f t="shared" si="31"/>
        <v>1.4207405294073308</v>
      </c>
      <c r="W66" s="147">
        <f t="shared" si="31"/>
        <v>3.6586007523052975</v>
      </c>
      <c r="X66" s="147">
        <f t="shared" si="31"/>
        <v>4.940342143788107</v>
      </c>
      <c r="Y66" s="147">
        <f t="shared" si="31"/>
        <v>4.9090648511170354</v>
      </c>
      <c r="Z66" s="147">
        <f t="shared" si="31"/>
        <v>4.133816126744307</v>
      </c>
      <c r="AA66" s="147">
        <f t="shared" si="31"/>
        <v>0.10442733828597339</v>
      </c>
      <c r="AB66" s="147">
        <f t="shared" si="31"/>
        <v>1.4207405294073308</v>
      </c>
      <c r="AC66" s="147">
        <f t="shared" si="31"/>
        <v>3.6586007523052975</v>
      </c>
      <c r="AD66" s="147">
        <f t="shared" si="31"/>
        <v>4.940342143788107</v>
      </c>
      <c r="AE66" s="147">
        <f t="shared" si="31"/>
        <v>4.9090648511170354</v>
      </c>
      <c r="AF66" s="147">
        <f t="shared" si="31"/>
        <v>4.133816126744307</v>
      </c>
      <c r="AG66" s="147">
        <f t="shared" si="31"/>
        <v>0.10442733828597339</v>
      </c>
      <c r="AH66" s="147">
        <f t="shared" si="31"/>
        <v>1.4207405294073308</v>
      </c>
      <c r="AI66" s="147">
        <f t="shared" si="31"/>
        <v>3.6586007523052975</v>
      </c>
      <c r="AJ66" s="147">
        <f t="shared" si="31"/>
        <v>4.940342143788107</v>
      </c>
      <c r="AK66" s="147">
        <f t="shared" si="31"/>
        <v>4.9090648511170354</v>
      </c>
      <c r="AL66" s="147">
        <f t="shared" si="31"/>
        <v>4.133816126744307</v>
      </c>
      <c r="AM66" s="147">
        <f t="shared" si="31"/>
        <v>0.10442733828597339</v>
      </c>
      <c r="AN66" s="147">
        <f t="shared" si="31"/>
        <v>1.4207405294073308</v>
      </c>
      <c r="AO66" s="147">
        <f t="shared" si="31"/>
        <v>3.6586007523052975</v>
      </c>
      <c r="AP66" s="147">
        <f t="shared" si="31"/>
        <v>4.940342143788107</v>
      </c>
      <c r="AQ66" s="147">
        <f t="shared" si="31"/>
        <v>4.9090648511170354</v>
      </c>
      <c r="AR66" s="147">
        <f t="shared" si="31"/>
        <v>4.133816126744307</v>
      </c>
      <c r="AS66" s="147">
        <f t="shared" si="31"/>
        <v>0.10442733828597339</v>
      </c>
      <c r="AT66" s="147">
        <f t="shared" si="31"/>
        <v>1.4207405294073308</v>
      </c>
      <c r="AU66" s="147">
        <f t="shared" si="31"/>
        <v>3.6586007523052975</v>
      </c>
      <c r="AV66" s="147">
        <f t="shared" si="31"/>
        <v>4.940342143788107</v>
      </c>
    </row>
    <row r="67" spans="2:50" s="253" customFormat="1" ht="12.95" customHeight="1" x14ac:dyDescent="0.2">
      <c r="B67" s="14"/>
      <c r="C67" s="253" t="s">
        <v>859</v>
      </c>
      <c r="F67" s="253" t="s">
        <v>493</v>
      </c>
      <c r="G67" s="253" t="s">
        <v>395</v>
      </c>
      <c r="H67" s="147"/>
      <c r="I67" s="147"/>
      <c r="J67" s="147">
        <f t="shared" ref="J67:AV67" si="32">IF(J45=1,J56,J56-I56)</f>
        <v>0.10442733828597339</v>
      </c>
      <c r="K67" s="147">
        <f t="shared" si="32"/>
        <v>1.4207405294073308</v>
      </c>
      <c r="L67" s="147">
        <f t="shared" si="32"/>
        <v>3.6586007523052975</v>
      </c>
      <c r="M67" s="147">
        <f t="shared" si="32"/>
        <v>4.940342143788107</v>
      </c>
      <c r="N67" s="147">
        <f t="shared" si="32"/>
        <v>4.9090648511170354</v>
      </c>
      <c r="O67" s="147">
        <f t="shared" si="32"/>
        <v>4.133816126744307</v>
      </c>
      <c r="P67" s="147">
        <f t="shared" si="32"/>
        <v>0.10442733828597339</v>
      </c>
      <c r="Q67" s="147">
        <f t="shared" si="32"/>
        <v>1.4207405294073308</v>
      </c>
      <c r="R67" s="147">
        <f t="shared" si="32"/>
        <v>3.6586007523052975</v>
      </c>
      <c r="S67" s="147">
        <f t="shared" si="32"/>
        <v>4.940342143788107</v>
      </c>
      <c r="T67" s="147">
        <f t="shared" si="32"/>
        <v>4.9090648511170354</v>
      </c>
      <c r="U67" s="147">
        <f t="shared" si="32"/>
        <v>4.133816126744307</v>
      </c>
      <c r="V67" s="147">
        <f t="shared" si="32"/>
        <v>0.10442733828597339</v>
      </c>
      <c r="W67" s="147">
        <f t="shared" si="32"/>
        <v>1.4207405294073308</v>
      </c>
      <c r="X67" s="147">
        <f t="shared" si="32"/>
        <v>3.6586007523052975</v>
      </c>
      <c r="Y67" s="147">
        <f t="shared" si="32"/>
        <v>4.940342143788107</v>
      </c>
      <c r="Z67" s="147">
        <f t="shared" si="32"/>
        <v>4.9090648511170354</v>
      </c>
      <c r="AA67" s="147">
        <f t="shared" si="32"/>
        <v>4.133816126744307</v>
      </c>
      <c r="AB67" s="147">
        <f t="shared" si="32"/>
        <v>0.10442733828597339</v>
      </c>
      <c r="AC67" s="147">
        <f t="shared" si="32"/>
        <v>1.4207405294073308</v>
      </c>
      <c r="AD67" s="147">
        <f t="shared" si="32"/>
        <v>3.6586007523052975</v>
      </c>
      <c r="AE67" s="147">
        <f t="shared" si="32"/>
        <v>4.940342143788107</v>
      </c>
      <c r="AF67" s="147">
        <f t="shared" si="32"/>
        <v>4.9090648511170354</v>
      </c>
      <c r="AG67" s="147">
        <f t="shared" si="32"/>
        <v>4.133816126744307</v>
      </c>
      <c r="AH67" s="147">
        <f t="shared" si="32"/>
        <v>0.10442733828597339</v>
      </c>
      <c r="AI67" s="147">
        <f t="shared" si="32"/>
        <v>1.4207405294073308</v>
      </c>
      <c r="AJ67" s="147">
        <f t="shared" si="32"/>
        <v>3.6586007523052975</v>
      </c>
      <c r="AK67" s="147">
        <f t="shared" si="32"/>
        <v>4.940342143788107</v>
      </c>
      <c r="AL67" s="147">
        <f t="shared" si="32"/>
        <v>4.9090648511170354</v>
      </c>
      <c r="AM67" s="147">
        <f t="shared" si="32"/>
        <v>4.133816126744307</v>
      </c>
      <c r="AN67" s="147">
        <f t="shared" si="32"/>
        <v>0.10442733828597339</v>
      </c>
      <c r="AO67" s="147">
        <f t="shared" si="32"/>
        <v>1.4207405294073308</v>
      </c>
      <c r="AP67" s="147">
        <f t="shared" si="32"/>
        <v>3.6586007523052975</v>
      </c>
      <c r="AQ67" s="147">
        <f t="shared" si="32"/>
        <v>4.940342143788107</v>
      </c>
      <c r="AR67" s="147">
        <f t="shared" si="32"/>
        <v>4.9090648511170354</v>
      </c>
      <c r="AS67" s="147">
        <f t="shared" si="32"/>
        <v>4.133816126744307</v>
      </c>
      <c r="AT67" s="147">
        <f t="shared" si="32"/>
        <v>0.10442733828597339</v>
      </c>
      <c r="AU67" s="147">
        <f t="shared" si="32"/>
        <v>1.4207405294073308</v>
      </c>
      <c r="AV67" s="147">
        <f t="shared" si="32"/>
        <v>3.6586007523052975</v>
      </c>
    </row>
    <row r="68" spans="2:50" s="253" customFormat="1" ht="12.95" customHeight="1" x14ac:dyDescent="0.2">
      <c r="B68" s="14"/>
      <c r="C68" s="253" t="s">
        <v>860</v>
      </c>
      <c r="F68" s="253" t="s">
        <v>493</v>
      </c>
      <c r="G68" s="253" t="s">
        <v>395</v>
      </c>
      <c r="H68" s="277"/>
      <c r="I68" s="147"/>
      <c r="J68" s="147"/>
      <c r="K68" s="147">
        <f t="shared" ref="K68:AV68" si="33">IF(K46=1,K57,K57-J57)</f>
        <v>0.10442733828597339</v>
      </c>
      <c r="L68" s="147">
        <f t="shared" si="33"/>
        <v>1.4207405294073308</v>
      </c>
      <c r="M68" s="147">
        <f t="shared" si="33"/>
        <v>3.6586007523052975</v>
      </c>
      <c r="N68" s="147">
        <f t="shared" si="33"/>
        <v>4.940342143788107</v>
      </c>
      <c r="O68" s="147">
        <f t="shared" si="33"/>
        <v>4.9090648511170354</v>
      </c>
      <c r="P68" s="147">
        <f t="shared" si="33"/>
        <v>4.133816126744307</v>
      </c>
      <c r="Q68" s="147">
        <f t="shared" si="33"/>
        <v>0.10442733828597339</v>
      </c>
      <c r="R68" s="147">
        <f t="shared" si="33"/>
        <v>1.4207405294073308</v>
      </c>
      <c r="S68" s="147">
        <f t="shared" si="33"/>
        <v>3.6586007523052975</v>
      </c>
      <c r="T68" s="147">
        <f t="shared" si="33"/>
        <v>4.940342143788107</v>
      </c>
      <c r="U68" s="147">
        <f t="shared" si="33"/>
        <v>4.9090648511170354</v>
      </c>
      <c r="V68" s="147">
        <f t="shared" si="33"/>
        <v>4.133816126744307</v>
      </c>
      <c r="W68" s="147">
        <f t="shared" si="33"/>
        <v>0.10442733828597339</v>
      </c>
      <c r="X68" s="147">
        <f t="shared" si="33"/>
        <v>1.4207405294073308</v>
      </c>
      <c r="Y68" s="147">
        <f t="shared" si="33"/>
        <v>3.6586007523052975</v>
      </c>
      <c r="Z68" s="147">
        <f t="shared" si="33"/>
        <v>4.940342143788107</v>
      </c>
      <c r="AA68" s="147">
        <f t="shared" si="33"/>
        <v>4.9090648511170354</v>
      </c>
      <c r="AB68" s="147">
        <f t="shared" si="33"/>
        <v>4.133816126744307</v>
      </c>
      <c r="AC68" s="147">
        <f t="shared" si="33"/>
        <v>0.10442733828597339</v>
      </c>
      <c r="AD68" s="147">
        <f t="shared" si="33"/>
        <v>1.4207405294073308</v>
      </c>
      <c r="AE68" s="147">
        <f t="shared" si="33"/>
        <v>3.6586007523052975</v>
      </c>
      <c r="AF68" s="147">
        <f t="shared" si="33"/>
        <v>4.940342143788107</v>
      </c>
      <c r="AG68" s="147">
        <f t="shared" si="33"/>
        <v>4.9090648511170354</v>
      </c>
      <c r="AH68" s="147">
        <f t="shared" si="33"/>
        <v>4.133816126744307</v>
      </c>
      <c r="AI68" s="147">
        <f t="shared" si="33"/>
        <v>0.10442733828597339</v>
      </c>
      <c r="AJ68" s="147">
        <f t="shared" si="33"/>
        <v>1.4207405294073308</v>
      </c>
      <c r="AK68" s="147">
        <f t="shared" si="33"/>
        <v>3.6586007523052975</v>
      </c>
      <c r="AL68" s="147">
        <f t="shared" si="33"/>
        <v>4.940342143788107</v>
      </c>
      <c r="AM68" s="147">
        <f t="shared" si="33"/>
        <v>4.9090648511170354</v>
      </c>
      <c r="AN68" s="147">
        <f t="shared" si="33"/>
        <v>4.133816126744307</v>
      </c>
      <c r="AO68" s="147">
        <f t="shared" si="33"/>
        <v>0.10442733828597339</v>
      </c>
      <c r="AP68" s="147">
        <f t="shared" si="33"/>
        <v>1.4207405294073308</v>
      </c>
      <c r="AQ68" s="147">
        <f t="shared" si="33"/>
        <v>3.6586007523052975</v>
      </c>
      <c r="AR68" s="147">
        <f t="shared" si="33"/>
        <v>4.940342143788107</v>
      </c>
      <c r="AS68" s="147">
        <f t="shared" si="33"/>
        <v>4.9090648511170354</v>
      </c>
      <c r="AT68" s="147">
        <f t="shared" si="33"/>
        <v>4.133816126744307</v>
      </c>
      <c r="AU68" s="147">
        <f t="shared" si="33"/>
        <v>0.10442733828597339</v>
      </c>
      <c r="AV68" s="147">
        <f t="shared" si="33"/>
        <v>1.4207405294073308</v>
      </c>
    </row>
    <row r="69" spans="2:50" s="253" customFormat="1" ht="12.95" customHeight="1" x14ac:dyDescent="0.2">
      <c r="B69" s="14"/>
      <c r="C69" s="253" t="s">
        <v>861</v>
      </c>
      <c r="F69" s="253" t="s">
        <v>493</v>
      </c>
      <c r="G69" s="253" t="s">
        <v>395</v>
      </c>
      <c r="H69" s="277"/>
      <c r="I69" s="147"/>
      <c r="J69" s="147"/>
      <c r="K69" s="147"/>
      <c r="L69" s="147">
        <f t="shared" ref="L69:AV69" si="34">IF(L47=1,L58,L58-K58)</f>
        <v>0.10442733828597339</v>
      </c>
      <c r="M69" s="147">
        <f t="shared" si="34"/>
        <v>1.4207405294073308</v>
      </c>
      <c r="N69" s="147">
        <f t="shared" si="34"/>
        <v>3.6586007523052975</v>
      </c>
      <c r="O69" s="147">
        <f t="shared" si="34"/>
        <v>4.940342143788107</v>
      </c>
      <c r="P69" s="147">
        <f t="shared" si="34"/>
        <v>4.9090648511170354</v>
      </c>
      <c r="Q69" s="147">
        <f t="shared" si="34"/>
        <v>4.133816126744307</v>
      </c>
      <c r="R69" s="147">
        <f t="shared" si="34"/>
        <v>0.10442733828597339</v>
      </c>
      <c r="S69" s="147">
        <f t="shared" si="34"/>
        <v>1.4207405294073308</v>
      </c>
      <c r="T69" s="147">
        <f t="shared" si="34"/>
        <v>3.6586007523052975</v>
      </c>
      <c r="U69" s="147">
        <f t="shared" si="34"/>
        <v>4.940342143788107</v>
      </c>
      <c r="V69" s="147">
        <f t="shared" si="34"/>
        <v>4.9090648511170354</v>
      </c>
      <c r="W69" s="147">
        <f t="shared" si="34"/>
        <v>4.133816126744307</v>
      </c>
      <c r="X69" s="147">
        <f t="shared" si="34"/>
        <v>0.10442733828597339</v>
      </c>
      <c r="Y69" s="147">
        <f t="shared" si="34"/>
        <v>1.4207405294073308</v>
      </c>
      <c r="Z69" s="147">
        <f t="shared" si="34"/>
        <v>3.6586007523052975</v>
      </c>
      <c r="AA69" s="147">
        <f t="shared" si="34"/>
        <v>4.940342143788107</v>
      </c>
      <c r="AB69" s="147">
        <f t="shared" si="34"/>
        <v>4.9090648511170354</v>
      </c>
      <c r="AC69" s="147">
        <f t="shared" si="34"/>
        <v>4.133816126744307</v>
      </c>
      <c r="AD69" s="147">
        <f t="shared" si="34"/>
        <v>0.10442733828597339</v>
      </c>
      <c r="AE69" s="147">
        <f t="shared" si="34"/>
        <v>1.4207405294073308</v>
      </c>
      <c r="AF69" s="147">
        <f t="shared" si="34"/>
        <v>3.6586007523052975</v>
      </c>
      <c r="AG69" s="147">
        <f t="shared" si="34"/>
        <v>4.940342143788107</v>
      </c>
      <c r="AH69" s="147">
        <f t="shared" si="34"/>
        <v>4.9090648511170354</v>
      </c>
      <c r="AI69" s="147">
        <f t="shared" si="34"/>
        <v>4.133816126744307</v>
      </c>
      <c r="AJ69" s="147">
        <f t="shared" si="34"/>
        <v>0.10442733828597339</v>
      </c>
      <c r="AK69" s="147">
        <f t="shared" si="34"/>
        <v>1.4207405294073308</v>
      </c>
      <c r="AL69" s="147">
        <f t="shared" si="34"/>
        <v>3.6586007523052975</v>
      </c>
      <c r="AM69" s="147">
        <f t="shared" si="34"/>
        <v>4.940342143788107</v>
      </c>
      <c r="AN69" s="147">
        <f t="shared" si="34"/>
        <v>4.9090648511170354</v>
      </c>
      <c r="AO69" s="147">
        <f t="shared" si="34"/>
        <v>4.133816126744307</v>
      </c>
      <c r="AP69" s="147">
        <f t="shared" si="34"/>
        <v>0.10442733828597339</v>
      </c>
      <c r="AQ69" s="147">
        <f t="shared" si="34"/>
        <v>1.4207405294073308</v>
      </c>
      <c r="AR69" s="147">
        <f t="shared" si="34"/>
        <v>3.6586007523052975</v>
      </c>
      <c r="AS69" s="147">
        <f t="shared" si="34"/>
        <v>4.940342143788107</v>
      </c>
      <c r="AT69" s="147">
        <f t="shared" si="34"/>
        <v>4.9090648511170354</v>
      </c>
      <c r="AU69" s="147">
        <f t="shared" si="34"/>
        <v>4.133816126744307</v>
      </c>
      <c r="AV69" s="147">
        <f t="shared" si="34"/>
        <v>0.10442733828597339</v>
      </c>
    </row>
    <row r="70" spans="2:50" s="253" customFormat="1" ht="12.95" customHeight="1" x14ac:dyDescent="0.2">
      <c r="B70" s="14"/>
      <c r="C70" s="253" t="s">
        <v>862</v>
      </c>
      <c r="F70" s="253" t="s">
        <v>493</v>
      </c>
      <c r="G70" s="253" t="s">
        <v>395</v>
      </c>
      <c r="H70" s="277"/>
      <c r="I70" s="147"/>
      <c r="J70" s="147"/>
      <c r="K70" s="147"/>
      <c r="L70" s="147"/>
      <c r="M70" s="147">
        <f t="shared" ref="M70:AV70" si="35">IF(M48=1,M59,M59-L59)</f>
        <v>0.10442733828597339</v>
      </c>
      <c r="N70" s="147">
        <f t="shared" si="35"/>
        <v>1.4207405294073308</v>
      </c>
      <c r="O70" s="147">
        <f t="shared" si="35"/>
        <v>3.6586007523052975</v>
      </c>
      <c r="P70" s="147">
        <f t="shared" si="35"/>
        <v>4.940342143788107</v>
      </c>
      <c r="Q70" s="147">
        <f t="shared" si="35"/>
        <v>4.9090648511170354</v>
      </c>
      <c r="R70" s="147">
        <f t="shared" si="35"/>
        <v>4.133816126744307</v>
      </c>
      <c r="S70" s="147">
        <f t="shared" si="35"/>
        <v>0.10442733828597339</v>
      </c>
      <c r="T70" s="147">
        <f t="shared" si="35"/>
        <v>1.4207405294073308</v>
      </c>
      <c r="U70" s="147">
        <f t="shared" si="35"/>
        <v>3.6586007523052975</v>
      </c>
      <c r="V70" s="147">
        <f t="shared" si="35"/>
        <v>4.940342143788107</v>
      </c>
      <c r="W70" s="147">
        <f t="shared" si="35"/>
        <v>4.9090648511170354</v>
      </c>
      <c r="X70" s="147">
        <f t="shared" si="35"/>
        <v>4.133816126744307</v>
      </c>
      <c r="Y70" s="147">
        <f t="shared" si="35"/>
        <v>0.10442733828597339</v>
      </c>
      <c r="Z70" s="147">
        <f t="shared" si="35"/>
        <v>1.4207405294073308</v>
      </c>
      <c r="AA70" s="147">
        <f t="shared" si="35"/>
        <v>3.6586007523052975</v>
      </c>
      <c r="AB70" s="147">
        <f t="shared" si="35"/>
        <v>4.940342143788107</v>
      </c>
      <c r="AC70" s="147">
        <f t="shared" si="35"/>
        <v>4.9090648511170354</v>
      </c>
      <c r="AD70" s="147">
        <f t="shared" si="35"/>
        <v>4.133816126744307</v>
      </c>
      <c r="AE70" s="147">
        <f t="shared" si="35"/>
        <v>0.10442733828597339</v>
      </c>
      <c r="AF70" s="147">
        <f t="shared" si="35"/>
        <v>1.4207405294073308</v>
      </c>
      <c r="AG70" s="147">
        <f t="shared" si="35"/>
        <v>3.6586007523052975</v>
      </c>
      <c r="AH70" s="147">
        <f t="shared" si="35"/>
        <v>4.940342143788107</v>
      </c>
      <c r="AI70" s="147">
        <f t="shared" si="35"/>
        <v>4.9090648511170354</v>
      </c>
      <c r="AJ70" s="147">
        <f t="shared" si="35"/>
        <v>4.133816126744307</v>
      </c>
      <c r="AK70" s="147">
        <f t="shared" si="35"/>
        <v>0.10442733828597339</v>
      </c>
      <c r="AL70" s="147">
        <f t="shared" si="35"/>
        <v>1.4207405294073308</v>
      </c>
      <c r="AM70" s="147">
        <f t="shared" si="35"/>
        <v>3.6586007523052975</v>
      </c>
      <c r="AN70" s="147">
        <f t="shared" si="35"/>
        <v>4.940342143788107</v>
      </c>
      <c r="AO70" s="147">
        <f t="shared" si="35"/>
        <v>4.9090648511170354</v>
      </c>
      <c r="AP70" s="147">
        <f t="shared" si="35"/>
        <v>4.133816126744307</v>
      </c>
      <c r="AQ70" s="147">
        <f t="shared" si="35"/>
        <v>0.10442733828597339</v>
      </c>
      <c r="AR70" s="147">
        <f t="shared" si="35"/>
        <v>1.4207405294073308</v>
      </c>
      <c r="AS70" s="147">
        <f t="shared" si="35"/>
        <v>3.6586007523052975</v>
      </c>
      <c r="AT70" s="147">
        <f t="shared" si="35"/>
        <v>4.940342143788107</v>
      </c>
      <c r="AU70" s="147">
        <f t="shared" si="35"/>
        <v>4.9090648511170354</v>
      </c>
      <c r="AV70" s="147">
        <f t="shared" si="35"/>
        <v>4.133816126744307</v>
      </c>
    </row>
    <row r="71" spans="2:50" s="253" customFormat="1" ht="12.95" customHeight="1" x14ac:dyDescent="0.2">
      <c r="B71" s="14"/>
      <c r="C71" s="253" t="s">
        <v>863</v>
      </c>
      <c r="F71" s="253" t="s">
        <v>493</v>
      </c>
      <c r="G71" s="253" t="s">
        <v>395</v>
      </c>
      <c r="H71" s="277"/>
      <c r="I71" s="147"/>
      <c r="J71" s="147"/>
      <c r="K71" s="147"/>
      <c r="L71" s="147"/>
      <c r="M71" s="147"/>
      <c r="N71" s="147">
        <f t="shared" ref="N71:AV71" si="36">IF(N49=1,N60,N60-M60)</f>
        <v>0.10442733828597339</v>
      </c>
      <c r="O71" s="147">
        <f t="shared" si="36"/>
        <v>1.4207405294073308</v>
      </c>
      <c r="P71" s="147">
        <f t="shared" si="36"/>
        <v>3.6586007523052975</v>
      </c>
      <c r="Q71" s="147">
        <f t="shared" si="36"/>
        <v>4.940342143788107</v>
      </c>
      <c r="R71" s="147">
        <f t="shared" si="36"/>
        <v>4.9090648511170354</v>
      </c>
      <c r="S71" s="147">
        <f t="shared" si="36"/>
        <v>4.133816126744307</v>
      </c>
      <c r="T71" s="147">
        <f t="shared" si="36"/>
        <v>0.10442733828597339</v>
      </c>
      <c r="U71" s="147">
        <f t="shared" si="36"/>
        <v>1.4207405294073308</v>
      </c>
      <c r="V71" s="147">
        <f t="shared" si="36"/>
        <v>3.6586007523052975</v>
      </c>
      <c r="W71" s="147">
        <f t="shared" si="36"/>
        <v>4.940342143788107</v>
      </c>
      <c r="X71" s="147">
        <f t="shared" si="36"/>
        <v>4.9090648511170354</v>
      </c>
      <c r="Y71" s="147">
        <f t="shared" si="36"/>
        <v>4.133816126744307</v>
      </c>
      <c r="Z71" s="147">
        <f t="shared" si="36"/>
        <v>0.10442733828597339</v>
      </c>
      <c r="AA71" s="147">
        <f t="shared" si="36"/>
        <v>1.4207405294073308</v>
      </c>
      <c r="AB71" s="147">
        <f t="shared" si="36"/>
        <v>3.6586007523052975</v>
      </c>
      <c r="AC71" s="147">
        <f t="shared" si="36"/>
        <v>4.940342143788107</v>
      </c>
      <c r="AD71" s="147">
        <f t="shared" si="36"/>
        <v>4.9090648511170354</v>
      </c>
      <c r="AE71" s="147">
        <f t="shared" si="36"/>
        <v>4.133816126744307</v>
      </c>
      <c r="AF71" s="147">
        <f t="shared" si="36"/>
        <v>0.10442733828597339</v>
      </c>
      <c r="AG71" s="147">
        <f t="shared" si="36"/>
        <v>1.4207405294073308</v>
      </c>
      <c r="AH71" s="147">
        <f t="shared" si="36"/>
        <v>3.6586007523052975</v>
      </c>
      <c r="AI71" s="147">
        <f t="shared" si="36"/>
        <v>4.940342143788107</v>
      </c>
      <c r="AJ71" s="147">
        <f t="shared" si="36"/>
        <v>4.9090648511170354</v>
      </c>
      <c r="AK71" s="147">
        <f t="shared" si="36"/>
        <v>4.133816126744307</v>
      </c>
      <c r="AL71" s="147">
        <f t="shared" si="36"/>
        <v>0.10442733828597339</v>
      </c>
      <c r="AM71" s="147">
        <f t="shared" si="36"/>
        <v>1.4207405294073308</v>
      </c>
      <c r="AN71" s="147">
        <f t="shared" si="36"/>
        <v>3.6586007523052975</v>
      </c>
      <c r="AO71" s="147">
        <f t="shared" si="36"/>
        <v>4.940342143788107</v>
      </c>
      <c r="AP71" s="147">
        <f t="shared" si="36"/>
        <v>4.9090648511170354</v>
      </c>
      <c r="AQ71" s="147">
        <f t="shared" si="36"/>
        <v>4.133816126744307</v>
      </c>
      <c r="AR71" s="147">
        <f t="shared" si="36"/>
        <v>0.10442733828597339</v>
      </c>
      <c r="AS71" s="147">
        <f t="shared" si="36"/>
        <v>1.4207405294073308</v>
      </c>
      <c r="AT71" s="147">
        <f t="shared" si="36"/>
        <v>3.6586007523052975</v>
      </c>
      <c r="AU71" s="147">
        <f t="shared" si="36"/>
        <v>4.940342143788107</v>
      </c>
      <c r="AV71" s="147">
        <f t="shared" si="36"/>
        <v>4.9090648511170354</v>
      </c>
    </row>
    <row r="72" spans="2:50" s="253" customFormat="1" ht="12.95" customHeight="1" x14ac:dyDescent="0.2">
      <c r="B72" s="14"/>
      <c r="C72" s="253" t="s">
        <v>864</v>
      </c>
      <c r="F72" s="253" t="s">
        <v>493</v>
      </c>
      <c r="G72" s="253" t="s">
        <v>395</v>
      </c>
      <c r="H72" s="277"/>
      <c r="I72" s="147"/>
      <c r="J72" s="147"/>
      <c r="K72" s="147"/>
      <c r="L72" s="147"/>
      <c r="M72" s="147"/>
      <c r="N72" s="147"/>
      <c r="O72" s="147">
        <f t="shared" ref="O72:AV72" si="37">IF(O50=1,O61,O61-N61)</f>
        <v>0</v>
      </c>
      <c r="P72" s="147">
        <f t="shared" si="37"/>
        <v>0</v>
      </c>
      <c r="Q72" s="147">
        <f t="shared" si="37"/>
        <v>0</v>
      </c>
      <c r="R72" s="147">
        <f t="shared" si="37"/>
        <v>0</v>
      </c>
      <c r="S72" s="147">
        <f t="shared" si="37"/>
        <v>0</v>
      </c>
      <c r="T72" s="147">
        <f t="shared" si="37"/>
        <v>0</v>
      </c>
      <c r="U72" s="147">
        <f t="shared" si="37"/>
        <v>0</v>
      </c>
      <c r="V72" s="147">
        <f t="shared" si="37"/>
        <v>0</v>
      </c>
      <c r="W72" s="147">
        <f t="shared" si="37"/>
        <v>0</v>
      </c>
      <c r="X72" s="147">
        <f t="shared" si="37"/>
        <v>0</v>
      </c>
      <c r="Y72" s="147">
        <f t="shared" si="37"/>
        <v>0</v>
      </c>
      <c r="Z72" s="147">
        <f t="shared" si="37"/>
        <v>0</v>
      </c>
      <c r="AA72" s="147">
        <f t="shared" si="37"/>
        <v>0</v>
      </c>
      <c r="AB72" s="147">
        <f t="shared" si="37"/>
        <v>0</v>
      </c>
      <c r="AC72" s="147">
        <f t="shared" si="37"/>
        <v>0</v>
      </c>
      <c r="AD72" s="147">
        <f t="shared" si="37"/>
        <v>0</v>
      </c>
      <c r="AE72" s="147">
        <f t="shared" si="37"/>
        <v>0</v>
      </c>
      <c r="AF72" s="147">
        <f t="shared" si="37"/>
        <v>0</v>
      </c>
      <c r="AG72" s="147">
        <f t="shared" si="37"/>
        <v>0</v>
      </c>
      <c r="AH72" s="147">
        <f t="shared" si="37"/>
        <v>0</v>
      </c>
      <c r="AI72" s="147">
        <f t="shared" si="37"/>
        <v>0</v>
      </c>
      <c r="AJ72" s="147">
        <f t="shared" si="37"/>
        <v>0</v>
      </c>
      <c r="AK72" s="147">
        <f t="shared" si="37"/>
        <v>0</v>
      </c>
      <c r="AL72" s="147">
        <f t="shared" si="37"/>
        <v>0</v>
      </c>
      <c r="AM72" s="147">
        <f t="shared" si="37"/>
        <v>0</v>
      </c>
      <c r="AN72" s="147">
        <f t="shared" si="37"/>
        <v>0</v>
      </c>
      <c r="AO72" s="147">
        <f t="shared" si="37"/>
        <v>0</v>
      </c>
      <c r="AP72" s="147">
        <f t="shared" si="37"/>
        <v>0</v>
      </c>
      <c r="AQ72" s="147">
        <f t="shared" si="37"/>
        <v>0</v>
      </c>
      <c r="AR72" s="147">
        <f t="shared" si="37"/>
        <v>0</v>
      </c>
      <c r="AS72" s="147">
        <f t="shared" si="37"/>
        <v>0</v>
      </c>
      <c r="AT72" s="147">
        <f t="shared" si="37"/>
        <v>0</v>
      </c>
      <c r="AU72" s="147">
        <f t="shared" si="37"/>
        <v>0</v>
      </c>
      <c r="AV72" s="147">
        <f t="shared" si="37"/>
        <v>0</v>
      </c>
    </row>
    <row r="73" spans="2:50" s="253" customFormat="1" ht="12.95" customHeight="1" x14ac:dyDescent="0.2">
      <c r="B73" s="14"/>
      <c r="C73" s="253" t="s">
        <v>865</v>
      </c>
      <c r="F73" s="253" t="s">
        <v>493</v>
      </c>
      <c r="G73" s="253" t="s">
        <v>395</v>
      </c>
      <c r="H73" s="277"/>
      <c r="I73" s="147"/>
      <c r="J73" s="147"/>
      <c r="K73" s="147"/>
      <c r="L73" s="147"/>
      <c r="M73" s="147"/>
      <c r="N73" s="147"/>
      <c r="O73" s="147"/>
      <c r="P73" s="147">
        <f t="shared" ref="P73:AV73" si="38">IF(P51=1,P62,P62-O62)</f>
        <v>0</v>
      </c>
      <c r="Q73" s="147">
        <f t="shared" si="38"/>
        <v>0</v>
      </c>
      <c r="R73" s="147">
        <f t="shared" si="38"/>
        <v>0</v>
      </c>
      <c r="S73" s="147">
        <f t="shared" si="38"/>
        <v>0</v>
      </c>
      <c r="T73" s="147">
        <f t="shared" si="38"/>
        <v>0</v>
      </c>
      <c r="U73" s="147">
        <f t="shared" si="38"/>
        <v>0</v>
      </c>
      <c r="V73" s="147">
        <f t="shared" si="38"/>
        <v>0</v>
      </c>
      <c r="W73" s="147">
        <f t="shared" si="38"/>
        <v>0</v>
      </c>
      <c r="X73" s="147">
        <f t="shared" si="38"/>
        <v>0</v>
      </c>
      <c r="Y73" s="147">
        <f t="shared" si="38"/>
        <v>0</v>
      </c>
      <c r="Z73" s="147">
        <f t="shared" si="38"/>
        <v>0</v>
      </c>
      <c r="AA73" s="147">
        <f t="shared" si="38"/>
        <v>0</v>
      </c>
      <c r="AB73" s="147">
        <f t="shared" si="38"/>
        <v>0</v>
      </c>
      <c r="AC73" s="147">
        <f t="shared" si="38"/>
        <v>0</v>
      </c>
      <c r="AD73" s="147">
        <f t="shared" si="38"/>
        <v>0</v>
      </c>
      <c r="AE73" s="147">
        <f t="shared" si="38"/>
        <v>0</v>
      </c>
      <c r="AF73" s="147">
        <f t="shared" si="38"/>
        <v>0</v>
      </c>
      <c r="AG73" s="147">
        <f t="shared" si="38"/>
        <v>0</v>
      </c>
      <c r="AH73" s="147">
        <f t="shared" si="38"/>
        <v>0</v>
      </c>
      <c r="AI73" s="147">
        <f t="shared" si="38"/>
        <v>0</v>
      </c>
      <c r="AJ73" s="147">
        <f t="shared" si="38"/>
        <v>0</v>
      </c>
      <c r="AK73" s="147">
        <f t="shared" si="38"/>
        <v>0</v>
      </c>
      <c r="AL73" s="147">
        <f t="shared" si="38"/>
        <v>0</v>
      </c>
      <c r="AM73" s="147">
        <f t="shared" si="38"/>
        <v>0</v>
      </c>
      <c r="AN73" s="147">
        <f t="shared" si="38"/>
        <v>0</v>
      </c>
      <c r="AO73" s="147">
        <f t="shared" si="38"/>
        <v>0</v>
      </c>
      <c r="AP73" s="147">
        <f t="shared" si="38"/>
        <v>0</v>
      </c>
      <c r="AQ73" s="147">
        <f t="shared" si="38"/>
        <v>0</v>
      </c>
      <c r="AR73" s="147">
        <f t="shared" si="38"/>
        <v>0</v>
      </c>
      <c r="AS73" s="147">
        <f t="shared" si="38"/>
        <v>0</v>
      </c>
      <c r="AT73" s="147">
        <f t="shared" si="38"/>
        <v>0</v>
      </c>
      <c r="AU73" s="147">
        <f t="shared" si="38"/>
        <v>0</v>
      </c>
      <c r="AV73" s="147">
        <f t="shared" si="38"/>
        <v>0</v>
      </c>
    </row>
    <row r="74" spans="2:50" s="253" customFormat="1" ht="12.95" customHeight="1" x14ac:dyDescent="0.2">
      <c r="B74" s="14"/>
      <c r="C74" s="253" t="s">
        <v>866</v>
      </c>
      <c r="F74" s="253" t="s">
        <v>493</v>
      </c>
      <c r="G74" s="253" t="s">
        <v>395</v>
      </c>
      <c r="H74" s="277"/>
      <c r="I74" s="147"/>
      <c r="J74" s="147"/>
      <c r="K74" s="147"/>
      <c r="L74" s="147"/>
      <c r="M74" s="147"/>
      <c r="N74" s="147"/>
      <c r="O74" s="147"/>
      <c r="P74" s="147"/>
      <c r="Q74" s="147">
        <f t="shared" ref="Q74:AV74" si="39">IF(Q52=1,Q63,Q63-P63)</f>
        <v>0</v>
      </c>
      <c r="R74" s="147">
        <f t="shared" si="39"/>
        <v>0</v>
      </c>
      <c r="S74" s="147">
        <f t="shared" si="39"/>
        <v>0</v>
      </c>
      <c r="T74" s="147">
        <f t="shared" si="39"/>
        <v>0</v>
      </c>
      <c r="U74" s="147">
        <f t="shared" si="39"/>
        <v>0</v>
      </c>
      <c r="V74" s="147">
        <f t="shared" si="39"/>
        <v>0</v>
      </c>
      <c r="W74" s="147">
        <f t="shared" si="39"/>
        <v>0</v>
      </c>
      <c r="X74" s="147">
        <f t="shared" si="39"/>
        <v>0</v>
      </c>
      <c r="Y74" s="147">
        <f t="shared" si="39"/>
        <v>0</v>
      </c>
      <c r="Z74" s="147">
        <f t="shared" si="39"/>
        <v>0</v>
      </c>
      <c r="AA74" s="147">
        <f t="shared" si="39"/>
        <v>0</v>
      </c>
      <c r="AB74" s="147">
        <f t="shared" si="39"/>
        <v>0</v>
      </c>
      <c r="AC74" s="147">
        <f t="shared" si="39"/>
        <v>0</v>
      </c>
      <c r="AD74" s="147">
        <f t="shared" si="39"/>
        <v>0</v>
      </c>
      <c r="AE74" s="147">
        <f t="shared" si="39"/>
        <v>0</v>
      </c>
      <c r="AF74" s="147">
        <f t="shared" si="39"/>
        <v>0</v>
      </c>
      <c r="AG74" s="147">
        <f t="shared" si="39"/>
        <v>0</v>
      </c>
      <c r="AH74" s="147">
        <f t="shared" si="39"/>
        <v>0</v>
      </c>
      <c r="AI74" s="147">
        <f t="shared" si="39"/>
        <v>0</v>
      </c>
      <c r="AJ74" s="147">
        <f t="shared" si="39"/>
        <v>0</v>
      </c>
      <c r="AK74" s="147">
        <f t="shared" si="39"/>
        <v>0</v>
      </c>
      <c r="AL74" s="147">
        <f t="shared" si="39"/>
        <v>0</v>
      </c>
      <c r="AM74" s="147">
        <f t="shared" si="39"/>
        <v>0</v>
      </c>
      <c r="AN74" s="147">
        <f t="shared" si="39"/>
        <v>0</v>
      </c>
      <c r="AO74" s="147">
        <f t="shared" si="39"/>
        <v>0</v>
      </c>
      <c r="AP74" s="147">
        <f t="shared" si="39"/>
        <v>0</v>
      </c>
      <c r="AQ74" s="147">
        <f t="shared" si="39"/>
        <v>0</v>
      </c>
      <c r="AR74" s="147">
        <f t="shared" si="39"/>
        <v>0</v>
      </c>
      <c r="AS74" s="147">
        <f t="shared" si="39"/>
        <v>0</v>
      </c>
      <c r="AT74" s="147">
        <f t="shared" si="39"/>
        <v>0</v>
      </c>
      <c r="AU74" s="147">
        <f t="shared" si="39"/>
        <v>0</v>
      </c>
      <c r="AV74" s="147">
        <f t="shared" si="39"/>
        <v>0</v>
      </c>
    </row>
    <row r="75" spans="2:50" s="253" customFormat="1" ht="12.95" customHeight="1" x14ac:dyDescent="0.2">
      <c r="B75" s="14"/>
      <c r="C75" s="253" t="s">
        <v>867</v>
      </c>
      <c r="F75" s="253" t="s">
        <v>493</v>
      </c>
      <c r="G75" s="253" t="s">
        <v>395</v>
      </c>
      <c r="H75" s="277"/>
      <c r="I75" s="147"/>
      <c r="J75" s="147"/>
      <c r="K75" s="147"/>
      <c r="L75" s="147"/>
      <c r="M75" s="147"/>
      <c r="N75" s="147"/>
      <c r="O75" s="147"/>
      <c r="P75" s="147"/>
      <c r="Q75" s="147"/>
      <c r="R75" s="147">
        <f t="shared" ref="R75:AV75" si="40">IF(R53=1,R64,R64-Q64)</f>
        <v>0</v>
      </c>
      <c r="S75" s="147">
        <f t="shared" si="40"/>
        <v>0</v>
      </c>
      <c r="T75" s="147">
        <f t="shared" si="40"/>
        <v>0</v>
      </c>
      <c r="U75" s="147">
        <f t="shared" si="40"/>
        <v>0</v>
      </c>
      <c r="V75" s="147">
        <f t="shared" si="40"/>
        <v>0</v>
      </c>
      <c r="W75" s="147">
        <f t="shared" si="40"/>
        <v>0</v>
      </c>
      <c r="X75" s="147">
        <f t="shared" si="40"/>
        <v>0</v>
      </c>
      <c r="Y75" s="147">
        <f t="shared" si="40"/>
        <v>0</v>
      </c>
      <c r="Z75" s="147">
        <f t="shared" si="40"/>
        <v>0</v>
      </c>
      <c r="AA75" s="147">
        <f t="shared" si="40"/>
        <v>0</v>
      </c>
      <c r="AB75" s="147">
        <f t="shared" si="40"/>
        <v>0</v>
      </c>
      <c r="AC75" s="147">
        <f t="shared" si="40"/>
        <v>0</v>
      </c>
      <c r="AD75" s="147">
        <f t="shared" si="40"/>
        <v>0</v>
      </c>
      <c r="AE75" s="147">
        <f t="shared" si="40"/>
        <v>0</v>
      </c>
      <c r="AF75" s="147">
        <f t="shared" si="40"/>
        <v>0</v>
      </c>
      <c r="AG75" s="147">
        <f t="shared" si="40"/>
        <v>0</v>
      </c>
      <c r="AH75" s="147">
        <f t="shared" si="40"/>
        <v>0</v>
      </c>
      <c r="AI75" s="147">
        <f t="shared" si="40"/>
        <v>0</v>
      </c>
      <c r="AJ75" s="147">
        <f t="shared" si="40"/>
        <v>0</v>
      </c>
      <c r="AK75" s="147">
        <f t="shared" si="40"/>
        <v>0</v>
      </c>
      <c r="AL75" s="147">
        <f t="shared" si="40"/>
        <v>0</v>
      </c>
      <c r="AM75" s="147">
        <f t="shared" si="40"/>
        <v>0</v>
      </c>
      <c r="AN75" s="147">
        <f t="shared" si="40"/>
        <v>0</v>
      </c>
      <c r="AO75" s="147">
        <f t="shared" si="40"/>
        <v>0</v>
      </c>
      <c r="AP75" s="147">
        <f t="shared" si="40"/>
        <v>0</v>
      </c>
      <c r="AQ75" s="147">
        <f t="shared" si="40"/>
        <v>0</v>
      </c>
      <c r="AR75" s="147">
        <f t="shared" si="40"/>
        <v>0</v>
      </c>
      <c r="AS75" s="147">
        <f t="shared" si="40"/>
        <v>0</v>
      </c>
      <c r="AT75" s="147">
        <f t="shared" si="40"/>
        <v>0</v>
      </c>
      <c r="AU75" s="147">
        <f t="shared" si="40"/>
        <v>0</v>
      </c>
      <c r="AV75" s="147">
        <f t="shared" si="40"/>
        <v>0</v>
      </c>
    </row>
    <row r="76" spans="2:50" s="253" customFormat="1" ht="12.95" customHeight="1" x14ac:dyDescent="0.2">
      <c r="B76" s="253" t="s">
        <v>495</v>
      </c>
      <c r="F76" s="253" t="s">
        <v>493</v>
      </c>
      <c r="G76" s="253" t="s">
        <v>432</v>
      </c>
      <c r="H76" s="124"/>
      <c r="I76" s="124">
        <f>SRWC!$F$26*SUM(I66:I75)</f>
        <v>0</v>
      </c>
      <c r="J76" s="124">
        <f>SRWC!$F$26*SUM(J66:J75)</f>
        <v>0</v>
      </c>
      <c r="K76" s="124">
        <f>SRWC!$F$26*SUM(K66:K75)</f>
        <v>0</v>
      </c>
      <c r="L76" s="124">
        <f>SRWC!$F$26*SUM(L66:L75)</f>
        <v>0</v>
      </c>
      <c r="M76" s="124">
        <f>SRWC!$F$26*SUM(M66:M75)</f>
        <v>0</v>
      </c>
      <c r="N76" s="124">
        <f>SRWC!$F$26*SUM(N66:N75)</f>
        <v>0</v>
      </c>
      <c r="O76" s="124">
        <f>SRWC!$F$26*SUM(O66:O75)</f>
        <v>0</v>
      </c>
      <c r="P76" s="124">
        <f>SRWC!$F$26*SUM(P66:P75)</f>
        <v>0</v>
      </c>
      <c r="Q76" s="124">
        <f>SRWC!$F$26*SUM(Q66:Q75)</f>
        <v>0</v>
      </c>
      <c r="R76" s="124">
        <f>SRWC!$F$26*SUM(R66:R75)</f>
        <v>0</v>
      </c>
      <c r="S76" s="124">
        <f>SRWC!$F$26*SUM(S66:S75)</f>
        <v>0</v>
      </c>
      <c r="T76" s="124">
        <f>SRWC!$F$26*SUM(T66:T75)</f>
        <v>0</v>
      </c>
      <c r="U76" s="124">
        <f>SRWC!$F$26*SUM(U66:U75)</f>
        <v>0</v>
      </c>
      <c r="V76" s="124">
        <f>SRWC!$F$26*SUM(V66:V75)</f>
        <v>0</v>
      </c>
      <c r="W76" s="124">
        <f>SRWC!$F$26*SUM(W66:W75)</f>
        <v>0</v>
      </c>
      <c r="X76" s="124">
        <f>SRWC!$F$26*SUM(X66:X75)</f>
        <v>0</v>
      </c>
      <c r="Y76" s="124">
        <f>SRWC!$F$26*SUM(Y66:Y75)</f>
        <v>0</v>
      </c>
      <c r="Z76" s="124">
        <f>SRWC!$F$26*SUM(Z66:Z75)</f>
        <v>0</v>
      </c>
      <c r="AA76" s="124">
        <f>SRWC!$F$26*SUM(AA66:AA75)</f>
        <v>0</v>
      </c>
      <c r="AB76" s="124">
        <f>SRWC!$F$26*SUM(AB66:AB75)</f>
        <v>0</v>
      </c>
      <c r="AC76" s="124">
        <f>SRWC!$F$26*SUM(AC66:AC75)</f>
        <v>0</v>
      </c>
      <c r="AD76" s="124">
        <f>SRWC!$F$26*SUM(AD66:AD75)</f>
        <v>0</v>
      </c>
      <c r="AE76" s="124">
        <f>SRWC!$F$26*SUM(AE66:AE75)</f>
        <v>0</v>
      </c>
      <c r="AF76" s="124">
        <f>SRWC!$F$26*SUM(AF66:AF75)</f>
        <v>0</v>
      </c>
      <c r="AG76" s="124">
        <f>SRWC!$F$26*SUM(AG66:AG75)</f>
        <v>0</v>
      </c>
      <c r="AH76" s="124">
        <f>SRWC!$F$26*SUM(AH66:AH75)</f>
        <v>0</v>
      </c>
      <c r="AI76" s="124">
        <f>SRWC!$F$26*SUM(AI66:AI75)</f>
        <v>0</v>
      </c>
      <c r="AJ76" s="124">
        <f>SRWC!$F$26*SUM(AJ66:AJ75)</f>
        <v>0</v>
      </c>
      <c r="AK76" s="124">
        <f>SRWC!$F$26*SUM(AK66:AK75)</f>
        <v>0</v>
      </c>
      <c r="AL76" s="124">
        <f>SRWC!$F$26*SUM(AL66:AL75)</f>
        <v>0</v>
      </c>
      <c r="AM76" s="124">
        <f>SRWC!$F$26*SUM(AM66:AM75)</f>
        <v>0</v>
      </c>
      <c r="AN76" s="124">
        <f>SRWC!$F$26*SUM(AN66:AN75)</f>
        <v>0</v>
      </c>
      <c r="AO76" s="124">
        <f>SRWC!$F$26*SUM(AO66:AO75)</f>
        <v>0</v>
      </c>
      <c r="AP76" s="124">
        <f>SRWC!$F$26*SUM(AP66:AP75)</f>
        <v>0</v>
      </c>
      <c r="AQ76" s="124">
        <f>SRWC!$F$26*SUM(AQ66:AQ75)</f>
        <v>0</v>
      </c>
      <c r="AR76" s="124">
        <f>SRWC!$F$26*SUM(AR66:AR75)</f>
        <v>0</v>
      </c>
      <c r="AS76" s="124">
        <f>SRWC!$F$26*SUM(AS66:AS75)</f>
        <v>0</v>
      </c>
      <c r="AT76" s="124">
        <f>SRWC!$F$26*SUM(AT66:AT75)</f>
        <v>0</v>
      </c>
      <c r="AU76" s="124">
        <f>SRWC!$F$26*SUM(AU66:AU75)</f>
        <v>0</v>
      </c>
      <c r="AV76" s="124">
        <f>SRWC!$F$26*SUM(AV66:AV75)</f>
        <v>0</v>
      </c>
    </row>
    <row r="77" spans="2:50" s="253" customFormat="1" ht="12.95" customHeight="1" x14ac:dyDescent="0.2">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row>
    <row r="78" spans="2:50" s="253" customFormat="1" ht="12.95" customHeight="1" x14ac:dyDescent="0.25">
      <c r="B78" s="307" t="s">
        <v>1019</v>
      </c>
      <c r="C78" s="106"/>
      <c r="D78" s="106"/>
      <c r="E78" s="106"/>
      <c r="F78" s="106"/>
      <c r="G78" s="106"/>
      <c r="H78" s="106"/>
      <c r="I78" s="106"/>
      <c r="J78" s="107"/>
      <c r="K78" s="107"/>
      <c r="L78" s="107"/>
      <c r="M78" s="107"/>
      <c r="N78" s="107"/>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c r="AN78" s="107"/>
      <c r="AO78" s="107"/>
      <c r="AP78" s="107"/>
      <c r="AQ78" s="107"/>
      <c r="AR78" s="107"/>
      <c r="AS78" s="107"/>
      <c r="AT78" s="107"/>
      <c r="AU78" s="107"/>
      <c r="AV78" s="107"/>
      <c r="AW78" s="108"/>
    </row>
    <row r="79" spans="2:50" s="253" customFormat="1" ht="12.95" customHeight="1" x14ac:dyDescent="0.25">
      <c r="B79" s="19" t="s">
        <v>300</v>
      </c>
      <c r="C79" s="75"/>
      <c r="D79" s="75"/>
      <c r="E79" s="74"/>
      <c r="F79" s="56" t="s">
        <v>491</v>
      </c>
      <c r="G79" s="113" t="s">
        <v>1</v>
      </c>
      <c r="H79" s="114" t="s">
        <v>456</v>
      </c>
      <c r="I79" s="114" t="s">
        <v>381</v>
      </c>
      <c r="J79" s="56" t="s">
        <v>382</v>
      </c>
      <c r="K79" s="56" t="s">
        <v>383</v>
      </c>
      <c r="L79" s="56" t="s">
        <v>384</v>
      </c>
      <c r="M79" s="56" t="s">
        <v>385</v>
      </c>
      <c r="N79" s="56" t="s">
        <v>386</v>
      </c>
      <c r="O79" s="56" t="s">
        <v>387</v>
      </c>
      <c r="P79" s="56" t="s">
        <v>388</v>
      </c>
      <c r="Q79" s="56" t="s">
        <v>389</v>
      </c>
      <c r="R79" s="56" t="s">
        <v>390</v>
      </c>
      <c r="S79" s="56" t="s">
        <v>401</v>
      </c>
      <c r="T79" s="56" t="s">
        <v>402</v>
      </c>
      <c r="U79" s="56" t="s">
        <v>403</v>
      </c>
      <c r="V79" s="56" t="s">
        <v>404</v>
      </c>
      <c r="W79" s="56" t="s">
        <v>405</v>
      </c>
      <c r="X79" s="56" t="s">
        <v>406</v>
      </c>
      <c r="Y79" s="56" t="s">
        <v>407</v>
      </c>
      <c r="Z79" s="56" t="s">
        <v>408</v>
      </c>
      <c r="AA79" s="56" t="s">
        <v>409</v>
      </c>
      <c r="AB79" s="56" t="s">
        <v>410</v>
      </c>
      <c r="AC79" s="56" t="s">
        <v>411</v>
      </c>
      <c r="AD79" s="56" t="s">
        <v>412</v>
      </c>
      <c r="AE79" s="56" t="s">
        <v>413</v>
      </c>
      <c r="AF79" s="56" t="s">
        <v>414</v>
      </c>
      <c r="AG79" s="56" t="s">
        <v>415</v>
      </c>
      <c r="AH79" s="56" t="s">
        <v>416</v>
      </c>
      <c r="AI79" s="56" t="s">
        <v>417</v>
      </c>
      <c r="AJ79" s="56" t="s">
        <v>418</v>
      </c>
      <c r="AK79" s="56" t="s">
        <v>419</v>
      </c>
      <c r="AL79" s="56" t="s">
        <v>420</v>
      </c>
      <c r="AM79" s="56" t="s">
        <v>421</v>
      </c>
      <c r="AN79" s="56" t="s">
        <v>422</v>
      </c>
      <c r="AO79" s="56" t="s">
        <v>423</v>
      </c>
      <c r="AP79" s="56" t="s">
        <v>424</v>
      </c>
      <c r="AQ79" s="56" t="s">
        <v>425</v>
      </c>
      <c r="AR79" s="56" t="s">
        <v>426</v>
      </c>
      <c r="AS79" s="56" t="s">
        <v>427</v>
      </c>
      <c r="AT79" s="56" t="s">
        <v>428</v>
      </c>
      <c r="AU79" s="56" t="s">
        <v>429</v>
      </c>
      <c r="AV79" s="56" t="s">
        <v>430</v>
      </c>
      <c r="AW79" s="5" t="s">
        <v>2</v>
      </c>
      <c r="AX79" s="14"/>
    </row>
    <row r="80" spans="2:50" s="253" customFormat="1" ht="12.95" customHeight="1" x14ac:dyDescent="0.2">
      <c r="B80" s="14" t="s">
        <v>971</v>
      </c>
      <c r="H80" s="171"/>
      <c r="I80" s="171"/>
      <c r="J80" s="171"/>
      <c r="K80" s="171"/>
      <c r="L80" s="171"/>
      <c r="M80" s="171"/>
      <c r="N80" s="171"/>
      <c r="O80" s="171"/>
      <c r="P80" s="171"/>
      <c r="Q80" s="171"/>
      <c r="R80" s="171"/>
      <c r="S80" s="171"/>
      <c r="T80" s="171"/>
      <c r="U80" s="171"/>
      <c r="V80" s="171"/>
      <c r="W80" s="171"/>
      <c r="X80" s="171"/>
      <c r="Y80" s="171"/>
      <c r="Z80" s="171"/>
      <c r="AA80" s="171"/>
      <c r="AB80" s="171"/>
      <c r="AC80" s="171"/>
      <c r="AD80" s="171"/>
      <c r="AE80" s="171"/>
      <c r="AF80" s="171"/>
      <c r="AG80" s="171"/>
      <c r="AH80" s="171"/>
      <c r="AI80" s="171"/>
      <c r="AJ80" s="171"/>
      <c r="AK80" s="171"/>
      <c r="AL80" s="171"/>
      <c r="AM80" s="171"/>
      <c r="AN80" s="171"/>
      <c r="AO80" s="171"/>
      <c r="AP80" s="171"/>
      <c r="AQ80" s="171"/>
      <c r="AR80" s="171"/>
      <c r="AS80" s="171"/>
      <c r="AT80" s="171"/>
      <c r="AU80" s="171"/>
      <c r="AV80" s="171"/>
    </row>
    <row r="81" spans="2:48" s="253" customFormat="1" ht="12.95" customHeight="1" x14ac:dyDescent="0.2">
      <c r="B81" s="14"/>
      <c r="C81" s="253" t="s">
        <v>858</v>
      </c>
      <c r="F81" s="253" t="s">
        <v>493</v>
      </c>
      <c r="G81" s="253" t="s">
        <v>432</v>
      </c>
      <c r="H81" s="147"/>
      <c r="I81" s="124">
        <f>SRWC!$F$28*INDEX(decay!$H$14:$AV$14,MATCH(I44,decay!$H$10:$AV$10,0))</f>
        <v>0</v>
      </c>
      <c r="J81" s="124">
        <f>SRWC!$F$28*INDEX(decay!$H$14:$AV$14,MATCH(J44,decay!$H$10:$AV$10,0))</f>
        <v>0</v>
      </c>
      <c r="K81" s="124">
        <f>SRWC!$F$28*INDEX(decay!$H$14:$AV$14,MATCH(K44,decay!$H$10:$AV$10,0))</f>
        <v>0</v>
      </c>
      <c r="L81" s="124">
        <f>SRWC!$F$28*INDEX(decay!$H$14:$AV$14,MATCH(L44,decay!$H$10:$AV$10,0))</f>
        <v>0</v>
      </c>
      <c r="M81" s="124">
        <f>SRWC!$F$28*INDEX(decay!$H$14:$AV$14,MATCH(M44,decay!$H$10:$AV$10,0))</f>
        <v>0</v>
      </c>
      <c r="N81" s="124">
        <f>SRWC!$F$28*INDEX(decay!$H$14:$AV$14,MATCH(N44,decay!$H$10:$AV$10,0))</f>
        <v>0</v>
      </c>
      <c r="O81" s="124">
        <f>SRWC!$F$28*INDEX(decay!$H$14:$AV$14,MATCH(O44,decay!$H$10:$AV$10,0))</f>
        <v>0</v>
      </c>
      <c r="P81" s="124">
        <f>SRWC!$F$28*INDEX(decay!$H$14:$AV$14,MATCH(P44,decay!$H$10:$AV$10,0))</f>
        <v>0</v>
      </c>
      <c r="Q81" s="124">
        <f>SRWC!$F$28*INDEX(decay!$H$14:$AV$14,MATCH(Q44,decay!$H$10:$AV$10,0))</f>
        <v>0</v>
      </c>
      <c r="R81" s="124">
        <f>SRWC!$F$28*INDEX(decay!$H$14:$AV$14,MATCH(R44,decay!$H$10:$AV$10,0))</f>
        <v>0</v>
      </c>
      <c r="S81" s="124">
        <f>SRWC!$F$28*INDEX(decay!$H$14:$AV$14,MATCH(S44,decay!$H$10:$AV$10,0))</f>
        <v>0</v>
      </c>
      <c r="T81" s="124">
        <f>SRWC!$F$28*INDEX(decay!$H$14:$AV$14,MATCH(T44,decay!$H$10:$AV$10,0))</f>
        <v>0</v>
      </c>
      <c r="U81" s="124">
        <f>SRWC!$F$28*INDEX(decay!$H$14:$AV$14,MATCH(U44,decay!$H$10:$AV$10,0))</f>
        <v>0</v>
      </c>
      <c r="V81" s="124">
        <f>SRWC!$F$28*INDEX(decay!$H$14:$AV$14,MATCH(V44,decay!$H$10:$AV$10,0))</f>
        <v>0</v>
      </c>
      <c r="W81" s="124">
        <f>SRWC!$F$28*INDEX(decay!$H$14:$AV$14,MATCH(W44,decay!$H$10:$AV$10,0))</f>
        <v>0</v>
      </c>
      <c r="X81" s="124">
        <f>SRWC!$F$28*INDEX(decay!$H$14:$AV$14,MATCH(X44,decay!$H$10:$AV$10,0))</f>
        <v>0</v>
      </c>
      <c r="Y81" s="124">
        <f>SRWC!$F$28*INDEX(decay!$H$14:$AV$14,MATCH(Y44,decay!$H$10:$AV$10,0))</f>
        <v>0</v>
      </c>
      <c r="Z81" s="124">
        <f>SRWC!$F$28*INDEX(decay!$H$14:$AV$14,MATCH(Z44,decay!$H$10:$AV$10,0))</f>
        <v>0</v>
      </c>
      <c r="AA81" s="124">
        <f>SRWC!$F$28*INDEX(decay!$H$14:$AV$14,MATCH(AA44,decay!$H$10:$AV$10,0))</f>
        <v>0</v>
      </c>
      <c r="AB81" s="124">
        <f>SRWC!$F$28*INDEX(decay!$H$14:$AV$14,MATCH(AB44,decay!$H$10:$AV$10,0))</f>
        <v>0</v>
      </c>
      <c r="AC81" s="124">
        <f>SRWC!$F$28*INDEX(decay!$H$14:$AV$14,MATCH(AC44,decay!$H$10:$AV$10,0))</f>
        <v>0</v>
      </c>
      <c r="AD81" s="124">
        <f>SRWC!$F$28*INDEX(decay!$H$14:$AV$14,MATCH(AD44,decay!$H$10:$AV$10,0))</f>
        <v>0</v>
      </c>
      <c r="AE81" s="124">
        <f>SRWC!$F$28*INDEX(decay!$H$14:$AV$14,MATCH(AE44,decay!$H$10:$AV$10,0))</f>
        <v>0</v>
      </c>
      <c r="AF81" s="124">
        <f>SRWC!$F$28*INDEX(decay!$H$14:$AV$14,MATCH(AF44,decay!$H$10:$AV$10,0))</f>
        <v>0</v>
      </c>
      <c r="AG81" s="124">
        <f>SRWC!$F$28*INDEX(decay!$H$14:$AV$14,MATCH(AG44,decay!$H$10:$AV$10,0))</f>
        <v>0</v>
      </c>
      <c r="AH81" s="124">
        <f>SRWC!$F$28*INDEX(decay!$H$14:$AV$14,MATCH(AH44,decay!$H$10:$AV$10,0))</f>
        <v>0</v>
      </c>
      <c r="AI81" s="124">
        <f>SRWC!$F$28*INDEX(decay!$H$14:$AV$14,MATCH(AI44,decay!$H$10:$AV$10,0))</f>
        <v>0</v>
      </c>
      <c r="AJ81" s="124">
        <f>SRWC!$F$28*INDEX(decay!$H$14:$AV$14,MATCH(AJ44,decay!$H$10:$AV$10,0))</f>
        <v>0</v>
      </c>
      <c r="AK81" s="124">
        <f>SRWC!$F$28*INDEX(decay!$H$14:$AV$14,MATCH(AK44,decay!$H$10:$AV$10,0))</f>
        <v>0</v>
      </c>
      <c r="AL81" s="124">
        <f>SRWC!$F$28*INDEX(decay!$H$14:$AV$14,MATCH(AL44,decay!$H$10:$AV$10,0))</f>
        <v>0</v>
      </c>
      <c r="AM81" s="124">
        <f>SRWC!$F$28*INDEX(decay!$H$14:$AV$14,MATCH(AM44,decay!$H$10:$AV$10,0))</f>
        <v>0</v>
      </c>
      <c r="AN81" s="124">
        <f>SRWC!$F$28*INDEX(decay!$H$14:$AV$14,MATCH(AN44,decay!$H$10:$AV$10,0))</f>
        <v>0</v>
      </c>
      <c r="AO81" s="124">
        <f>SRWC!$F$28*INDEX(decay!$H$14:$AV$14,MATCH(AO44,decay!$H$10:$AV$10,0))</f>
        <v>0</v>
      </c>
      <c r="AP81" s="124">
        <f>SRWC!$F$28*INDEX(decay!$H$14:$AV$14,MATCH(AP44,decay!$H$10:$AV$10,0))</f>
        <v>0</v>
      </c>
      <c r="AQ81" s="124">
        <f>SRWC!$F$28*INDEX(decay!$H$14:$AV$14,MATCH(AQ44,decay!$H$10:$AV$10,0))</f>
        <v>0</v>
      </c>
      <c r="AR81" s="124">
        <f>SRWC!$F$28*INDEX(decay!$H$14:$AV$14,MATCH(AR44,decay!$H$10:$AV$10,0))</f>
        <v>0</v>
      </c>
      <c r="AS81" s="124">
        <f>SRWC!$F$28*INDEX(decay!$H$14:$AV$14,MATCH(AS44,decay!$H$10:$AV$10,0))</f>
        <v>0</v>
      </c>
      <c r="AT81" s="124">
        <f>SRWC!$F$28*INDEX(decay!$H$14:$AV$14,MATCH(AT44,decay!$H$10:$AV$10,0))</f>
        <v>0</v>
      </c>
      <c r="AU81" s="124">
        <f>SRWC!$F$28*INDEX(decay!$H$14:$AV$14,MATCH(AU44,decay!$H$10:$AV$10,0))</f>
        <v>0</v>
      </c>
      <c r="AV81" s="124">
        <f>SRWC!$F$28*INDEX(decay!$H$14:$AV$14,MATCH(AV44,decay!$H$10:$AV$10,0))</f>
        <v>0</v>
      </c>
    </row>
    <row r="82" spans="2:48" s="253" customFormat="1" ht="12.95" customHeight="1" x14ac:dyDescent="0.2">
      <c r="B82" s="14"/>
      <c r="C82" s="253" t="s">
        <v>859</v>
      </c>
      <c r="F82" s="253" t="s">
        <v>493</v>
      </c>
      <c r="G82" s="253" t="s">
        <v>432</v>
      </c>
      <c r="H82" s="147"/>
      <c r="I82" s="147"/>
      <c r="J82" s="124">
        <f t="shared" ref="J82:AV82" si="41">IF(J45&gt;0,I81,0)</f>
        <v>0</v>
      </c>
      <c r="K82" s="124">
        <f t="shared" si="41"/>
        <v>0</v>
      </c>
      <c r="L82" s="124">
        <f t="shared" si="41"/>
        <v>0</v>
      </c>
      <c r="M82" s="124">
        <f t="shared" si="41"/>
        <v>0</v>
      </c>
      <c r="N82" s="124">
        <f t="shared" si="41"/>
        <v>0</v>
      </c>
      <c r="O82" s="124">
        <f t="shared" si="41"/>
        <v>0</v>
      </c>
      <c r="P82" s="124">
        <f t="shared" si="41"/>
        <v>0</v>
      </c>
      <c r="Q82" s="124">
        <f t="shared" si="41"/>
        <v>0</v>
      </c>
      <c r="R82" s="124">
        <f t="shared" si="41"/>
        <v>0</v>
      </c>
      <c r="S82" s="124">
        <f t="shared" si="41"/>
        <v>0</v>
      </c>
      <c r="T82" s="124">
        <f t="shared" si="41"/>
        <v>0</v>
      </c>
      <c r="U82" s="124">
        <f t="shared" si="41"/>
        <v>0</v>
      </c>
      <c r="V82" s="124">
        <f t="shared" si="41"/>
        <v>0</v>
      </c>
      <c r="W82" s="124">
        <f t="shared" si="41"/>
        <v>0</v>
      </c>
      <c r="X82" s="124">
        <f t="shared" si="41"/>
        <v>0</v>
      </c>
      <c r="Y82" s="124">
        <f t="shared" si="41"/>
        <v>0</v>
      </c>
      <c r="Z82" s="124">
        <f t="shared" si="41"/>
        <v>0</v>
      </c>
      <c r="AA82" s="124">
        <f t="shared" si="41"/>
        <v>0</v>
      </c>
      <c r="AB82" s="124">
        <f t="shared" si="41"/>
        <v>0</v>
      </c>
      <c r="AC82" s="124">
        <f t="shared" si="41"/>
        <v>0</v>
      </c>
      <c r="AD82" s="124">
        <f t="shared" si="41"/>
        <v>0</v>
      </c>
      <c r="AE82" s="124">
        <f t="shared" si="41"/>
        <v>0</v>
      </c>
      <c r="AF82" s="124">
        <f t="shared" si="41"/>
        <v>0</v>
      </c>
      <c r="AG82" s="124">
        <f t="shared" si="41"/>
        <v>0</v>
      </c>
      <c r="AH82" s="124">
        <f t="shared" si="41"/>
        <v>0</v>
      </c>
      <c r="AI82" s="124">
        <f t="shared" si="41"/>
        <v>0</v>
      </c>
      <c r="AJ82" s="124">
        <f t="shared" si="41"/>
        <v>0</v>
      </c>
      <c r="AK82" s="124">
        <f t="shared" si="41"/>
        <v>0</v>
      </c>
      <c r="AL82" s="124">
        <f t="shared" si="41"/>
        <v>0</v>
      </c>
      <c r="AM82" s="124">
        <f t="shared" si="41"/>
        <v>0</v>
      </c>
      <c r="AN82" s="124">
        <f t="shared" si="41"/>
        <v>0</v>
      </c>
      <c r="AO82" s="124">
        <f t="shared" si="41"/>
        <v>0</v>
      </c>
      <c r="AP82" s="124">
        <f t="shared" si="41"/>
        <v>0</v>
      </c>
      <c r="AQ82" s="124">
        <f t="shared" si="41"/>
        <v>0</v>
      </c>
      <c r="AR82" s="124">
        <f t="shared" si="41"/>
        <v>0</v>
      </c>
      <c r="AS82" s="124">
        <f t="shared" si="41"/>
        <v>0</v>
      </c>
      <c r="AT82" s="124">
        <f t="shared" si="41"/>
        <v>0</v>
      </c>
      <c r="AU82" s="124">
        <f t="shared" si="41"/>
        <v>0</v>
      </c>
      <c r="AV82" s="124">
        <f t="shared" si="41"/>
        <v>0</v>
      </c>
    </row>
    <row r="83" spans="2:48" s="253" customFormat="1" ht="12.95" customHeight="1" x14ac:dyDescent="0.2">
      <c r="B83" s="14"/>
      <c r="C83" s="253" t="s">
        <v>860</v>
      </c>
      <c r="F83" s="253" t="s">
        <v>493</v>
      </c>
      <c r="G83" s="253" t="s">
        <v>432</v>
      </c>
      <c r="H83" s="277"/>
      <c r="I83" s="147"/>
      <c r="J83" s="124"/>
      <c r="K83" s="124">
        <f t="shared" ref="K83:AV83" si="42">IF(K46&gt;0,J82,0)</f>
        <v>0</v>
      </c>
      <c r="L83" s="124">
        <f t="shared" si="42"/>
        <v>0</v>
      </c>
      <c r="M83" s="124">
        <f t="shared" si="42"/>
        <v>0</v>
      </c>
      <c r="N83" s="124">
        <f t="shared" si="42"/>
        <v>0</v>
      </c>
      <c r="O83" s="124">
        <f t="shared" si="42"/>
        <v>0</v>
      </c>
      <c r="P83" s="124">
        <f t="shared" si="42"/>
        <v>0</v>
      </c>
      <c r="Q83" s="124">
        <f t="shared" si="42"/>
        <v>0</v>
      </c>
      <c r="R83" s="124">
        <f t="shared" si="42"/>
        <v>0</v>
      </c>
      <c r="S83" s="124">
        <f t="shared" si="42"/>
        <v>0</v>
      </c>
      <c r="T83" s="124">
        <f t="shared" si="42"/>
        <v>0</v>
      </c>
      <c r="U83" s="124">
        <f t="shared" si="42"/>
        <v>0</v>
      </c>
      <c r="V83" s="124">
        <f t="shared" si="42"/>
        <v>0</v>
      </c>
      <c r="W83" s="124">
        <f t="shared" si="42"/>
        <v>0</v>
      </c>
      <c r="X83" s="124">
        <f t="shared" si="42"/>
        <v>0</v>
      </c>
      <c r="Y83" s="124">
        <f t="shared" si="42"/>
        <v>0</v>
      </c>
      <c r="Z83" s="124">
        <f t="shared" si="42"/>
        <v>0</v>
      </c>
      <c r="AA83" s="124">
        <f t="shared" si="42"/>
        <v>0</v>
      </c>
      <c r="AB83" s="124">
        <f t="shared" si="42"/>
        <v>0</v>
      </c>
      <c r="AC83" s="124">
        <f t="shared" si="42"/>
        <v>0</v>
      </c>
      <c r="AD83" s="124">
        <f t="shared" si="42"/>
        <v>0</v>
      </c>
      <c r="AE83" s="124">
        <f t="shared" si="42"/>
        <v>0</v>
      </c>
      <c r="AF83" s="124">
        <f t="shared" si="42"/>
        <v>0</v>
      </c>
      <c r="AG83" s="124">
        <f t="shared" si="42"/>
        <v>0</v>
      </c>
      <c r="AH83" s="124">
        <f t="shared" si="42"/>
        <v>0</v>
      </c>
      <c r="AI83" s="124">
        <f t="shared" si="42"/>
        <v>0</v>
      </c>
      <c r="AJ83" s="124">
        <f t="shared" si="42"/>
        <v>0</v>
      </c>
      <c r="AK83" s="124">
        <f t="shared" si="42"/>
        <v>0</v>
      </c>
      <c r="AL83" s="124">
        <f t="shared" si="42"/>
        <v>0</v>
      </c>
      <c r="AM83" s="124">
        <f t="shared" si="42"/>
        <v>0</v>
      </c>
      <c r="AN83" s="124">
        <f t="shared" si="42"/>
        <v>0</v>
      </c>
      <c r="AO83" s="124">
        <f t="shared" si="42"/>
        <v>0</v>
      </c>
      <c r="AP83" s="124">
        <f t="shared" si="42"/>
        <v>0</v>
      </c>
      <c r="AQ83" s="124">
        <f t="shared" si="42"/>
        <v>0</v>
      </c>
      <c r="AR83" s="124">
        <f t="shared" si="42"/>
        <v>0</v>
      </c>
      <c r="AS83" s="124">
        <f t="shared" si="42"/>
        <v>0</v>
      </c>
      <c r="AT83" s="124">
        <f t="shared" si="42"/>
        <v>0</v>
      </c>
      <c r="AU83" s="124">
        <f t="shared" si="42"/>
        <v>0</v>
      </c>
      <c r="AV83" s="124">
        <f t="shared" si="42"/>
        <v>0</v>
      </c>
    </row>
    <row r="84" spans="2:48" s="253" customFormat="1" ht="12.95" customHeight="1" x14ac:dyDescent="0.2">
      <c r="B84" s="14"/>
      <c r="C84" s="253" t="s">
        <v>861</v>
      </c>
      <c r="F84" s="253" t="s">
        <v>493</v>
      </c>
      <c r="G84" s="253" t="s">
        <v>432</v>
      </c>
      <c r="H84" s="277"/>
      <c r="I84" s="147"/>
      <c r="J84" s="124"/>
      <c r="K84" s="124"/>
      <c r="L84" s="124">
        <f t="shared" ref="L84:AV84" si="43">IF(L47&gt;0,K83,0)</f>
        <v>0</v>
      </c>
      <c r="M84" s="124">
        <f t="shared" si="43"/>
        <v>0</v>
      </c>
      <c r="N84" s="124">
        <f t="shared" si="43"/>
        <v>0</v>
      </c>
      <c r="O84" s="124">
        <f t="shared" si="43"/>
        <v>0</v>
      </c>
      <c r="P84" s="124">
        <f t="shared" si="43"/>
        <v>0</v>
      </c>
      <c r="Q84" s="124">
        <f t="shared" si="43"/>
        <v>0</v>
      </c>
      <c r="R84" s="124">
        <f t="shared" si="43"/>
        <v>0</v>
      </c>
      <c r="S84" s="124">
        <f t="shared" si="43"/>
        <v>0</v>
      </c>
      <c r="T84" s="124">
        <f t="shared" si="43"/>
        <v>0</v>
      </c>
      <c r="U84" s="124">
        <f t="shared" si="43"/>
        <v>0</v>
      </c>
      <c r="V84" s="124">
        <f t="shared" si="43"/>
        <v>0</v>
      </c>
      <c r="W84" s="124">
        <f t="shared" si="43"/>
        <v>0</v>
      </c>
      <c r="X84" s="124">
        <f t="shared" si="43"/>
        <v>0</v>
      </c>
      <c r="Y84" s="124">
        <f t="shared" si="43"/>
        <v>0</v>
      </c>
      <c r="Z84" s="124">
        <f t="shared" si="43"/>
        <v>0</v>
      </c>
      <c r="AA84" s="124">
        <f t="shared" si="43"/>
        <v>0</v>
      </c>
      <c r="AB84" s="124">
        <f t="shared" si="43"/>
        <v>0</v>
      </c>
      <c r="AC84" s="124">
        <f t="shared" si="43"/>
        <v>0</v>
      </c>
      <c r="AD84" s="124">
        <f t="shared" si="43"/>
        <v>0</v>
      </c>
      <c r="AE84" s="124">
        <f t="shared" si="43"/>
        <v>0</v>
      </c>
      <c r="AF84" s="124">
        <f t="shared" si="43"/>
        <v>0</v>
      </c>
      <c r="AG84" s="124">
        <f t="shared" si="43"/>
        <v>0</v>
      </c>
      <c r="AH84" s="124">
        <f t="shared" si="43"/>
        <v>0</v>
      </c>
      <c r="AI84" s="124">
        <f t="shared" si="43"/>
        <v>0</v>
      </c>
      <c r="AJ84" s="124">
        <f t="shared" si="43"/>
        <v>0</v>
      </c>
      <c r="AK84" s="124">
        <f t="shared" si="43"/>
        <v>0</v>
      </c>
      <c r="AL84" s="124">
        <f t="shared" si="43"/>
        <v>0</v>
      </c>
      <c r="AM84" s="124">
        <f t="shared" si="43"/>
        <v>0</v>
      </c>
      <c r="AN84" s="124">
        <f t="shared" si="43"/>
        <v>0</v>
      </c>
      <c r="AO84" s="124">
        <f t="shared" si="43"/>
        <v>0</v>
      </c>
      <c r="AP84" s="124">
        <f t="shared" si="43"/>
        <v>0</v>
      </c>
      <c r="AQ84" s="124">
        <f t="shared" si="43"/>
        <v>0</v>
      </c>
      <c r="AR84" s="124">
        <f t="shared" si="43"/>
        <v>0</v>
      </c>
      <c r="AS84" s="124">
        <f t="shared" si="43"/>
        <v>0</v>
      </c>
      <c r="AT84" s="124">
        <f t="shared" si="43"/>
        <v>0</v>
      </c>
      <c r="AU84" s="124">
        <f t="shared" si="43"/>
        <v>0</v>
      </c>
      <c r="AV84" s="124">
        <f t="shared" si="43"/>
        <v>0</v>
      </c>
    </row>
    <row r="85" spans="2:48" s="253" customFormat="1" ht="12.95" customHeight="1" x14ac:dyDescent="0.2">
      <c r="B85" s="14"/>
      <c r="C85" s="253" t="s">
        <v>862</v>
      </c>
      <c r="F85" s="253" t="s">
        <v>493</v>
      </c>
      <c r="G85" s="253" t="s">
        <v>432</v>
      </c>
      <c r="H85" s="277"/>
      <c r="I85" s="147"/>
      <c r="J85" s="124"/>
      <c r="K85" s="124"/>
      <c r="L85" s="124"/>
      <c r="M85" s="124">
        <f t="shared" ref="M85:AV85" si="44">IF(M48&gt;0,L84,0)</f>
        <v>0</v>
      </c>
      <c r="N85" s="124">
        <f t="shared" si="44"/>
        <v>0</v>
      </c>
      <c r="O85" s="124">
        <f t="shared" si="44"/>
        <v>0</v>
      </c>
      <c r="P85" s="124">
        <f t="shared" si="44"/>
        <v>0</v>
      </c>
      <c r="Q85" s="124">
        <f t="shared" si="44"/>
        <v>0</v>
      </c>
      <c r="R85" s="124">
        <f t="shared" si="44"/>
        <v>0</v>
      </c>
      <c r="S85" s="124">
        <f t="shared" si="44"/>
        <v>0</v>
      </c>
      <c r="T85" s="124">
        <f t="shared" si="44"/>
        <v>0</v>
      </c>
      <c r="U85" s="124">
        <f t="shared" si="44"/>
        <v>0</v>
      </c>
      <c r="V85" s="124">
        <f t="shared" si="44"/>
        <v>0</v>
      </c>
      <c r="W85" s="124">
        <f t="shared" si="44"/>
        <v>0</v>
      </c>
      <c r="X85" s="124">
        <f t="shared" si="44"/>
        <v>0</v>
      </c>
      <c r="Y85" s="124">
        <f t="shared" si="44"/>
        <v>0</v>
      </c>
      <c r="Z85" s="124">
        <f t="shared" si="44"/>
        <v>0</v>
      </c>
      <c r="AA85" s="124">
        <f t="shared" si="44"/>
        <v>0</v>
      </c>
      <c r="AB85" s="124">
        <f t="shared" si="44"/>
        <v>0</v>
      </c>
      <c r="AC85" s="124">
        <f t="shared" si="44"/>
        <v>0</v>
      </c>
      <c r="AD85" s="124">
        <f t="shared" si="44"/>
        <v>0</v>
      </c>
      <c r="AE85" s="124">
        <f t="shared" si="44"/>
        <v>0</v>
      </c>
      <c r="AF85" s="124">
        <f t="shared" si="44"/>
        <v>0</v>
      </c>
      <c r="AG85" s="124">
        <f t="shared" si="44"/>
        <v>0</v>
      </c>
      <c r="AH85" s="124">
        <f t="shared" si="44"/>
        <v>0</v>
      </c>
      <c r="AI85" s="124">
        <f t="shared" si="44"/>
        <v>0</v>
      </c>
      <c r="AJ85" s="124">
        <f t="shared" si="44"/>
        <v>0</v>
      </c>
      <c r="AK85" s="124">
        <f t="shared" si="44"/>
        <v>0</v>
      </c>
      <c r="AL85" s="124">
        <f t="shared" si="44"/>
        <v>0</v>
      </c>
      <c r="AM85" s="124">
        <f t="shared" si="44"/>
        <v>0</v>
      </c>
      <c r="AN85" s="124">
        <f t="shared" si="44"/>
        <v>0</v>
      </c>
      <c r="AO85" s="124">
        <f t="shared" si="44"/>
        <v>0</v>
      </c>
      <c r="AP85" s="124">
        <f t="shared" si="44"/>
        <v>0</v>
      </c>
      <c r="AQ85" s="124">
        <f t="shared" si="44"/>
        <v>0</v>
      </c>
      <c r="AR85" s="124">
        <f t="shared" si="44"/>
        <v>0</v>
      </c>
      <c r="AS85" s="124">
        <f t="shared" si="44"/>
        <v>0</v>
      </c>
      <c r="AT85" s="124">
        <f t="shared" si="44"/>
        <v>0</v>
      </c>
      <c r="AU85" s="124">
        <f t="shared" si="44"/>
        <v>0</v>
      </c>
      <c r="AV85" s="124">
        <f t="shared" si="44"/>
        <v>0</v>
      </c>
    </row>
    <row r="86" spans="2:48" s="253" customFormat="1" ht="12.95" customHeight="1" x14ac:dyDescent="0.2">
      <c r="B86" s="14"/>
      <c r="C86" s="253" t="s">
        <v>863</v>
      </c>
      <c r="F86" s="253" t="s">
        <v>493</v>
      </c>
      <c r="G86" s="253" t="s">
        <v>432</v>
      </c>
      <c r="H86" s="277"/>
      <c r="I86" s="147"/>
      <c r="J86" s="124"/>
      <c r="K86" s="124"/>
      <c r="L86" s="124"/>
      <c r="M86" s="124"/>
      <c r="N86" s="124">
        <f t="shared" ref="N86:AV86" si="45">IF(N49&gt;0,M85,0)</f>
        <v>0</v>
      </c>
      <c r="O86" s="124">
        <f t="shared" si="45"/>
        <v>0</v>
      </c>
      <c r="P86" s="124">
        <f t="shared" si="45"/>
        <v>0</v>
      </c>
      <c r="Q86" s="124">
        <f t="shared" si="45"/>
        <v>0</v>
      </c>
      <c r="R86" s="124">
        <f t="shared" si="45"/>
        <v>0</v>
      </c>
      <c r="S86" s="124">
        <f t="shared" si="45"/>
        <v>0</v>
      </c>
      <c r="T86" s="124">
        <f t="shared" si="45"/>
        <v>0</v>
      </c>
      <c r="U86" s="124">
        <f t="shared" si="45"/>
        <v>0</v>
      </c>
      <c r="V86" s="124">
        <f t="shared" si="45"/>
        <v>0</v>
      </c>
      <c r="W86" s="124">
        <f t="shared" si="45"/>
        <v>0</v>
      </c>
      <c r="X86" s="124">
        <f t="shared" si="45"/>
        <v>0</v>
      </c>
      <c r="Y86" s="124">
        <f t="shared" si="45"/>
        <v>0</v>
      </c>
      <c r="Z86" s="124">
        <f t="shared" si="45"/>
        <v>0</v>
      </c>
      <c r="AA86" s="124">
        <f t="shared" si="45"/>
        <v>0</v>
      </c>
      <c r="AB86" s="124">
        <f t="shared" si="45"/>
        <v>0</v>
      </c>
      <c r="AC86" s="124">
        <f t="shared" si="45"/>
        <v>0</v>
      </c>
      <c r="AD86" s="124">
        <f t="shared" si="45"/>
        <v>0</v>
      </c>
      <c r="AE86" s="124">
        <f t="shared" si="45"/>
        <v>0</v>
      </c>
      <c r="AF86" s="124">
        <f t="shared" si="45"/>
        <v>0</v>
      </c>
      <c r="AG86" s="124">
        <f t="shared" si="45"/>
        <v>0</v>
      </c>
      <c r="AH86" s="124">
        <f t="shared" si="45"/>
        <v>0</v>
      </c>
      <c r="AI86" s="124">
        <f t="shared" si="45"/>
        <v>0</v>
      </c>
      <c r="AJ86" s="124">
        <f t="shared" si="45"/>
        <v>0</v>
      </c>
      <c r="AK86" s="124">
        <f t="shared" si="45"/>
        <v>0</v>
      </c>
      <c r="AL86" s="124">
        <f t="shared" si="45"/>
        <v>0</v>
      </c>
      <c r="AM86" s="124">
        <f t="shared" si="45"/>
        <v>0</v>
      </c>
      <c r="AN86" s="124">
        <f t="shared" si="45"/>
        <v>0</v>
      </c>
      <c r="AO86" s="124">
        <f t="shared" si="45"/>
        <v>0</v>
      </c>
      <c r="AP86" s="124">
        <f t="shared" si="45"/>
        <v>0</v>
      </c>
      <c r="AQ86" s="124">
        <f t="shared" si="45"/>
        <v>0</v>
      </c>
      <c r="AR86" s="124">
        <f t="shared" si="45"/>
        <v>0</v>
      </c>
      <c r="AS86" s="124">
        <f t="shared" si="45"/>
        <v>0</v>
      </c>
      <c r="AT86" s="124">
        <f t="shared" si="45"/>
        <v>0</v>
      </c>
      <c r="AU86" s="124">
        <f t="shared" si="45"/>
        <v>0</v>
      </c>
      <c r="AV86" s="124">
        <f t="shared" si="45"/>
        <v>0</v>
      </c>
    </row>
    <row r="87" spans="2:48" s="253" customFormat="1" ht="12.95" customHeight="1" x14ac:dyDescent="0.2">
      <c r="B87" s="14"/>
      <c r="C87" s="253" t="s">
        <v>864</v>
      </c>
      <c r="F87" s="253" t="s">
        <v>493</v>
      </c>
      <c r="G87" s="253" t="s">
        <v>432</v>
      </c>
      <c r="H87" s="277"/>
      <c r="I87" s="147"/>
      <c r="J87" s="124"/>
      <c r="K87" s="124"/>
      <c r="L87" s="124"/>
      <c r="M87" s="124"/>
      <c r="N87" s="124"/>
      <c r="O87" s="124">
        <f t="shared" ref="O87:AV87" si="46">IF(O50&gt;0,N86,0)</f>
        <v>0</v>
      </c>
      <c r="P87" s="124">
        <f t="shared" si="46"/>
        <v>0</v>
      </c>
      <c r="Q87" s="124">
        <f t="shared" si="46"/>
        <v>0</v>
      </c>
      <c r="R87" s="124">
        <f t="shared" si="46"/>
        <v>0</v>
      </c>
      <c r="S87" s="124">
        <f t="shared" si="46"/>
        <v>0</v>
      </c>
      <c r="T87" s="124">
        <f t="shared" si="46"/>
        <v>0</v>
      </c>
      <c r="U87" s="124">
        <f t="shared" si="46"/>
        <v>0</v>
      </c>
      <c r="V87" s="124">
        <f t="shared" si="46"/>
        <v>0</v>
      </c>
      <c r="W87" s="124">
        <f t="shared" si="46"/>
        <v>0</v>
      </c>
      <c r="X87" s="124">
        <f t="shared" si="46"/>
        <v>0</v>
      </c>
      <c r="Y87" s="124">
        <f t="shared" si="46"/>
        <v>0</v>
      </c>
      <c r="Z87" s="124">
        <f t="shared" si="46"/>
        <v>0</v>
      </c>
      <c r="AA87" s="124">
        <f t="shared" si="46"/>
        <v>0</v>
      </c>
      <c r="AB87" s="124">
        <f t="shared" si="46"/>
        <v>0</v>
      </c>
      <c r="AC87" s="124">
        <f t="shared" si="46"/>
        <v>0</v>
      </c>
      <c r="AD87" s="124">
        <f t="shared" si="46"/>
        <v>0</v>
      </c>
      <c r="AE87" s="124">
        <f t="shared" si="46"/>
        <v>0</v>
      </c>
      <c r="AF87" s="124">
        <f t="shared" si="46"/>
        <v>0</v>
      </c>
      <c r="AG87" s="124">
        <f t="shared" si="46"/>
        <v>0</v>
      </c>
      <c r="AH87" s="124">
        <f t="shared" si="46"/>
        <v>0</v>
      </c>
      <c r="AI87" s="124">
        <f t="shared" si="46"/>
        <v>0</v>
      </c>
      <c r="AJ87" s="124">
        <f t="shared" si="46"/>
        <v>0</v>
      </c>
      <c r="AK87" s="124">
        <f t="shared" si="46"/>
        <v>0</v>
      </c>
      <c r="AL87" s="124">
        <f t="shared" si="46"/>
        <v>0</v>
      </c>
      <c r="AM87" s="124">
        <f t="shared" si="46"/>
        <v>0</v>
      </c>
      <c r="AN87" s="124">
        <f t="shared" si="46"/>
        <v>0</v>
      </c>
      <c r="AO87" s="124">
        <f t="shared" si="46"/>
        <v>0</v>
      </c>
      <c r="AP87" s="124">
        <f t="shared" si="46"/>
        <v>0</v>
      </c>
      <c r="AQ87" s="124">
        <f t="shared" si="46"/>
        <v>0</v>
      </c>
      <c r="AR87" s="124">
        <f t="shared" si="46"/>
        <v>0</v>
      </c>
      <c r="AS87" s="124">
        <f t="shared" si="46"/>
        <v>0</v>
      </c>
      <c r="AT87" s="124">
        <f t="shared" si="46"/>
        <v>0</v>
      </c>
      <c r="AU87" s="124">
        <f t="shared" si="46"/>
        <v>0</v>
      </c>
      <c r="AV87" s="124">
        <f t="shared" si="46"/>
        <v>0</v>
      </c>
    </row>
    <row r="88" spans="2:48" s="253" customFormat="1" ht="12.95" customHeight="1" x14ac:dyDescent="0.2">
      <c r="B88" s="14"/>
      <c r="C88" s="253" t="s">
        <v>865</v>
      </c>
      <c r="F88" s="253" t="s">
        <v>493</v>
      </c>
      <c r="G88" s="253" t="s">
        <v>432</v>
      </c>
      <c r="H88" s="277"/>
      <c r="I88" s="147"/>
      <c r="J88" s="124"/>
      <c r="K88" s="124"/>
      <c r="L88" s="124"/>
      <c r="M88" s="124"/>
      <c r="N88" s="124"/>
      <c r="O88" s="124"/>
      <c r="P88" s="124">
        <f t="shared" ref="P88:AV88" si="47">IF(P51&gt;0,O87,0)</f>
        <v>0</v>
      </c>
      <c r="Q88" s="124">
        <f t="shared" si="47"/>
        <v>0</v>
      </c>
      <c r="R88" s="124">
        <f t="shared" si="47"/>
        <v>0</v>
      </c>
      <c r="S88" s="124">
        <f t="shared" si="47"/>
        <v>0</v>
      </c>
      <c r="T88" s="124">
        <f t="shared" si="47"/>
        <v>0</v>
      </c>
      <c r="U88" s="124">
        <f t="shared" si="47"/>
        <v>0</v>
      </c>
      <c r="V88" s="124">
        <f t="shared" si="47"/>
        <v>0</v>
      </c>
      <c r="W88" s="124">
        <f t="shared" si="47"/>
        <v>0</v>
      </c>
      <c r="X88" s="124">
        <f t="shared" si="47"/>
        <v>0</v>
      </c>
      <c r="Y88" s="124">
        <f t="shared" si="47"/>
        <v>0</v>
      </c>
      <c r="Z88" s="124">
        <f t="shared" si="47"/>
        <v>0</v>
      </c>
      <c r="AA88" s="124">
        <f t="shared" si="47"/>
        <v>0</v>
      </c>
      <c r="AB88" s="124">
        <f t="shared" si="47"/>
        <v>0</v>
      </c>
      <c r="AC88" s="124">
        <f t="shared" si="47"/>
        <v>0</v>
      </c>
      <c r="AD88" s="124">
        <f t="shared" si="47"/>
        <v>0</v>
      </c>
      <c r="AE88" s="124">
        <f t="shared" si="47"/>
        <v>0</v>
      </c>
      <c r="AF88" s="124">
        <f t="shared" si="47"/>
        <v>0</v>
      </c>
      <c r="AG88" s="124">
        <f t="shared" si="47"/>
        <v>0</v>
      </c>
      <c r="AH88" s="124">
        <f t="shared" si="47"/>
        <v>0</v>
      </c>
      <c r="AI88" s="124">
        <f t="shared" si="47"/>
        <v>0</v>
      </c>
      <c r="AJ88" s="124">
        <f t="shared" si="47"/>
        <v>0</v>
      </c>
      <c r="AK88" s="124">
        <f t="shared" si="47"/>
        <v>0</v>
      </c>
      <c r="AL88" s="124">
        <f t="shared" si="47"/>
        <v>0</v>
      </c>
      <c r="AM88" s="124">
        <f t="shared" si="47"/>
        <v>0</v>
      </c>
      <c r="AN88" s="124">
        <f t="shared" si="47"/>
        <v>0</v>
      </c>
      <c r="AO88" s="124">
        <f t="shared" si="47"/>
        <v>0</v>
      </c>
      <c r="AP88" s="124">
        <f t="shared" si="47"/>
        <v>0</v>
      </c>
      <c r="AQ88" s="124">
        <f t="shared" si="47"/>
        <v>0</v>
      </c>
      <c r="AR88" s="124">
        <f t="shared" si="47"/>
        <v>0</v>
      </c>
      <c r="AS88" s="124">
        <f t="shared" si="47"/>
        <v>0</v>
      </c>
      <c r="AT88" s="124">
        <f t="shared" si="47"/>
        <v>0</v>
      </c>
      <c r="AU88" s="124">
        <f t="shared" si="47"/>
        <v>0</v>
      </c>
      <c r="AV88" s="124">
        <f t="shared" si="47"/>
        <v>0</v>
      </c>
    </row>
    <row r="89" spans="2:48" s="253" customFormat="1" ht="12.95" customHeight="1" x14ac:dyDescent="0.2">
      <c r="B89" s="14"/>
      <c r="C89" s="253" t="s">
        <v>866</v>
      </c>
      <c r="F89" s="253" t="s">
        <v>493</v>
      </c>
      <c r="G89" s="253" t="s">
        <v>432</v>
      </c>
      <c r="H89" s="277"/>
      <c r="I89" s="147"/>
      <c r="J89" s="124"/>
      <c r="K89" s="124"/>
      <c r="L89" s="124"/>
      <c r="M89" s="124"/>
      <c r="N89" s="124"/>
      <c r="O89" s="124"/>
      <c r="P89" s="124"/>
      <c r="Q89" s="124">
        <f t="shared" ref="Q89:AV89" si="48">IF(Q52&gt;0,P88,0)</f>
        <v>0</v>
      </c>
      <c r="R89" s="124">
        <f t="shared" si="48"/>
        <v>0</v>
      </c>
      <c r="S89" s="124">
        <f t="shared" si="48"/>
        <v>0</v>
      </c>
      <c r="T89" s="124">
        <f t="shared" si="48"/>
        <v>0</v>
      </c>
      <c r="U89" s="124">
        <f t="shared" si="48"/>
        <v>0</v>
      </c>
      <c r="V89" s="124">
        <f t="shared" si="48"/>
        <v>0</v>
      </c>
      <c r="W89" s="124">
        <f t="shared" si="48"/>
        <v>0</v>
      </c>
      <c r="X89" s="124">
        <f t="shared" si="48"/>
        <v>0</v>
      </c>
      <c r="Y89" s="124">
        <f t="shared" si="48"/>
        <v>0</v>
      </c>
      <c r="Z89" s="124">
        <f t="shared" si="48"/>
        <v>0</v>
      </c>
      <c r="AA89" s="124">
        <f t="shared" si="48"/>
        <v>0</v>
      </c>
      <c r="AB89" s="124">
        <f t="shared" si="48"/>
        <v>0</v>
      </c>
      <c r="AC89" s="124">
        <f t="shared" si="48"/>
        <v>0</v>
      </c>
      <c r="AD89" s="124">
        <f t="shared" si="48"/>
        <v>0</v>
      </c>
      <c r="AE89" s="124">
        <f t="shared" si="48"/>
        <v>0</v>
      </c>
      <c r="AF89" s="124">
        <f t="shared" si="48"/>
        <v>0</v>
      </c>
      <c r="AG89" s="124">
        <f t="shared" si="48"/>
        <v>0</v>
      </c>
      <c r="AH89" s="124">
        <f t="shared" si="48"/>
        <v>0</v>
      </c>
      <c r="AI89" s="124">
        <f t="shared" si="48"/>
        <v>0</v>
      </c>
      <c r="AJ89" s="124">
        <f t="shared" si="48"/>
        <v>0</v>
      </c>
      <c r="AK89" s="124">
        <f t="shared" si="48"/>
        <v>0</v>
      </c>
      <c r="AL89" s="124">
        <f t="shared" si="48"/>
        <v>0</v>
      </c>
      <c r="AM89" s="124">
        <f t="shared" si="48"/>
        <v>0</v>
      </c>
      <c r="AN89" s="124">
        <f t="shared" si="48"/>
        <v>0</v>
      </c>
      <c r="AO89" s="124">
        <f t="shared" si="48"/>
        <v>0</v>
      </c>
      <c r="AP89" s="124">
        <f t="shared" si="48"/>
        <v>0</v>
      </c>
      <c r="AQ89" s="124">
        <f t="shared" si="48"/>
        <v>0</v>
      </c>
      <c r="AR89" s="124">
        <f t="shared" si="48"/>
        <v>0</v>
      </c>
      <c r="AS89" s="124">
        <f t="shared" si="48"/>
        <v>0</v>
      </c>
      <c r="AT89" s="124">
        <f t="shared" si="48"/>
        <v>0</v>
      </c>
      <c r="AU89" s="124">
        <f t="shared" si="48"/>
        <v>0</v>
      </c>
      <c r="AV89" s="124">
        <f t="shared" si="48"/>
        <v>0</v>
      </c>
    </row>
    <row r="90" spans="2:48" s="253" customFormat="1" ht="12.95" customHeight="1" x14ac:dyDescent="0.2">
      <c r="B90" s="14"/>
      <c r="C90" s="253" t="s">
        <v>867</v>
      </c>
      <c r="F90" s="253" t="s">
        <v>493</v>
      </c>
      <c r="G90" s="253" t="s">
        <v>432</v>
      </c>
      <c r="H90" s="277"/>
      <c r="I90" s="147"/>
      <c r="J90" s="124"/>
      <c r="K90" s="124"/>
      <c r="L90" s="124"/>
      <c r="M90" s="124"/>
      <c r="N90" s="124"/>
      <c r="O90" s="124"/>
      <c r="P90" s="124"/>
      <c r="Q90" s="124"/>
      <c r="R90" s="124">
        <f t="shared" ref="R90:AV90" si="49">IF(R53&gt;0,Q89,0)</f>
        <v>0</v>
      </c>
      <c r="S90" s="124">
        <f t="shared" si="49"/>
        <v>0</v>
      </c>
      <c r="T90" s="124">
        <f t="shared" si="49"/>
        <v>0</v>
      </c>
      <c r="U90" s="124">
        <f t="shared" si="49"/>
        <v>0</v>
      </c>
      <c r="V90" s="124">
        <f t="shared" si="49"/>
        <v>0</v>
      </c>
      <c r="W90" s="124">
        <f t="shared" si="49"/>
        <v>0</v>
      </c>
      <c r="X90" s="124">
        <f t="shared" si="49"/>
        <v>0</v>
      </c>
      <c r="Y90" s="124">
        <f t="shared" si="49"/>
        <v>0</v>
      </c>
      <c r="Z90" s="124">
        <f t="shared" si="49"/>
        <v>0</v>
      </c>
      <c r="AA90" s="124">
        <f t="shared" si="49"/>
        <v>0</v>
      </c>
      <c r="AB90" s="124">
        <f t="shared" si="49"/>
        <v>0</v>
      </c>
      <c r="AC90" s="124">
        <f t="shared" si="49"/>
        <v>0</v>
      </c>
      <c r="AD90" s="124">
        <f t="shared" si="49"/>
        <v>0</v>
      </c>
      <c r="AE90" s="124">
        <f t="shared" si="49"/>
        <v>0</v>
      </c>
      <c r="AF90" s="124">
        <f t="shared" si="49"/>
        <v>0</v>
      </c>
      <c r="AG90" s="124">
        <f t="shared" si="49"/>
        <v>0</v>
      </c>
      <c r="AH90" s="124">
        <f t="shared" si="49"/>
        <v>0</v>
      </c>
      <c r="AI90" s="124">
        <f t="shared" si="49"/>
        <v>0</v>
      </c>
      <c r="AJ90" s="124">
        <f t="shared" si="49"/>
        <v>0</v>
      </c>
      <c r="AK90" s="124">
        <f t="shared" si="49"/>
        <v>0</v>
      </c>
      <c r="AL90" s="124">
        <f t="shared" si="49"/>
        <v>0</v>
      </c>
      <c r="AM90" s="124">
        <f t="shared" si="49"/>
        <v>0</v>
      </c>
      <c r="AN90" s="124">
        <f t="shared" si="49"/>
        <v>0</v>
      </c>
      <c r="AO90" s="124">
        <f t="shared" si="49"/>
        <v>0</v>
      </c>
      <c r="AP90" s="124">
        <f t="shared" si="49"/>
        <v>0</v>
      </c>
      <c r="AQ90" s="124">
        <f t="shared" si="49"/>
        <v>0</v>
      </c>
      <c r="AR90" s="124">
        <f t="shared" si="49"/>
        <v>0</v>
      </c>
      <c r="AS90" s="124">
        <f t="shared" si="49"/>
        <v>0</v>
      </c>
      <c r="AT90" s="124">
        <f t="shared" si="49"/>
        <v>0</v>
      </c>
      <c r="AU90" s="124">
        <f t="shared" si="49"/>
        <v>0</v>
      </c>
      <c r="AV90" s="124">
        <f t="shared" si="49"/>
        <v>0</v>
      </c>
    </row>
    <row r="91" spans="2:48" s="253" customFormat="1" ht="12.95" customHeight="1" x14ac:dyDescent="0.2">
      <c r="C91" s="253" t="s">
        <v>972</v>
      </c>
      <c r="F91" s="253" t="s">
        <v>493</v>
      </c>
      <c r="G91" s="253" t="s">
        <v>432</v>
      </c>
      <c r="H91" s="124"/>
      <c r="I91" s="124">
        <f t="shared" ref="I91:AV91" si="50">SUM(I81:I90)</f>
        <v>0</v>
      </c>
      <c r="J91" s="124">
        <f t="shared" si="50"/>
        <v>0</v>
      </c>
      <c r="K91" s="124">
        <f t="shared" si="50"/>
        <v>0</v>
      </c>
      <c r="L91" s="124">
        <f t="shared" si="50"/>
        <v>0</v>
      </c>
      <c r="M91" s="124">
        <f t="shared" si="50"/>
        <v>0</v>
      </c>
      <c r="N91" s="124">
        <f t="shared" si="50"/>
        <v>0</v>
      </c>
      <c r="O91" s="124">
        <f t="shared" si="50"/>
        <v>0</v>
      </c>
      <c r="P91" s="124">
        <f t="shared" si="50"/>
        <v>0</v>
      </c>
      <c r="Q91" s="124">
        <f t="shared" si="50"/>
        <v>0</v>
      </c>
      <c r="R91" s="124">
        <f t="shared" si="50"/>
        <v>0</v>
      </c>
      <c r="S91" s="124">
        <f t="shared" si="50"/>
        <v>0</v>
      </c>
      <c r="T91" s="124">
        <f t="shared" si="50"/>
        <v>0</v>
      </c>
      <c r="U91" s="124">
        <f t="shared" si="50"/>
        <v>0</v>
      </c>
      <c r="V91" s="124">
        <f t="shared" si="50"/>
        <v>0</v>
      </c>
      <c r="W91" s="124">
        <f t="shared" si="50"/>
        <v>0</v>
      </c>
      <c r="X91" s="124">
        <f t="shared" si="50"/>
        <v>0</v>
      </c>
      <c r="Y91" s="124">
        <f t="shared" si="50"/>
        <v>0</v>
      </c>
      <c r="Z91" s="124">
        <f t="shared" si="50"/>
        <v>0</v>
      </c>
      <c r="AA91" s="124">
        <f t="shared" si="50"/>
        <v>0</v>
      </c>
      <c r="AB91" s="124">
        <f t="shared" si="50"/>
        <v>0</v>
      </c>
      <c r="AC91" s="124">
        <f t="shared" si="50"/>
        <v>0</v>
      </c>
      <c r="AD91" s="124">
        <f t="shared" si="50"/>
        <v>0</v>
      </c>
      <c r="AE91" s="124">
        <f t="shared" si="50"/>
        <v>0</v>
      </c>
      <c r="AF91" s="124">
        <f t="shared" si="50"/>
        <v>0</v>
      </c>
      <c r="AG91" s="124">
        <f t="shared" si="50"/>
        <v>0</v>
      </c>
      <c r="AH91" s="124">
        <f t="shared" si="50"/>
        <v>0</v>
      </c>
      <c r="AI91" s="124">
        <f t="shared" si="50"/>
        <v>0</v>
      </c>
      <c r="AJ91" s="124">
        <f t="shared" si="50"/>
        <v>0</v>
      </c>
      <c r="AK91" s="124">
        <f t="shared" si="50"/>
        <v>0</v>
      </c>
      <c r="AL91" s="124">
        <f t="shared" si="50"/>
        <v>0</v>
      </c>
      <c r="AM91" s="124">
        <f t="shared" si="50"/>
        <v>0</v>
      </c>
      <c r="AN91" s="124">
        <f t="shared" si="50"/>
        <v>0</v>
      </c>
      <c r="AO91" s="124">
        <f t="shared" si="50"/>
        <v>0</v>
      </c>
      <c r="AP91" s="124">
        <f t="shared" si="50"/>
        <v>0</v>
      </c>
      <c r="AQ91" s="124">
        <f t="shared" si="50"/>
        <v>0</v>
      </c>
      <c r="AR91" s="124">
        <f t="shared" si="50"/>
        <v>0</v>
      </c>
      <c r="AS91" s="124">
        <f t="shared" si="50"/>
        <v>0</v>
      </c>
      <c r="AT91" s="124">
        <f t="shared" si="50"/>
        <v>0</v>
      </c>
      <c r="AU91" s="124">
        <f t="shared" si="50"/>
        <v>0</v>
      </c>
      <c r="AV91" s="124">
        <f t="shared" si="50"/>
        <v>0</v>
      </c>
    </row>
  </sheetData>
  <mergeCells count="40">
    <mergeCell ref="C12:E12"/>
    <mergeCell ref="C7:E7"/>
    <mergeCell ref="C8:E8"/>
    <mergeCell ref="C9:E9"/>
    <mergeCell ref="C10:E10"/>
    <mergeCell ref="C11:E11"/>
    <mergeCell ref="C50:E50"/>
    <mergeCell ref="C51:E51"/>
    <mergeCell ref="C52:E52"/>
    <mergeCell ref="C53:E53"/>
    <mergeCell ref="C13:E13"/>
    <mergeCell ref="C45:E45"/>
    <mergeCell ref="C46:E46"/>
    <mergeCell ref="C47:E47"/>
    <mergeCell ref="C48:E48"/>
    <mergeCell ref="C49:E49"/>
    <mergeCell ref="C44:E44"/>
    <mergeCell ref="C27:E27"/>
    <mergeCell ref="C20:E20"/>
    <mergeCell ref="C21:E21"/>
    <mergeCell ref="C22:E22"/>
    <mergeCell ref="C23:E23"/>
    <mergeCell ref="C62:E62"/>
    <mergeCell ref="C63:E63"/>
    <mergeCell ref="C64:E64"/>
    <mergeCell ref="C55:E55"/>
    <mergeCell ref="C56:E56"/>
    <mergeCell ref="C57:E57"/>
    <mergeCell ref="C58:E58"/>
    <mergeCell ref="C59:E59"/>
    <mergeCell ref="C60:E60"/>
    <mergeCell ref="C61:E61"/>
    <mergeCell ref="C25:E25"/>
    <mergeCell ref="C26:E26"/>
    <mergeCell ref="C24:E24"/>
    <mergeCell ref="C14:E14"/>
    <mergeCell ref="C15:E15"/>
    <mergeCell ref="C16:E16"/>
    <mergeCell ref="C18:E18"/>
    <mergeCell ref="C19:E19"/>
  </mergeCells>
  <hyperlinks>
    <hyperlink ref="B2" location="cover!B18" display="return to TOC" xr:uid="{43C51F26-6C67-4C78-BA38-1888ED9D5F95}"/>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D6771-D8B8-4BD6-A330-DF8A2D72605F}">
  <sheetPr published="0" codeName="Sheet28">
    <tabColor rgb="FF2171B5"/>
  </sheetPr>
  <dimension ref="A1:AX936"/>
  <sheetViews>
    <sheetView workbookViewId="0"/>
  </sheetViews>
  <sheetFormatPr defaultColWidth="10.83203125" defaultRowHeight="12.95" customHeight="1" x14ac:dyDescent="0.2"/>
  <cols>
    <col min="1" max="1" width="1.83203125" style="253" customWidth="1"/>
    <col min="2" max="4" width="2.83203125" style="253" customWidth="1"/>
    <col min="5" max="5" width="32.83203125" style="253" customWidth="1"/>
    <col min="6" max="6" width="8.83203125" style="253" customWidth="1"/>
    <col min="7" max="8" width="10.83203125" style="253" customWidth="1"/>
    <col min="9" max="9" width="8.83203125" style="253" customWidth="1"/>
    <col min="10" max="48" width="8.83203125" style="250" customWidth="1"/>
    <col min="49" max="49" width="75.83203125" style="253" customWidth="1"/>
    <col min="50" max="50" width="10.83203125" style="253" customWidth="1"/>
    <col min="51" max="16384" width="10.83203125" style="253"/>
  </cols>
  <sheetData>
    <row r="1" spans="1:50" ht="30" customHeight="1" x14ac:dyDescent="0.2">
      <c r="A1" s="85"/>
      <c r="B1" s="86" t="s">
        <v>1020</v>
      </c>
      <c r="C1" s="302"/>
      <c r="D1" s="302"/>
      <c r="E1" s="302"/>
      <c r="F1" s="302"/>
      <c r="G1" s="14"/>
      <c r="H1" s="14"/>
      <c r="I1" s="14"/>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14"/>
      <c r="AX1" s="14"/>
    </row>
    <row r="2" spans="1:50" ht="12.95" customHeight="1" x14ac:dyDescent="0.2">
      <c r="A2" s="85"/>
      <c r="B2" s="81" t="s">
        <v>349</v>
      </c>
      <c r="C2" s="21"/>
      <c r="D2" s="21"/>
      <c r="E2" s="21"/>
      <c r="F2" s="21"/>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row>
    <row r="3" spans="1:50" ht="12.95" customHeight="1" x14ac:dyDescent="0.2">
      <c r="B3" s="21"/>
      <c r="C3" s="21"/>
      <c r="D3" s="21"/>
      <c r="E3" s="21"/>
      <c r="F3" s="21"/>
      <c r="I3" s="81"/>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row>
    <row r="4" spans="1:50" ht="12.95" customHeight="1" x14ac:dyDescent="0.25">
      <c r="B4" s="307" t="s">
        <v>975</v>
      </c>
      <c r="C4" s="106"/>
      <c r="D4" s="106"/>
      <c r="E4" s="106"/>
      <c r="F4" s="106"/>
      <c r="G4" s="106"/>
      <c r="H4" s="106"/>
      <c r="I4" s="106"/>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8"/>
    </row>
    <row r="5" spans="1:50" ht="12.95" customHeight="1" x14ac:dyDescent="0.25">
      <c r="B5" s="19" t="s">
        <v>300</v>
      </c>
      <c r="C5" s="75"/>
      <c r="D5" s="75"/>
      <c r="E5" s="74"/>
      <c r="F5" s="56" t="s">
        <v>491</v>
      </c>
      <c r="G5" s="113" t="s">
        <v>1</v>
      </c>
      <c r="H5" s="114" t="s">
        <v>456</v>
      </c>
      <c r="I5" s="114" t="s">
        <v>381</v>
      </c>
      <c r="J5" s="56" t="s">
        <v>382</v>
      </c>
      <c r="K5" s="56" t="s">
        <v>383</v>
      </c>
      <c r="L5" s="56" t="s">
        <v>384</v>
      </c>
      <c r="M5" s="56" t="s">
        <v>385</v>
      </c>
      <c r="N5" s="56" t="s">
        <v>386</v>
      </c>
      <c r="O5" s="56" t="s">
        <v>387</v>
      </c>
      <c r="P5" s="56" t="s">
        <v>388</v>
      </c>
      <c r="Q5" s="56" t="s">
        <v>389</v>
      </c>
      <c r="R5" s="56" t="s">
        <v>390</v>
      </c>
      <c r="S5" s="56" t="s">
        <v>401</v>
      </c>
      <c r="T5" s="56" t="s">
        <v>402</v>
      </c>
      <c r="U5" s="56" t="s">
        <v>403</v>
      </c>
      <c r="V5" s="56" t="s">
        <v>404</v>
      </c>
      <c r="W5" s="56" t="s">
        <v>405</v>
      </c>
      <c r="X5" s="56" t="s">
        <v>406</v>
      </c>
      <c r="Y5" s="56" t="s">
        <v>407</v>
      </c>
      <c r="Z5" s="56" t="s">
        <v>408</v>
      </c>
      <c r="AA5" s="56" t="s">
        <v>409</v>
      </c>
      <c r="AB5" s="56" t="s">
        <v>410</v>
      </c>
      <c r="AC5" s="56" t="s">
        <v>411</v>
      </c>
      <c r="AD5" s="56" t="s">
        <v>412</v>
      </c>
      <c r="AE5" s="56" t="s">
        <v>413</v>
      </c>
      <c r="AF5" s="56" t="s">
        <v>414</v>
      </c>
      <c r="AG5" s="56" t="s">
        <v>415</v>
      </c>
      <c r="AH5" s="56" t="s">
        <v>416</v>
      </c>
      <c r="AI5" s="56" t="s">
        <v>417</v>
      </c>
      <c r="AJ5" s="56" t="s">
        <v>418</v>
      </c>
      <c r="AK5" s="56" t="s">
        <v>419</v>
      </c>
      <c r="AL5" s="56" t="s">
        <v>420</v>
      </c>
      <c r="AM5" s="56" t="s">
        <v>421</v>
      </c>
      <c r="AN5" s="56" t="s">
        <v>422</v>
      </c>
      <c r="AO5" s="56" t="s">
        <v>423</v>
      </c>
      <c r="AP5" s="56" t="s">
        <v>424</v>
      </c>
      <c r="AQ5" s="56" t="s">
        <v>425</v>
      </c>
      <c r="AR5" s="56" t="s">
        <v>426</v>
      </c>
      <c r="AS5" s="56" t="s">
        <v>427</v>
      </c>
      <c r="AT5" s="56" t="s">
        <v>428</v>
      </c>
      <c r="AU5" s="56" t="s">
        <v>429</v>
      </c>
      <c r="AV5" s="56" t="s">
        <v>430</v>
      </c>
      <c r="AW5" s="5" t="s">
        <v>2</v>
      </c>
      <c r="AX5" s="14"/>
    </row>
    <row r="6" spans="1:50" ht="12.95" customHeight="1" x14ac:dyDescent="0.2">
      <c r="B6" s="14" t="s">
        <v>479</v>
      </c>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c r="AT6" s="171"/>
      <c r="AU6" s="171"/>
      <c r="AV6" s="171"/>
    </row>
    <row r="7" spans="1:50" ht="12.95" customHeight="1" x14ac:dyDescent="0.2">
      <c r="B7" s="14"/>
      <c r="C7" s="372">
        <v>1</v>
      </c>
      <c r="D7" s="372"/>
      <c r="E7" s="372"/>
      <c r="F7" s="170" t="s">
        <v>492</v>
      </c>
      <c r="G7" s="253" t="s">
        <v>4</v>
      </c>
      <c r="H7" s="124">
        <f>H134</f>
        <v>25</v>
      </c>
      <c r="I7" s="124">
        <f t="shared" ref="I7:AV7" si="0">H7+1</f>
        <v>26</v>
      </c>
      <c r="J7" s="124">
        <f t="shared" si="0"/>
        <v>27</v>
      </c>
      <c r="K7" s="124">
        <f t="shared" si="0"/>
        <v>28</v>
      </c>
      <c r="L7" s="124">
        <f t="shared" si="0"/>
        <v>29</v>
      </c>
      <c r="M7" s="124">
        <f t="shared" si="0"/>
        <v>30</v>
      </c>
      <c r="N7" s="124">
        <f t="shared" si="0"/>
        <v>31</v>
      </c>
      <c r="O7" s="124">
        <f t="shared" si="0"/>
        <v>32</v>
      </c>
      <c r="P7" s="124">
        <f t="shared" si="0"/>
        <v>33</v>
      </c>
      <c r="Q7" s="124">
        <f t="shared" si="0"/>
        <v>34</v>
      </c>
      <c r="R7" s="124">
        <f t="shared" si="0"/>
        <v>35</v>
      </c>
      <c r="S7" s="124">
        <f t="shared" si="0"/>
        <v>36</v>
      </c>
      <c r="T7" s="124">
        <f t="shared" si="0"/>
        <v>37</v>
      </c>
      <c r="U7" s="124">
        <f t="shared" si="0"/>
        <v>38</v>
      </c>
      <c r="V7" s="124">
        <f t="shared" si="0"/>
        <v>39</v>
      </c>
      <c r="W7" s="124">
        <f t="shared" si="0"/>
        <v>40</v>
      </c>
      <c r="X7" s="124">
        <f t="shared" si="0"/>
        <v>41</v>
      </c>
      <c r="Y7" s="124">
        <f t="shared" si="0"/>
        <v>42</v>
      </c>
      <c r="Z7" s="124">
        <f t="shared" si="0"/>
        <v>43</v>
      </c>
      <c r="AA7" s="124">
        <f t="shared" si="0"/>
        <v>44</v>
      </c>
      <c r="AB7" s="124">
        <f t="shared" si="0"/>
        <v>45</v>
      </c>
      <c r="AC7" s="124">
        <f t="shared" si="0"/>
        <v>46</v>
      </c>
      <c r="AD7" s="124">
        <f t="shared" si="0"/>
        <v>47</v>
      </c>
      <c r="AE7" s="124">
        <f t="shared" si="0"/>
        <v>48</v>
      </c>
      <c r="AF7" s="124">
        <f t="shared" si="0"/>
        <v>49</v>
      </c>
      <c r="AG7" s="124">
        <f t="shared" si="0"/>
        <v>50</v>
      </c>
      <c r="AH7" s="124">
        <f t="shared" si="0"/>
        <v>51</v>
      </c>
      <c r="AI7" s="124">
        <f t="shared" si="0"/>
        <v>52</v>
      </c>
      <c r="AJ7" s="124">
        <f t="shared" si="0"/>
        <v>53</v>
      </c>
      <c r="AK7" s="124">
        <f t="shared" si="0"/>
        <v>54</v>
      </c>
      <c r="AL7" s="124">
        <f t="shared" si="0"/>
        <v>55</v>
      </c>
      <c r="AM7" s="124">
        <f t="shared" si="0"/>
        <v>56</v>
      </c>
      <c r="AN7" s="124">
        <f t="shared" si="0"/>
        <v>57</v>
      </c>
      <c r="AO7" s="124">
        <f t="shared" si="0"/>
        <v>58</v>
      </c>
      <c r="AP7" s="124">
        <f t="shared" si="0"/>
        <v>59</v>
      </c>
      <c r="AQ7" s="124">
        <f t="shared" si="0"/>
        <v>60</v>
      </c>
      <c r="AR7" s="124">
        <f t="shared" si="0"/>
        <v>61</v>
      </c>
      <c r="AS7" s="124">
        <f t="shared" si="0"/>
        <v>62</v>
      </c>
      <c r="AT7" s="124">
        <f t="shared" si="0"/>
        <v>63</v>
      </c>
      <c r="AU7" s="124">
        <f t="shared" si="0"/>
        <v>64</v>
      </c>
      <c r="AV7" s="124">
        <f t="shared" si="0"/>
        <v>65</v>
      </c>
    </row>
    <row r="8" spans="1:50" ht="12.95" customHeight="1" x14ac:dyDescent="0.2">
      <c r="B8" s="14"/>
      <c r="C8" s="372">
        <v>2</v>
      </c>
      <c r="D8" s="372"/>
      <c r="E8" s="372"/>
      <c r="F8" s="253" t="s">
        <v>492</v>
      </c>
      <c r="G8" s="253" t="s">
        <v>4</v>
      </c>
      <c r="H8" s="124"/>
      <c r="I8" s="124">
        <f>IF($C8&gt;LOG!$F$8,0,H7)</f>
        <v>25</v>
      </c>
      <c r="J8" s="124">
        <f>IF($C8&gt;LOG!$F$8,0,I7)</f>
        <v>26</v>
      </c>
      <c r="K8" s="124">
        <f>IF($C8&gt;LOG!$F$8,0,J7)</f>
        <v>27</v>
      </c>
      <c r="L8" s="124">
        <f>IF($C8&gt;LOG!$F$8,0,K7)</f>
        <v>28</v>
      </c>
      <c r="M8" s="124">
        <f>IF($C8&gt;LOG!$F$8,0,L7)</f>
        <v>29</v>
      </c>
      <c r="N8" s="124">
        <f>IF($C8&gt;LOG!$F$8,0,M7)</f>
        <v>30</v>
      </c>
      <c r="O8" s="124">
        <f>IF($C8&gt;LOG!$F$8,0,N7)</f>
        <v>31</v>
      </c>
      <c r="P8" s="124">
        <f>IF($C8&gt;LOG!$F$8,0,O7)</f>
        <v>32</v>
      </c>
      <c r="Q8" s="124">
        <f>IF($C8&gt;LOG!$F$8,0,P7)</f>
        <v>33</v>
      </c>
      <c r="R8" s="124">
        <f>IF($C8&gt;LOG!$F$8,0,Q7)</f>
        <v>34</v>
      </c>
      <c r="S8" s="124">
        <f>IF($C8&gt;LOG!$F$8,0,R7)</f>
        <v>35</v>
      </c>
      <c r="T8" s="124">
        <f>IF($C8&gt;LOG!$F$8,0,S7)</f>
        <v>36</v>
      </c>
      <c r="U8" s="124">
        <f>IF($C8&gt;LOG!$F$8,0,T7)</f>
        <v>37</v>
      </c>
      <c r="V8" s="124">
        <f>IF($C8&gt;LOG!$F$8,0,U7)</f>
        <v>38</v>
      </c>
      <c r="W8" s="124">
        <f>IF($C8&gt;LOG!$F$8,0,V7)</f>
        <v>39</v>
      </c>
      <c r="X8" s="124">
        <f>IF($C8&gt;LOG!$F$8,0,W7)</f>
        <v>40</v>
      </c>
      <c r="Y8" s="124">
        <f>IF($C8&gt;LOG!$F$8,0,X7)</f>
        <v>41</v>
      </c>
      <c r="Z8" s="124">
        <f>IF($C8&gt;LOG!$F$8,0,Y7)</f>
        <v>42</v>
      </c>
      <c r="AA8" s="124">
        <f>IF($C8&gt;LOG!$F$8,0,Z7)</f>
        <v>43</v>
      </c>
      <c r="AB8" s="124">
        <f>IF($C8&gt;LOG!$F$8,0,AA7)</f>
        <v>44</v>
      </c>
      <c r="AC8" s="124">
        <f>IF($C8&gt;LOG!$F$8,0,AB7)</f>
        <v>45</v>
      </c>
      <c r="AD8" s="124">
        <f>IF($C8&gt;LOG!$F$8,0,AC7)</f>
        <v>46</v>
      </c>
      <c r="AE8" s="124">
        <f>IF($C8&gt;LOG!$F$8,0,AD7)</f>
        <v>47</v>
      </c>
      <c r="AF8" s="124">
        <f>IF($C8&gt;LOG!$F$8,0,AE7)</f>
        <v>48</v>
      </c>
      <c r="AG8" s="124">
        <f>IF($C8&gt;LOG!$F$8,0,AF7)</f>
        <v>49</v>
      </c>
      <c r="AH8" s="124">
        <f>IF($C8&gt;LOG!$F$8,0,AG7)</f>
        <v>50</v>
      </c>
      <c r="AI8" s="124">
        <f>IF($C8&gt;LOG!$F$8,0,AH7)</f>
        <v>51</v>
      </c>
      <c r="AJ8" s="124">
        <f>IF($C8&gt;LOG!$F$8,0,AI7)</f>
        <v>52</v>
      </c>
      <c r="AK8" s="124">
        <f>IF($C8&gt;LOG!$F$8,0,AJ7)</f>
        <v>53</v>
      </c>
      <c r="AL8" s="124">
        <f>IF($C8&gt;LOG!$F$8,0,AK7)</f>
        <v>54</v>
      </c>
      <c r="AM8" s="124">
        <f>IF($C8&gt;LOG!$F$8,0,AL7)</f>
        <v>55</v>
      </c>
      <c r="AN8" s="124">
        <f>IF($C8&gt;LOG!$F$8,0,AM7)</f>
        <v>56</v>
      </c>
      <c r="AO8" s="124">
        <f>IF($C8&gt;LOG!$F$8,0,AN7)</f>
        <v>57</v>
      </c>
      <c r="AP8" s="124">
        <f>IF($C8&gt;LOG!$F$8,0,AO7)</f>
        <v>58</v>
      </c>
      <c r="AQ8" s="124">
        <f>IF($C8&gt;LOG!$F$8,0,AP7)</f>
        <v>59</v>
      </c>
      <c r="AR8" s="124">
        <f>IF($C8&gt;LOG!$F$8,0,AQ7)</f>
        <v>60</v>
      </c>
      <c r="AS8" s="124">
        <f>IF($C8&gt;LOG!$F$8,0,AR7)</f>
        <v>61</v>
      </c>
      <c r="AT8" s="124">
        <f>IF($C8&gt;LOG!$F$8,0,AS7)</f>
        <v>62</v>
      </c>
      <c r="AU8" s="124">
        <f>IF($C8&gt;LOG!$F$8,0,AT7)</f>
        <v>63</v>
      </c>
      <c r="AV8" s="124">
        <f>IF($C8&gt;LOG!$F$8,0,AU7)</f>
        <v>64</v>
      </c>
    </row>
    <row r="9" spans="1:50" ht="12.95" customHeight="1" x14ac:dyDescent="0.2">
      <c r="B9" s="14"/>
      <c r="C9" s="372">
        <v>3</v>
      </c>
      <c r="D9" s="372"/>
      <c r="E9" s="372"/>
      <c r="F9" s="253" t="s">
        <v>492</v>
      </c>
      <c r="G9" s="253" t="s">
        <v>4</v>
      </c>
      <c r="H9" s="124"/>
      <c r="I9" s="124"/>
      <c r="J9" s="124">
        <f>IF($C9&gt;LOG!$F$8,0,I8)</f>
        <v>25</v>
      </c>
      <c r="K9" s="124">
        <f>IF($C9&gt;LOG!$F$8,0,J8)</f>
        <v>26</v>
      </c>
      <c r="L9" s="124">
        <f>IF($C9&gt;LOG!$F$8,0,K8)</f>
        <v>27</v>
      </c>
      <c r="M9" s="124">
        <f>IF($C9&gt;LOG!$F$8,0,L8)</f>
        <v>28</v>
      </c>
      <c r="N9" s="124">
        <f>IF($C9&gt;LOG!$F$8,0,M8)</f>
        <v>29</v>
      </c>
      <c r="O9" s="124">
        <f>IF($C9&gt;LOG!$F$8,0,N8)</f>
        <v>30</v>
      </c>
      <c r="P9" s="124">
        <f>IF($C9&gt;LOG!$F$8,0,O8)</f>
        <v>31</v>
      </c>
      <c r="Q9" s="124">
        <f>IF($C9&gt;LOG!$F$8,0,P8)</f>
        <v>32</v>
      </c>
      <c r="R9" s="124">
        <f>IF($C9&gt;LOG!$F$8,0,Q8)</f>
        <v>33</v>
      </c>
      <c r="S9" s="124">
        <f>IF($C9&gt;LOG!$F$8,0,R8)</f>
        <v>34</v>
      </c>
      <c r="T9" s="124">
        <f>IF($C9&gt;LOG!$F$8,0,S8)</f>
        <v>35</v>
      </c>
      <c r="U9" s="124">
        <f>IF($C9&gt;LOG!$F$8,0,T8)</f>
        <v>36</v>
      </c>
      <c r="V9" s="124">
        <f>IF($C9&gt;LOG!$F$8,0,U8)</f>
        <v>37</v>
      </c>
      <c r="W9" s="124">
        <f>IF($C9&gt;LOG!$F$8,0,V8)</f>
        <v>38</v>
      </c>
      <c r="X9" s="124">
        <f>IF($C9&gt;LOG!$F$8,0,W8)</f>
        <v>39</v>
      </c>
      <c r="Y9" s="124">
        <f>IF($C9&gt;LOG!$F$8,0,X8)</f>
        <v>40</v>
      </c>
      <c r="Z9" s="124">
        <f>IF($C9&gt;LOG!$F$8,0,Y8)</f>
        <v>41</v>
      </c>
      <c r="AA9" s="124">
        <f>IF($C9&gt;LOG!$F$8,0,Z8)</f>
        <v>42</v>
      </c>
      <c r="AB9" s="124">
        <f>IF($C9&gt;LOG!$F$8,0,AA8)</f>
        <v>43</v>
      </c>
      <c r="AC9" s="124">
        <f>IF($C9&gt;LOG!$F$8,0,AB8)</f>
        <v>44</v>
      </c>
      <c r="AD9" s="124">
        <f>IF($C9&gt;LOG!$F$8,0,AC8)</f>
        <v>45</v>
      </c>
      <c r="AE9" s="124">
        <f>IF($C9&gt;LOG!$F$8,0,AD8)</f>
        <v>46</v>
      </c>
      <c r="AF9" s="124">
        <f>IF($C9&gt;LOG!$F$8,0,AE8)</f>
        <v>47</v>
      </c>
      <c r="AG9" s="124">
        <f>IF($C9&gt;LOG!$F$8,0,AF8)</f>
        <v>48</v>
      </c>
      <c r="AH9" s="124">
        <f>IF($C9&gt;LOG!$F$8,0,AG8)</f>
        <v>49</v>
      </c>
      <c r="AI9" s="124">
        <f>IF($C9&gt;LOG!$F$8,0,AH8)</f>
        <v>50</v>
      </c>
      <c r="AJ9" s="124">
        <f>IF($C9&gt;LOG!$F$8,0,AI8)</f>
        <v>51</v>
      </c>
      <c r="AK9" s="124">
        <f>IF($C9&gt;LOG!$F$8,0,AJ8)</f>
        <v>52</v>
      </c>
      <c r="AL9" s="124">
        <f>IF($C9&gt;LOG!$F$8,0,AK8)</f>
        <v>53</v>
      </c>
      <c r="AM9" s="124">
        <f>IF($C9&gt;LOG!$F$8,0,AL8)</f>
        <v>54</v>
      </c>
      <c r="AN9" s="124">
        <f>IF($C9&gt;LOG!$F$8,0,AM8)</f>
        <v>55</v>
      </c>
      <c r="AO9" s="124">
        <f>IF($C9&gt;LOG!$F$8,0,AN8)</f>
        <v>56</v>
      </c>
      <c r="AP9" s="124">
        <f>IF($C9&gt;LOG!$F$8,0,AO8)</f>
        <v>57</v>
      </c>
      <c r="AQ9" s="124">
        <f>IF($C9&gt;LOG!$F$8,0,AP8)</f>
        <v>58</v>
      </c>
      <c r="AR9" s="124">
        <f>IF($C9&gt;LOG!$F$8,0,AQ8)</f>
        <v>59</v>
      </c>
      <c r="AS9" s="124">
        <f>IF($C9&gt;LOG!$F$8,0,AR8)</f>
        <v>60</v>
      </c>
      <c r="AT9" s="124">
        <f>IF($C9&gt;LOG!$F$8,0,AS8)</f>
        <v>61</v>
      </c>
      <c r="AU9" s="124">
        <f>IF($C9&gt;LOG!$F$8,0,AT8)</f>
        <v>62</v>
      </c>
      <c r="AV9" s="124">
        <f>IF($C9&gt;LOG!$F$8,0,AU8)</f>
        <v>63</v>
      </c>
    </row>
    <row r="10" spans="1:50" ht="12.95" customHeight="1" x14ac:dyDescent="0.2">
      <c r="B10" s="14"/>
      <c r="C10" s="372">
        <v>4</v>
      </c>
      <c r="D10" s="372"/>
      <c r="E10" s="372"/>
      <c r="F10" s="253" t="s">
        <v>492</v>
      </c>
      <c r="G10" s="253" t="s">
        <v>4</v>
      </c>
      <c r="H10" s="124"/>
      <c r="I10" s="124"/>
      <c r="J10" s="124"/>
      <c r="K10" s="124">
        <f>IF($C10&gt;LOG!$F$8,0,J9)</f>
        <v>25</v>
      </c>
      <c r="L10" s="124">
        <f>IF($C10&gt;LOG!$F$8,0,K9)</f>
        <v>26</v>
      </c>
      <c r="M10" s="124">
        <f>IF($C10&gt;LOG!$F$8,0,L9)</f>
        <v>27</v>
      </c>
      <c r="N10" s="124">
        <f>IF($C10&gt;LOG!$F$8,0,M9)</f>
        <v>28</v>
      </c>
      <c r="O10" s="124">
        <f>IF($C10&gt;LOG!$F$8,0,N9)</f>
        <v>29</v>
      </c>
      <c r="P10" s="124">
        <f>IF($C10&gt;LOG!$F$8,0,O9)</f>
        <v>30</v>
      </c>
      <c r="Q10" s="124">
        <f>IF($C10&gt;LOG!$F$8,0,P9)</f>
        <v>31</v>
      </c>
      <c r="R10" s="124">
        <f>IF($C10&gt;LOG!$F$8,0,Q9)</f>
        <v>32</v>
      </c>
      <c r="S10" s="124">
        <f>IF($C10&gt;LOG!$F$8,0,R9)</f>
        <v>33</v>
      </c>
      <c r="T10" s="124">
        <f>IF($C10&gt;LOG!$F$8,0,S9)</f>
        <v>34</v>
      </c>
      <c r="U10" s="124">
        <f>IF($C10&gt;LOG!$F$8,0,T9)</f>
        <v>35</v>
      </c>
      <c r="V10" s="124">
        <f>IF($C10&gt;LOG!$F$8,0,U9)</f>
        <v>36</v>
      </c>
      <c r="W10" s="124">
        <f>IF($C10&gt;LOG!$F$8,0,V9)</f>
        <v>37</v>
      </c>
      <c r="X10" s="124">
        <f>IF($C10&gt;LOG!$F$8,0,W9)</f>
        <v>38</v>
      </c>
      <c r="Y10" s="124">
        <f>IF($C10&gt;LOG!$F$8,0,X9)</f>
        <v>39</v>
      </c>
      <c r="Z10" s="124">
        <f>IF($C10&gt;LOG!$F$8,0,Y9)</f>
        <v>40</v>
      </c>
      <c r="AA10" s="124">
        <f>IF($C10&gt;LOG!$F$8,0,Z9)</f>
        <v>41</v>
      </c>
      <c r="AB10" s="124">
        <f>IF($C10&gt;LOG!$F$8,0,AA9)</f>
        <v>42</v>
      </c>
      <c r="AC10" s="124">
        <f>IF($C10&gt;LOG!$F$8,0,AB9)</f>
        <v>43</v>
      </c>
      <c r="AD10" s="124">
        <f>IF($C10&gt;LOG!$F$8,0,AC9)</f>
        <v>44</v>
      </c>
      <c r="AE10" s="124">
        <f>IF($C10&gt;LOG!$F$8,0,AD9)</f>
        <v>45</v>
      </c>
      <c r="AF10" s="124">
        <f>IF($C10&gt;LOG!$F$8,0,AE9)</f>
        <v>46</v>
      </c>
      <c r="AG10" s="124">
        <f>IF($C10&gt;LOG!$F$8,0,AF9)</f>
        <v>47</v>
      </c>
      <c r="AH10" s="124">
        <f>IF($C10&gt;LOG!$F$8,0,AG9)</f>
        <v>48</v>
      </c>
      <c r="AI10" s="124">
        <f>IF($C10&gt;LOG!$F$8,0,AH9)</f>
        <v>49</v>
      </c>
      <c r="AJ10" s="124">
        <f>IF($C10&gt;LOG!$F$8,0,AI9)</f>
        <v>50</v>
      </c>
      <c r="AK10" s="124">
        <f>IF($C10&gt;LOG!$F$8,0,AJ9)</f>
        <v>51</v>
      </c>
      <c r="AL10" s="124">
        <f>IF($C10&gt;LOG!$F$8,0,AK9)</f>
        <v>52</v>
      </c>
      <c r="AM10" s="124">
        <f>IF($C10&gt;LOG!$F$8,0,AL9)</f>
        <v>53</v>
      </c>
      <c r="AN10" s="124">
        <f>IF($C10&gt;LOG!$F$8,0,AM9)</f>
        <v>54</v>
      </c>
      <c r="AO10" s="124">
        <f>IF($C10&gt;LOG!$F$8,0,AN9)</f>
        <v>55</v>
      </c>
      <c r="AP10" s="124">
        <f>IF($C10&gt;LOG!$F$8,0,AO9)</f>
        <v>56</v>
      </c>
      <c r="AQ10" s="124">
        <f>IF($C10&gt;LOG!$F$8,0,AP9)</f>
        <v>57</v>
      </c>
      <c r="AR10" s="124">
        <f>IF($C10&gt;LOG!$F$8,0,AQ9)</f>
        <v>58</v>
      </c>
      <c r="AS10" s="124">
        <f>IF($C10&gt;LOG!$F$8,0,AR9)</f>
        <v>59</v>
      </c>
      <c r="AT10" s="124">
        <f>IF($C10&gt;LOG!$F$8,0,AS9)</f>
        <v>60</v>
      </c>
      <c r="AU10" s="124">
        <f>IF($C10&gt;LOG!$F$8,0,AT9)</f>
        <v>61</v>
      </c>
      <c r="AV10" s="124">
        <f>IF($C10&gt;LOG!$F$8,0,AU9)</f>
        <v>62</v>
      </c>
    </row>
    <row r="11" spans="1:50" ht="12.95" customHeight="1" x14ac:dyDescent="0.2">
      <c r="B11" s="14"/>
      <c r="C11" s="372">
        <v>5</v>
      </c>
      <c r="D11" s="372"/>
      <c r="E11" s="372"/>
      <c r="F11" s="253" t="s">
        <v>492</v>
      </c>
      <c r="G11" s="253" t="s">
        <v>4</v>
      </c>
      <c r="H11" s="124"/>
      <c r="I11" s="124"/>
      <c r="J11" s="124"/>
      <c r="K11" s="124"/>
      <c r="L11" s="124">
        <f>IF($C11&gt;LOG!$F$8,0,K10)</f>
        <v>25</v>
      </c>
      <c r="M11" s="124">
        <f>IF($C11&gt;LOG!$F$8,0,L10)</f>
        <v>26</v>
      </c>
      <c r="N11" s="124">
        <f>IF($C11&gt;LOG!$F$8,0,M10)</f>
        <v>27</v>
      </c>
      <c r="O11" s="124">
        <f>IF($C11&gt;LOG!$F$8,0,N10)</f>
        <v>28</v>
      </c>
      <c r="P11" s="124">
        <f>IF($C11&gt;LOG!$F$8,0,O10)</f>
        <v>29</v>
      </c>
      <c r="Q11" s="124">
        <f>IF($C11&gt;LOG!$F$8,0,P10)</f>
        <v>30</v>
      </c>
      <c r="R11" s="124">
        <f>IF($C11&gt;LOG!$F$8,0,Q10)</f>
        <v>31</v>
      </c>
      <c r="S11" s="124">
        <f>IF($C11&gt;LOG!$F$8,0,R10)</f>
        <v>32</v>
      </c>
      <c r="T11" s="124">
        <f>IF($C11&gt;LOG!$F$8,0,S10)</f>
        <v>33</v>
      </c>
      <c r="U11" s="124">
        <f>IF($C11&gt;LOG!$F$8,0,T10)</f>
        <v>34</v>
      </c>
      <c r="V11" s="124">
        <f>IF($C11&gt;LOG!$F$8,0,U10)</f>
        <v>35</v>
      </c>
      <c r="W11" s="124">
        <f>IF($C11&gt;LOG!$F$8,0,V10)</f>
        <v>36</v>
      </c>
      <c r="X11" s="124">
        <f>IF($C11&gt;LOG!$F$8,0,W10)</f>
        <v>37</v>
      </c>
      <c r="Y11" s="124">
        <f>IF($C11&gt;LOG!$F$8,0,X10)</f>
        <v>38</v>
      </c>
      <c r="Z11" s="124">
        <f>IF($C11&gt;LOG!$F$8,0,Y10)</f>
        <v>39</v>
      </c>
      <c r="AA11" s="124">
        <f>IF($C11&gt;LOG!$F$8,0,Z10)</f>
        <v>40</v>
      </c>
      <c r="AB11" s="124">
        <f>IF($C11&gt;LOG!$F$8,0,AA10)</f>
        <v>41</v>
      </c>
      <c r="AC11" s="124">
        <f>IF($C11&gt;LOG!$F$8,0,AB10)</f>
        <v>42</v>
      </c>
      <c r="AD11" s="124">
        <f>IF($C11&gt;LOG!$F$8,0,AC10)</f>
        <v>43</v>
      </c>
      <c r="AE11" s="124">
        <f>IF($C11&gt;LOG!$F$8,0,AD10)</f>
        <v>44</v>
      </c>
      <c r="AF11" s="124">
        <f>IF($C11&gt;LOG!$F$8,0,AE10)</f>
        <v>45</v>
      </c>
      <c r="AG11" s="124">
        <f>IF($C11&gt;LOG!$F$8,0,AF10)</f>
        <v>46</v>
      </c>
      <c r="AH11" s="124">
        <f>IF($C11&gt;LOG!$F$8,0,AG10)</f>
        <v>47</v>
      </c>
      <c r="AI11" s="124">
        <f>IF($C11&gt;LOG!$F$8,0,AH10)</f>
        <v>48</v>
      </c>
      <c r="AJ11" s="124">
        <f>IF($C11&gt;LOG!$F$8,0,AI10)</f>
        <v>49</v>
      </c>
      <c r="AK11" s="124">
        <f>IF($C11&gt;LOG!$F$8,0,AJ10)</f>
        <v>50</v>
      </c>
      <c r="AL11" s="124">
        <f>IF($C11&gt;LOG!$F$8,0,AK10)</f>
        <v>51</v>
      </c>
      <c r="AM11" s="124">
        <f>IF($C11&gt;LOG!$F$8,0,AL10)</f>
        <v>52</v>
      </c>
      <c r="AN11" s="124">
        <f>IF($C11&gt;LOG!$F$8,0,AM10)</f>
        <v>53</v>
      </c>
      <c r="AO11" s="124">
        <f>IF($C11&gt;LOG!$F$8,0,AN10)</f>
        <v>54</v>
      </c>
      <c r="AP11" s="124">
        <f>IF($C11&gt;LOG!$F$8,0,AO10)</f>
        <v>55</v>
      </c>
      <c r="AQ11" s="124">
        <f>IF($C11&gt;LOG!$F$8,0,AP10)</f>
        <v>56</v>
      </c>
      <c r="AR11" s="124">
        <f>IF($C11&gt;LOG!$F$8,0,AQ10)</f>
        <v>57</v>
      </c>
      <c r="AS11" s="124">
        <f>IF($C11&gt;LOG!$F$8,0,AR10)</f>
        <v>58</v>
      </c>
      <c r="AT11" s="124">
        <f>IF($C11&gt;LOG!$F$8,0,AS10)</f>
        <v>59</v>
      </c>
      <c r="AU11" s="124">
        <f>IF($C11&gt;LOG!$F$8,0,AT10)</f>
        <v>60</v>
      </c>
      <c r="AV11" s="124">
        <f>IF($C11&gt;LOG!$F$8,0,AU10)</f>
        <v>61</v>
      </c>
    </row>
    <row r="12" spans="1:50" ht="12.95" customHeight="1" x14ac:dyDescent="0.2">
      <c r="B12" s="14"/>
      <c r="C12" s="372">
        <v>6</v>
      </c>
      <c r="D12" s="372"/>
      <c r="E12" s="372"/>
      <c r="F12" s="253" t="s">
        <v>492</v>
      </c>
      <c r="G12" s="253" t="s">
        <v>4</v>
      </c>
      <c r="H12" s="124"/>
      <c r="I12" s="124"/>
      <c r="J12" s="124"/>
      <c r="K12" s="124"/>
      <c r="L12" s="124"/>
      <c r="M12" s="124">
        <f>IF($C12&gt;LOG!$F$8,0,L11)</f>
        <v>25</v>
      </c>
      <c r="N12" s="124">
        <f>IF($C12&gt;LOG!$F$8,0,M11)</f>
        <v>26</v>
      </c>
      <c r="O12" s="124">
        <f>IF($C12&gt;LOG!$F$8,0,N11)</f>
        <v>27</v>
      </c>
      <c r="P12" s="124">
        <f>IF($C12&gt;LOG!$F$8,0,O11)</f>
        <v>28</v>
      </c>
      <c r="Q12" s="124">
        <f>IF($C12&gt;LOG!$F$8,0,P11)</f>
        <v>29</v>
      </c>
      <c r="R12" s="124">
        <f>IF($C12&gt;LOG!$F$8,0,Q11)</f>
        <v>30</v>
      </c>
      <c r="S12" s="124">
        <f>IF($C12&gt;LOG!$F$8,0,R11)</f>
        <v>31</v>
      </c>
      <c r="T12" s="124">
        <f>IF($C12&gt;LOG!$F$8,0,S11)</f>
        <v>32</v>
      </c>
      <c r="U12" s="124">
        <f>IF($C12&gt;LOG!$F$8,0,T11)</f>
        <v>33</v>
      </c>
      <c r="V12" s="124">
        <f>IF($C12&gt;LOG!$F$8,0,U11)</f>
        <v>34</v>
      </c>
      <c r="W12" s="124">
        <f>IF($C12&gt;LOG!$F$8,0,V11)</f>
        <v>35</v>
      </c>
      <c r="X12" s="124">
        <f>IF($C12&gt;LOG!$F$8,0,W11)</f>
        <v>36</v>
      </c>
      <c r="Y12" s="124">
        <f>IF($C12&gt;LOG!$F$8,0,X11)</f>
        <v>37</v>
      </c>
      <c r="Z12" s="124">
        <f>IF($C12&gt;LOG!$F$8,0,Y11)</f>
        <v>38</v>
      </c>
      <c r="AA12" s="124">
        <f>IF($C12&gt;LOG!$F$8,0,Z11)</f>
        <v>39</v>
      </c>
      <c r="AB12" s="124">
        <f>IF($C12&gt;LOG!$F$8,0,AA11)</f>
        <v>40</v>
      </c>
      <c r="AC12" s="124">
        <f>IF($C12&gt;LOG!$F$8,0,AB11)</f>
        <v>41</v>
      </c>
      <c r="AD12" s="124">
        <f>IF($C12&gt;LOG!$F$8,0,AC11)</f>
        <v>42</v>
      </c>
      <c r="AE12" s="124">
        <f>IF($C12&gt;LOG!$F$8,0,AD11)</f>
        <v>43</v>
      </c>
      <c r="AF12" s="124">
        <f>IF($C12&gt;LOG!$F$8,0,AE11)</f>
        <v>44</v>
      </c>
      <c r="AG12" s="124">
        <f>IF($C12&gt;LOG!$F$8,0,AF11)</f>
        <v>45</v>
      </c>
      <c r="AH12" s="124">
        <f>IF($C12&gt;LOG!$F$8,0,AG11)</f>
        <v>46</v>
      </c>
      <c r="AI12" s="124">
        <f>IF($C12&gt;LOG!$F$8,0,AH11)</f>
        <v>47</v>
      </c>
      <c r="AJ12" s="124">
        <f>IF($C12&gt;LOG!$F$8,0,AI11)</f>
        <v>48</v>
      </c>
      <c r="AK12" s="124">
        <f>IF($C12&gt;LOG!$F$8,0,AJ11)</f>
        <v>49</v>
      </c>
      <c r="AL12" s="124">
        <f>IF($C12&gt;LOG!$F$8,0,AK11)</f>
        <v>50</v>
      </c>
      <c r="AM12" s="124">
        <f>IF($C12&gt;LOG!$F$8,0,AL11)</f>
        <v>51</v>
      </c>
      <c r="AN12" s="124">
        <f>IF($C12&gt;LOG!$F$8,0,AM11)</f>
        <v>52</v>
      </c>
      <c r="AO12" s="124">
        <f>IF($C12&gt;LOG!$F$8,0,AN11)</f>
        <v>53</v>
      </c>
      <c r="AP12" s="124">
        <f>IF($C12&gt;LOG!$F$8,0,AO11)</f>
        <v>54</v>
      </c>
      <c r="AQ12" s="124">
        <f>IF($C12&gt;LOG!$F$8,0,AP11)</f>
        <v>55</v>
      </c>
      <c r="AR12" s="124">
        <f>IF($C12&gt;LOG!$F$8,0,AQ11)</f>
        <v>56</v>
      </c>
      <c r="AS12" s="124">
        <f>IF($C12&gt;LOG!$F$8,0,AR11)</f>
        <v>57</v>
      </c>
      <c r="AT12" s="124">
        <f>IF($C12&gt;LOG!$F$8,0,AS11)</f>
        <v>58</v>
      </c>
      <c r="AU12" s="124">
        <f>IF($C12&gt;LOG!$F$8,0,AT11)</f>
        <v>59</v>
      </c>
      <c r="AV12" s="124">
        <f>IF($C12&gt;LOG!$F$8,0,AU11)</f>
        <v>60</v>
      </c>
    </row>
    <row r="13" spans="1:50" ht="12.95" customHeight="1" x14ac:dyDescent="0.2">
      <c r="B13" s="14"/>
      <c r="C13" s="372">
        <v>7</v>
      </c>
      <c r="D13" s="372"/>
      <c r="E13" s="372"/>
      <c r="F13" s="253" t="s">
        <v>492</v>
      </c>
      <c r="G13" s="253" t="s">
        <v>4</v>
      </c>
      <c r="H13" s="124"/>
      <c r="I13" s="124"/>
      <c r="J13" s="124"/>
      <c r="K13" s="124"/>
      <c r="L13" s="124"/>
      <c r="M13" s="124"/>
      <c r="N13" s="124">
        <f>IF($C13&gt;LOG!$F$8,0,M12)</f>
        <v>25</v>
      </c>
      <c r="O13" s="124">
        <f>IF($C13&gt;LOG!$F$8,0,N12)</f>
        <v>26</v>
      </c>
      <c r="P13" s="124">
        <f>IF($C13&gt;LOG!$F$8,0,O12)</f>
        <v>27</v>
      </c>
      <c r="Q13" s="124">
        <f>IF($C13&gt;LOG!$F$8,0,P12)</f>
        <v>28</v>
      </c>
      <c r="R13" s="124">
        <f>IF($C13&gt;LOG!$F$8,0,Q12)</f>
        <v>29</v>
      </c>
      <c r="S13" s="124">
        <f>IF($C13&gt;LOG!$F$8,0,R12)</f>
        <v>30</v>
      </c>
      <c r="T13" s="124">
        <f>IF($C13&gt;LOG!$F$8,0,S12)</f>
        <v>31</v>
      </c>
      <c r="U13" s="124">
        <f>IF($C13&gt;LOG!$F$8,0,T12)</f>
        <v>32</v>
      </c>
      <c r="V13" s="124">
        <f>IF($C13&gt;LOG!$F$8,0,U12)</f>
        <v>33</v>
      </c>
      <c r="W13" s="124">
        <f>IF($C13&gt;LOG!$F$8,0,V12)</f>
        <v>34</v>
      </c>
      <c r="X13" s="124">
        <f>IF($C13&gt;LOG!$F$8,0,W12)</f>
        <v>35</v>
      </c>
      <c r="Y13" s="124">
        <f>IF($C13&gt;LOG!$F$8,0,X12)</f>
        <v>36</v>
      </c>
      <c r="Z13" s="124">
        <f>IF($C13&gt;LOG!$F$8,0,Y12)</f>
        <v>37</v>
      </c>
      <c r="AA13" s="124">
        <f>IF($C13&gt;LOG!$F$8,0,Z12)</f>
        <v>38</v>
      </c>
      <c r="AB13" s="124">
        <f>IF($C13&gt;LOG!$F$8,0,AA12)</f>
        <v>39</v>
      </c>
      <c r="AC13" s="124">
        <f>IF($C13&gt;LOG!$F$8,0,AB12)</f>
        <v>40</v>
      </c>
      <c r="AD13" s="124">
        <f>IF($C13&gt;LOG!$F$8,0,AC12)</f>
        <v>41</v>
      </c>
      <c r="AE13" s="124">
        <f>IF($C13&gt;LOG!$F$8,0,AD12)</f>
        <v>42</v>
      </c>
      <c r="AF13" s="124">
        <f>IF($C13&gt;LOG!$F$8,0,AE12)</f>
        <v>43</v>
      </c>
      <c r="AG13" s="124">
        <f>IF($C13&gt;LOG!$F$8,0,AF12)</f>
        <v>44</v>
      </c>
      <c r="AH13" s="124">
        <f>IF($C13&gt;LOG!$F$8,0,AG12)</f>
        <v>45</v>
      </c>
      <c r="AI13" s="124">
        <f>IF($C13&gt;LOG!$F$8,0,AH12)</f>
        <v>46</v>
      </c>
      <c r="AJ13" s="124">
        <f>IF($C13&gt;LOG!$F$8,0,AI12)</f>
        <v>47</v>
      </c>
      <c r="AK13" s="124">
        <f>IF($C13&gt;LOG!$F$8,0,AJ12)</f>
        <v>48</v>
      </c>
      <c r="AL13" s="124">
        <f>IF($C13&gt;LOG!$F$8,0,AK12)</f>
        <v>49</v>
      </c>
      <c r="AM13" s="124">
        <f>IF($C13&gt;LOG!$F$8,0,AL12)</f>
        <v>50</v>
      </c>
      <c r="AN13" s="124">
        <f>IF($C13&gt;LOG!$F$8,0,AM12)</f>
        <v>51</v>
      </c>
      <c r="AO13" s="124">
        <f>IF($C13&gt;LOG!$F$8,0,AN12)</f>
        <v>52</v>
      </c>
      <c r="AP13" s="124">
        <f>IF($C13&gt;LOG!$F$8,0,AO12)</f>
        <v>53</v>
      </c>
      <c r="AQ13" s="124">
        <f>IF($C13&gt;LOG!$F$8,0,AP12)</f>
        <v>54</v>
      </c>
      <c r="AR13" s="124">
        <f>IF($C13&gt;LOG!$F$8,0,AQ12)</f>
        <v>55</v>
      </c>
      <c r="AS13" s="124">
        <f>IF($C13&gt;LOG!$F$8,0,AR12)</f>
        <v>56</v>
      </c>
      <c r="AT13" s="124">
        <f>IF($C13&gt;LOG!$F$8,0,AS12)</f>
        <v>57</v>
      </c>
      <c r="AU13" s="124">
        <f>IF($C13&gt;LOG!$F$8,0,AT12)</f>
        <v>58</v>
      </c>
      <c r="AV13" s="124">
        <f>IF($C13&gt;LOG!$F$8,0,AU12)</f>
        <v>59</v>
      </c>
    </row>
    <row r="14" spans="1:50" ht="12.95" customHeight="1" x14ac:dyDescent="0.2">
      <c r="B14" s="14"/>
      <c r="C14" s="372">
        <v>8</v>
      </c>
      <c r="D14" s="372"/>
      <c r="E14" s="372"/>
      <c r="F14" s="253" t="s">
        <v>492</v>
      </c>
      <c r="G14" s="253" t="s">
        <v>4</v>
      </c>
      <c r="H14" s="124"/>
      <c r="I14" s="124"/>
      <c r="J14" s="124"/>
      <c r="K14" s="124"/>
      <c r="L14" s="124"/>
      <c r="M14" s="124"/>
      <c r="N14" s="124"/>
      <c r="O14" s="124">
        <f>IF($C14&gt;LOG!$F$8,0,N13)</f>
        <v>25</v>
      </c>
      <c r="P14" s="124">
        <f>IF($C14&gt;LOG!$F$8,0,O13)</f>
        <v>26</v>
      </c>
      <c r="Q14" s="124">
        <f>IF($C14&gt;LOG!$F$8,0,P13)</f>
        <v>27</v>
      </c>
      <c r="R14" s="124">
        <f>IF($C14&gt;LOG!$F$8,0,Q13)</f>
        <v>28</v>
      </c>
      <c r="S14" s="124">
        <f>IF($C14&gt;LOG!$F$8,0,R13)</f>
        <v>29</v>
      </c>
      <c r="T14" s="124">
        <f>IF($C14&gt;LOG!$F$8,0,S13)</f>
        <v>30</v>
      </c>
      <c r="U14" s="124">
        <f>IF($C14&gt;LOG!$F$8,0,T13)</f>
        <v>31</v>
      </c>
      <c r="V14" s="124">
        <f>IF($C14&gt;LOG!$F$8,0,U13)</f>
        <v>32</v>
      </c>
      <c r="W14" s="124">
        <f>IF($C14&gt;LOG!$F$8,0,V13)</f>
        <v>33</v>
      </c>
      <c r="X14" s="124">
        <f>IF($C14&gt;LOG!$F$8,0,W13)</f>
        <v>34</v>
      </c>
      <c r="Y14" s="124">
        <f>IF($C14&gt;LOG!$F$8,0,X13)</f>
        <v>35</v>
      </c>
      <c r="Z14" s="124">
        <f>IF($C14&gt;LOG!$F$8,0,Y13)</f>
        <v>36</v>
      </c>
      <c r="AA14" s="124">
        <f>IF($C14&gt;LOG!$F$8,0,Z13)</f>
        <v>37</v>
      </c>
      <c r="AB14" s="124">
        <f>IF($C14&gt;LOG!$F$8,0,AA13)</f>
        <v>38</v>
      </c>
      <c r="AC14" s="124">
        <f>IF($C14&gt;LOG!$F$8,0,AB13)</f>
        <v>39</v>
      </c>
      <c r="AD14" s="124">
        <f>IF($C14&gt;LOG!$F$8,0,AC13)</f>
        <v>40</v>
      </c>
      <c r="AE14" s="124">
        <f>IF($C14&gt;LOG!$F$8,0,AD13)</f>
        <v>41</v>
      </c>
      <c r="AF14" s="124">
        <f>IF($C14&gt;LOG!$F$8,0,AE13)</f>
        <v>42</v>
      </c>
      <c r="AG14" s="124">
        <f>IF($C14&gt;LOG!$F$8,0,AF13)</f>
        <v>43</v>
      </c>
      <c r="AH14" s="124">
        <f>IF($C14&gt;LOG!$F$8,0,AG13)</f>
        <v>44</v>
      </c>
      <c r="AI14" s="124">
        <f>IF($C14&gt;LOG!$F$8,0,AH13)</f>
        <v>45</v>
      </c>
      <c r="AJ14" s="124">
        <f>IF($C14&gt;LOG!$F$8,0,AI13)</f>
        <v>46</v>
      </c>
      <c r="AK14" s="124">
        <f>IF($C14&gt;LOG!$F$8,0,AJ13)</f>
        <v>47</v>
      </c>
      <c r="AL14" s="124">
        <f>IF($C14&gt;LOG!$F$8,0,AK13)</f>
        <v>48</v>
      </c>
      <c r="AM14" s="124">
        <f>IF($C14&gt;LOG!$F$8,0,AL13)</f>
        <v>49</v>
      </c>
      <c r="AN14" s="124">
        <f>IF($C14&gt;LOG!$F$8,0,AM13)</f>
        <v>50</v>
      </c>
      <c r="AO14" s="124">
        <f>IF($C14&gt;LOG!$F$8,0,AN13)</f>
        <v>51</v>
      </c>
      <c r="AP14" s="124">
        <f>IF($C14&gt;LOG!$F$8,0,AO13)</f>
        <v>52</v>
      </c>
      <c r="AQ14" s="124">
        <f>IF($C14&gt;LOG!$F$8,0,AP13)</f>
        <v>53</v>
      </c>
      <c r="AR14" s="124">
        <f>IF($C14&gt;LOG!$F$8,0,AQ13)</f>
        <v>54</v>
      </c>
      <c r="AS14" s="124">
        <f>IF($C14&gt;LOG!$F$8,0,AR13)</f>
        <v>55</v>
      </c>
      <c r="AT14" s="124">
        <f>IF($C14&gt;LOG!$F$8,0,AS13)</f>
        <v>56</v>
      </c>
      <c r="AU14" s="124">
        <f>IF($C14&gt;LOG!$F$8,0,AT13)</f>
        <v>57</v>
      </c>
      <c r="AV14" s="124">
        <f>IF($C14&gt;LOG!$F$8,0,AU13)</f>
        <v>58</v>
      </c>
    </row>
    <row r="15" spans="1:50" ht="12.95" customHeight="1" x14ac:dyDescent="0.2">
      <c r="B15" s="14"/>
      <c r="C15" s="372">
        <v>9</v>
      </c>
      <c r="D15" s="372"/>
      <c r="E15" s="372"/>
      <c r="F15" s="253" t="s">
        <v>492</v>
      </c>
      <c r="G15" s="253" t="s">
        <v>4</v>
      </c>
      <c r="H15" s="124"/>
      <c r="I15" s="124"/>
      <c r="J15" s="124"/>
      <c r="K15" s="124"/>
      <c r="L15" s="124"/>
      <c r="M15" s="124"/>
      <c r="N15" s="124"/>
      <c r="O15" s="124"/>
      <c r="P15" s="124">
        <f>IF($C15&gt;LOG!$F$8,0,O14)</f>
        <v>25</v>
      </c>
      <c r="Q15" s="124">
        <f>IF($C15&gt;LOG!$F$8,0,P14)</f>
        <v>26</v>
      </c>
      <c r="R15" s="124">
        <f>IF($C15&gt;LOG!$F$8,0,Q14)</f>
        <v>27</v>
      </c>
      <c r="S15" s="124">
        <f>IF($C15&gt;LOG!$F$8,0,R14)</f>
        <v>28</v>
      </c>
      <c r="T15" s="124">
        <f>IF($C15&gt;LOG!$F$8,0,S14)</f>
        <v>29</v>
      </c>
      <c r="U15" s="124">
        <f>IF($C15&gt;LOG!$F$8,0,T14)</f>
        <v>30</v>
      </c>
      <c r="V15" s="124">
        <f>IF($C15&gt;LOG!$F$8,0,U14)</f>
        <v>31</v>
      </c>
      <c r="W15" s="124">
        <f>IF($C15&gt;LOG!$F$8,0,V14)</f>
        <v>32</v>
      </c>
      <c r="X15" s="124">
        <f>IF($C15&gt;LOG!$F$8,0,W14)</f>
        <v>33</v>
      </c>
      <c r="Y15" s="124">
        <f>IF($C15&gt;LOG!$F$8,0,X14)</f>
        <v>34</v>
      </c>
      <c r="Z15" s="124">
        <f>IF($C15&gt;LOG!$F$8,0,Y14)</f>
        <v>35</v>
      </c>
      <c r="AA15" s="124">
        <f>IF($C15&gt;LOG!$F$8,0,Z14)</f>
        <v>36</v>
      </c>
      <c r="AB15" s="124">
        <f>IF($C15&gt;LOG!$F$8,0,AA14)</f>
        <v>37</v>
      </c>
      <c r="AC15" s="124">
        <f>IF($C15&gt;LOG!$F$8,0,AB14)</f>
        <v>38</v>
      </c>
      <c r="AD15" s="124">
        <f>IF($C15&gt;LOG!$F$8,0,AC14)</f>
        <v>39</v>
      </c>
      <c r="AE15" s="124">
        <f>IF($C15&gt;LOG!$F$8,0,AD14)</f>
        <v>40</v>
      </c>
      <c r="AF15" s="124">
        <f>IF($C15&gt;LOG!$F$8,0,AE14)</f>
        <v>41</v>
      </c>
      <c r="AG15" s="124">
        <f>IF($C15&gt;LOG!$F$8,0,AF14)</f>
        <v>42</v>
      </c>
      <c r="AH15" s="124">
        <f>IF($C15&gt;LOG!$F$8,0,AG14)</f>
        <v>43</v>
      </c>
      <c r="AI15" s="124">
        <f>IF($C15&gt;LOG!$F$8,0,AH14)</f>
        <v>44</v>
      </c>
      <c r="AJ15" s="124">
        <f>IF($C15&gt;LOG!$F$8,0,AI14)</f>
        <v>45</v>
      </c>
      <c r="AK15" s="124">
        <f>IF($C15&gt;LOG!$F$8,0,AJ14)</f>
        <v>46</v>
      </c>
      <c r="AL15" s="124">
        <f>IF($C15&gt;LOG!$F$8,0,AK14)</f>
        <v>47</v>
      </c>
      <c r="AM15" s="124">
        <f>IF($C15&gt;LOG!$F$8,0,AL14)</f>
        <v>48</v>
      </c>
      <c r="AN15" s="124">
        <f>IF($C15&gt;LOG!$F$8,0,AM14)</f>
        <v>49</v>
      </c>
      <c r="AO15" s="124">
        <f>IF($C15&gt;LOG!$F$8,0,AN14)</f>
        <v>50</v>
      </c>
      <c r="AP15" s="124">
        <f>IF($C15&gt;LOG!$F$8,0,AO14)</f>
        <v>51</v>
      </c>
      <c r="AQ15" s="124">
        <f>IF($C15&gt;LOG!$F$8,0,AP14)</f>
        <v>52</v>
      </c>
      <c r="AR15" s="124">
        <f>IF($C15&gt;LOG!$F$8,0,AQ14)</f>
        <v>53</v>
      </c>
      <c r="AS15" s="124">
        <f>IF($C15&gt;LOG!$F$8,0,AR14)</f>
        <v>54</v>
      </c>
      <c r="AT15" s="124">
        <f>IF($C15&gt;LOG!$F$8,0,AS14)</f>
        <v>55</v>
      </c>
      <c r="AU15" s="124">
        <f>IF($C15&gt;LOG!$F$8,0,AT14)</f>
        <v>56</v>
      </c>
      <c r="AV15" s="124">
        <f>IF($C15&gt;LOG!$F$8,0,AU14)</f>
        <v>57</v>
      </c>
    </row>
    <row r="16" spans="1:50" ht="12.95" customHeight="1" x14ac:dyDescent="0.2">
      <c r="B16" s="14"/>
      <c r="C16" s="372">
        <v>10</v>
      </c>
      <c r="D16" s="372"/>
      <c r="E16" s="372"/>
      <c r="F16" s="253" t="s">
        <v>492</v>
      </c>
      <c r="G16" s="253" t="s">
        <v>4</v>
      </c>
      <c r="H16" s="124"/>
      <c r="I16" s="124"/>
      <c r="J16" s="124"/>
      <c r="K16" s="124"/>
      <c r="L16" s="124"/>
      <c r="M16" s="124"/>
      <c r="N16" s="124"/>
      <c r="O16" s="124"/>
      <c r="P16" s="124"/>
      <c r="Q16" s="124">
        <f>IF($C16&gt;LOG!$F$8,0,P15)</f>
        <v>25</v>
      </c>
      <c r="R16" s="124">
        <f>IF($C16&gt;LOG!$F$8,0,Q15)</f>
        <v>26</v>
      </c>
      <c r="S16" s="124">
        <f>IF($C16&gt;LOG!$F$8,0,R15)</f>
        <v>27</v>
      </c>
      <c r="T16" s="124">
        <f>IF($C16&gt;LOG!$F$8,0,S15)</f>
        <v>28</v>
      </c>
      <c r="U16" s="124">
        <f>IF($C16&gt;LOG!$F$8,0,T15)</f>
        <v>29</v>
      </c>
      <c r="V16" s="124">
        <f>IF($C16&gt;LOG!$F$8,0,U15)</f>
        <v>30</v>
      </c>
      <c r="W16" s="124">
        <f>IF($C16&gt;LOG!$F$8,0,V15)</f>
        <v>31</v>
      </c>
      <c r="X16" s="124">
        <f>IF($C16&gt;LOG!$F$8,0,W15)</f>
        <v>32</v>
      </c>
      <c r="Y16" s="124">
        <f>IF($C16&gt;LOG!$F$8,0,X15)</f>
        <v>33</v>
      </c>
      <c r="Z16" s="124">
        <f>IF($C16&gt;LOG!$F$8,0,Y15)</f>
        <v>34</v>
      </c>
      <c r="AA16" s="124">
        <f>IF($C16&gt;LOG!$F$8,0,Z15)</f>
        <v>35</v>
      </c>
      <c r="AB16" s="124">
        <f>IF($C16&gt;LOG!$F$8,0,AA15)</f>
        <v>36</v>
      </c>
      <c r="AC16" s="124">
        <f>IF($C16&gt;LOG!$F$8,0,AB15)</f>
        <v>37</v>
      </c>
      <c r="AD16" s="124">
        <f>IF($C16&gt;LOG!$F$8,0,AC15)</f>
        <v>38</v>
      </c>
      <c r="AE16" s="124">
        <f>IF($C16&gt;LOG!$F$8,0,AD15)</f>
        <v>39</v>
      </c>
      <c r="AF16" s="124">
        <f>IF($C16&gt;LOG!$F$8,0,AE15)</f>
        <v>40</v>
      </c>
      <c r="AG16" s="124">
        <f>IF($C16&gt;LOG!$F$8,0,AF15)</f>
        <v>41</v>
      </c>
      <c r="AH16" s="124">
        <f>IF($C16&gt;LOG!$F$8,0,AG15)</f>
        <v>42</v>
      </c>
      <c r="AI16" s="124">
        <f>IF($C16&gt;LOG!$F$8,0,AH15)</f>
        <v>43</v>
      </c>
      <c r="AJ16" s="124">
        <f>IF($C16&gt;LOG!$F$8,0,AI15)</f>
        <v>44</v>
      </c>
      <c r="AK16" s="124">
        <f>IF($C16&gt;LOG!$F$8,0,AJ15)</f>
        <v>45</v>
      </c>
      <c r="AL16" s="124">
        <f>IF($C16&gt;LOG!$F$8,0,AK15)</f>
        <v>46</v>
      </c>
      <c r="AM16" s="124">
        <f>IF($C16&gt;LOG!$F$8,0,AL15)</f>
        <v>47</v>
      </c>
      <c r="AN16" s="124">
        <f>IF($C16&gt;LOG!$F$8,0,AM15)</f>
        <v>48</v>
      </c>
      <c r="AO16" s="124">
        <f>IF($C16&gt;LOG!$F$8,0,AN15)</f>
        <v>49</v>
      </c>
      <c r="AP16" s="124">
        <f>IF($C16&gt;LOG!$F$8,0,AO15)</f>
        <v>50</v>
      </c>
      <c r="AQ16" s="124">
        <f>IF($C16&gt;LOG!$F$8,0,AP15)</f>
        <v>51</v>
      </c>
      <c r="AR16" s="124">
        <f>IF($C16&gt;LOG!$F$8,0,AQ15)</f>
        <v>52</v>
      </c>
      <c r="AS16" s="124">
        <f>IF($C16&gt;LOG!$F$8,0,AR15)</f>
        <v>53</v>
      </c>
      <c r="AT16" s="124">
        <f>IF($C16&gt;LOG!$F$8,0,AS15)</f>
        <v>54</v>
      </c>
      <c r="AU16" s="124">
        <f>IF($C16&gt;LOG!$F$8,0,AT15)</f>
        <v>55</v>
      </c>
      <c r="AV16" s="124">
        <f>IF($C16&gt;LOG!$F$8,0,AU15)</f>
        <v>56</v>
      </c>
    </row>
    <row r="17" spans="2:48" ht="12.95" customHeight="1" x14ac:dyDescent="0.2">
      <c r="B17" s="14"/>
      <c r="C17" s="372">
        <v>11</v>
      </c>
      <c r="D17" s="372"/>
      <c r="E17" s="372"/>
      <c r="F17" s="253" t="s">
        <v>492</v>
      </c>
      <c r="G17" s="253" t="s">
        <v>4</v>
      </c>
      <c r="H17" s="124"/>
      <c r="I17" s="124"/>
      <c r="J17" s="124"/>
      <c r="K17" s="124"/>
      <c r="L17" s="124"/>
      <c r="M17" s="124"/>
      <c r="N17" s="124"/>
      <c r="O17" s="124"/>
      <c r="P17" s="124"/>
      <c r="Q17" s="124"/>
      <c r="R17" s="124">
        <f>IF($C17&gt;LOG!$F$8,0,Q16)</f>
        <v>25</v>
      </c>
      <c r="S17" s="124">
        <f>IF($C17&gt;LOG!$F$8,0,R16)</f>
        <v>26</v>
      </c>
      <c r="T17" s="124">
        <f>IF($C17&gt;LOG!$F$8,0,S16)</f>
        <v>27</v>
      </c>
      <c r="U17" s="124">
        <f>IF($C17&gt;LOG!$F$8,0,T16)</f>
        <v>28</v>
      </c>
      <c r="V17" s="124">
        <f>IF($C17&gt;LOG!$F$8,0,U16)</f>
        <v>29</v>
      </c>
      <c r="W17" s="124">
        <f>IF($C17&gt;LOG!$F$8,0,V16)</f>
        <v>30</v>
      </c>
      <c r="X17" s="124">
        <f>IF($C17&gt;LOG!$F$8,0,W16)</f>
        <v>31</v>
      </c>
      <c r="Y17" s="124">
        <f>IF($C17&gt;LOG!$F$8,0,X16)</f>
        <v>32</v>
      </c>
      <c r="Z17" s="124">
        <f>IF($C17&gt;LOG!$F$8,0,Y16)</f>
        <v>33</v>
      </c>
      <c r="AA17" s="124">
        <f>IF($C17&gt;LOG!$F$8,0,Z16)</f>
        <v>34</v>
      </c>
      <c r="AB17" s="124">
        <f>IF($C17&gt;LOG!$F$8,0,AA16)</f>
        <v>35</v>
      </c>
      <c r="AC17" s="124">
        <f>IF($C17&gt;LOG!$F$8,0,AB16)</f>
        <v>36</v>
      </c>
      <c r="AD17" s="124">
        <f>IF($C17&gt;LOG!$F$8,0,AC16)</f>
        <v>37</v>
      </c>
      <c r="AE17" s="124">
        <f>IF($C17&gt;LOG!$F$8,0,AD16)</f>
        <v>38</v>
      </c>
      <c r="AF17" s="124">
        <f>IF($C17&gt;LOG!$F$8,0,AE16)</f>
        <v>39</v>
      </c>
      <c r="AG17" s="124">
        <f>IF($C17&gt;LOG!$F$8,0,AF16)</f>
        <v>40</v>
      </c>
      <c r="AH17" s="124">
        <f>IF($C17&gt;LOG!$F$8,0,AG16)</f>
        <v>41</v>
      </c>
      <c r="AI17" s="124">
        <f>IF($C17&gt;LOG!$F$8,0,AH16)</f>
        <v>42</v>
      </c>
      <c r="AJ17" s="124">
        <f>IF($C17&gt;LOG!$F$8,0,AI16)</f>
        <v>43</v>
      </c>
      <c r="AK17" s="124">
        <f>IF($C17&gt;LOG!$F$8,0,AJ16)</f>
        <v>44</v>
      </c>
      <c r="AL17" s="124">
        <f>IF($C17&gt;LOG!$F$8,0,AK16)</f>
        <v>45</v>
      </c>
      <c r="AM17" s="124">
        <f>IF($C17&gt;LOG!$F$8,0,AL16)</f>
        <v>46</v>
      </c>
      <c r="AN17" s="124">
        <f>IF($C17&gt;LOG!$F$8,0,AM16)</f>
        <v>47</v>
      </c>
      <c r="AO17" s="124">
        <f>IF($C17&gt;LOG!$F$8,0,AN16)</f>
        <v>48</v>
      </c>
      <c r="AP17" s="124">
        <f>IF($C17&gt;LOG!$F$8,0,AO16)</f>
        <v>49</v>
      </c>
      <c r="AQ17" s="124">
        <f>IF($C17&gt;LOG!$F$8,0,AP16)</f>
        <v>50</v>
      </c>
      <c r="AR17" s="124">
        <f>IF($C17&gt;LOG!$F$8,0,AQ16)</f>
        <v>51</v>
      </c>
      <c r="AS17" s="124">
        <f>IF($C17&gt;LOG!$F$8,0,AR16)</f>
        <v>52</v>
      </c>
      <c r="AT17" s="124">
        <f>IF($C17&gt;LOG!$F$8,0,AS16)</f>
        <v>53</v>
      </c>
      <c r="AU17" s="124">
        <f>IF($C17&gt;LOG!$F$8,0,AT16)</f>
        <v>54</v>
      </c>
      <c r="AV17" s="124">
        <f>IF($C17&gt;LOG!$F$8,0,AU16)</f>
        <v>55</v>
      </c>
    </row>
    <row r="18" spans="2:48" ht="12.95" customHeight="1" x14ac:dyDescent="0.2">
      <c r="B18" s="14"/>
      <c r="C18" s="372">
        <v>12</v>
      </c>
      <c r="D18" s="372"/>
      <c r="E18" s="372"/>
      <c r="F18" s="253" t="s">
        <v>492</v>
      </c>
      <c r="G18" s="253" t="s">
        <v>4</v>
      </c>
      <c r="H18" s="124"/>
      <c r="I18" s="124"/>
      <c r="J18" s="124"/>
      <c r="K18" s="124"/>
      <c r="L18" s="124"/>
      <c r="M18" s="124"/>
      <c r="N18" s="124"/>
      <c r="O18" s="124"/>
      <c r="P18" s="124"/>
      <c r="Q18" s="124"/>
      <c r="R18" s="124"/>
      <c r="S18" s="124">
        <f>IF($C18&gt;LOG!$F$8,0,R17)</f>
        <v>25</v>
      </c>
      <c r="T18" s="124">
        <f>IF($C18&gt;LOG!$F$8,0,S17)</f>
        <v>26</v>
      </c>
      <c r="U18" s="124">
        <f>IF($C18&gt;LOG!$F$8,0,T17)</f>
        <v>27</v>
      </c>
      <c r="V18" s="124">
        <f>IF($C18&gt;LOG!$F$8,0,U17)</f>
        <v>28</v>
      </c>
      <c r="W18" s="124">
        <f>IF($C18&gt;LOG!$F$8,0,V17)</f>
        <v>29</v>
      </c>
      <c r="X18" s="124">
        <f>IF($C18&gt;LOG!$F$8,0,W17)</f>
        <v>30</v>
      </c>
      <c r="Y18" s="124">
        <f>IF($C18&gt;LOG!$F$8,0,X17)</f>
        <v>31</v>
      </c>
      <c r="Z18" s="124">
        <f>IF($C18&gt;LOG!$F$8,0,Y17)</f>
        <v>32</v>
      </c>
      <c r="AA18" s="124">
        <f>IF($C18&gt;LOG!$F$8,0,Z17)</f>
        <v>33</v>
      </c>
      <c r="AB18" s="124">
        <f>IF($C18&gt;LOG!$F$8,0,AA17)</f>
        <v>34</v>
      </c>
      <c r="AC18" s="124">
        <f>IF($C18&gt;LOG!$F$8,0,AB17)</f>
        <v>35</v>
      </c>
      <c r="AD18" s="124">
        <f>IF($C18&gt;LOG!$F$8,0,AC17)</f>
        <v>36</v>
      </c>
      <c r="AE18" s="124">
        <f>IF($C18&gt;LOG!$F$8,0,AD17)</f>
        <v>37</v>
      </c>
      <c r="AF18" s="124">
        <f>IF($C18&gt;LOG!$F$8,0,AE17)</f>
        <v>38</v>
      </c>
      <c r="AG18" s="124">
        <f>IF($C18&gt;LOG!$F$8,0,AF17)</f>
        <v>39</v>
      </c>
      <c r="AH18" s="124">
        <f>IF($C18&gt;LOG!$F$8,0,AG17)</f>
        <v>40</v>
      </c>
      <c r="AI18" s="124">
        <f>IF($C18&gt;LOG!$F$8,0,AH17)</f>
        <v>41</v>
      </c>
      <c r="AJ18" s="124">
        <f>IF($C18&gt;LOG!$F$8,0,AI17)</f>
        <v>42</v>
      </c>
      <c r="AK18" s="124">
        <f>IF($C18&gt;LOG!$F$8,0,AJ17)</f>
        <v>43</v>
      </c>
      <c r="AL18" s="124">
        <f>IF($C18&gt;LOG!$F$8,0,AK17)</f>
        <v>44</v>
      </c>
      <c r="AM18" s="124">
        <f>IF($C18&gt;LOG!$F$8,0,AL17)</f>
        <v>45</v>
      </c>
      <c r="AN18" s="124">
        <f>IF($C18&gt;LOG!$F$8,0,AM17)</f>
        <v>46</v>
      </c>
      <c r="AO18" s="124">
        <f>IF($C18&gt;LOG!$F$8,0,AN17)</f>
        <v>47</v>
      </c>
      <c r="AP18" s="124">
        <f>IF($C18&gt;LOG!$F$8,0,AO17)</f>
        <v>48</v>
      </c>
      <c r="AQ18" s="124">
        <f>IF($C18&gt;LOG!$F$8,0,AP17)</f>
        <v>49</v>
      </c>
      <c r="AR18" s="124">
        <f>IF($C18&gt;LOG!$F$8,0,AQ17)</f>
        <v>50</v>
      </c>
      <c r="AS18" s="124">
        <f>IF($C18&gt;LOG!$F$8,0,AR17)</f>
        <v>51</v>
      </c>
      <c r="AT18" s="124">
        <f>IF($C18&gt;LOG!$F$8,0,AS17)</f>
        <v>52</v>
      </c>
      <c r="AU18" s="124">
        <f>IF($C18&gt;LOG!$F$8,0,AT17)</f>
        <v>53</v>
      </c>
      <c r="AV18" s="124">
        <f>IF($C18&gt;LOG!$F$8,0,AU17)</f>
        <v>54</v>
      </c>
    </row>
    <row r="19" spans="2:48" ht="12.95" customHeight="1" x14ac:dyDescent="0.2">
      <c r="B19" s="14"/>
      <c r="C19" s="372">
        <v>13</v>
      </c>
      <c r="D19" s="372"/>
      <c r="E19" s="372"/>
      <c r="F19" s="253" t="s">
        <v>492</v>
      </c>
      <c r="G19" s="253" t="s">
        <v>4</v>
      </c>
      <c r="H19" s="124"/>
      <c r="I19" s="124"/>
      <c r="J19" s="124"/>
      <c r="K19" s="124"/>
      <c r="L19" s="124"/>
      <c r="M19" s="124"/>
      <c r="N19" s="124"/>
      <c r="O19" s="124"/>
      <c r="P19" s="124"/>
      <c r="Q19" s="124"/>
      <c r="R19" s="124"/>
      <c r="S19" s="124"/>
      <c r="T19" s="124">
        <f>IF($C19&gt;LOG!$F$8,0,S18)</f>
        <v>25</v>
      </c>
      <c r="U19" s="124">
        <f>IF($C19&gt;LOG!$F$8,0,T18)</f>
        <v>26</v>
      </c>
      <c r="V19" s="124">
        <f>IF($C19&gt;LOG!$F$8,0,U18)</f>
        <v>27</v>
      </c>
      <c r="W19" s="124">
        <f>IF($C19&gt;LOG!$F$8,0,V18)</f>
        <v>28</v>
      </c>
      <c r="X19" s="124">
        <f>IF($C19&gt;LOG!$F$8,0,W18)</f>
        <v>29</v>
      </c>
      <c r="Y19" s="124">
        <f>IF($C19&gt;LOG!$F$8,0,X18)</f>
        <v>30</v>
      </c>
      <c r="Z19" s="124">
        <f>IF($C19&gt;LOG!$F$8,0,Y18)</f>
        <v>31</v>
      </c>
      <c r="AA19" s="124">
        <f>IF($C19&gt;LOG!$F$8,0,Z18)</f>
        <v>32</v>
      </c>
      <c r="AB19" s="124">
        <f>IF($C19&gt;LOG!$F$8,0,AA18)</f>
        <v>33</v>
      </c>
      <c r="AC19" s="124">
        <f>IF($C19&gt;LOG!$F$8,0,AB18)</f>
        <v>34</v>
      </c>
      <c r="AD19" s="124">
        <f>IF($C19&gt;LOG!$F$8,0,AC18)</f>
        <v>35</v>
      </c>
      <c r="AE19" s="124">
        <f>IF($C19&gt;LOG!$F$8,0,AD18)</f>
        <v>36</v>
      </c>
      <c r="AF19" s="124">
        <f>IF($C19&gt;LOG!$F$8,0,AE18)</f>
        <v>37</v>
      </c>
      <c r="AG19" s="124">
        <f>IF($C19&gt;LOG!$F$8,0,AF18)</f>
        <v>38</v>
      </c>
      <c r="AH19" s="124">
        <f>IF($C19&gt;LOG!$F$8,0,AG18)</f>
        <v>39</v>
      </c>
      <c r="AI19" s="124">
        <f>IF($C19&gt;LOG!$F$8,0,AH18)</f>
        <v>40</v>
      </c>
      <c r="AJ19" s="124">
        <f>IF($C19&gt;LOG!$F$8,0,AI18)</f>
        <v>41</v>
      </c>
      <c r="AK19" s="124">
        <f>IF($C19&gt;LOG!$F$8,0,AJ18)</f>
        <v>42</v>
      </c>
      <c r="AL19" s="124">
        <f>IF($C19&gt;LOG!$F$8,0,AK18)</f>
        <v>43</v>
      </c>
      <c r="AM19" s="124">
        <f>IF($C19&gt;LOG!$F$8,0,AL18)</f>
        <v>44</v>
      </c>
      <c r="AN19" s="124">
        <f>IF($C19&gt;LOG!$F$8,0,AM18)</f>
        <v>45</v>
      </c>
      <c r="AO19" s="124">
        <f>IF($C19&gt;LOG!$F$8,0,AN18)</f>
        <v>46</v>
      </c>
      <c r="AP19" s="124">
        <f>IF($C19&gt;LOG!$F$8,0,AO18)</f>
        <v>47</v>
      </c>
      <c r="AQ19" s="124">
        <f>IF($C19&gt;LOG!$F$8,0,AP18)</f>
        <v>48</v>
      </c>
      <c r="AR19" s="124">
        <f>IF($C19&gt;LOG!$F$8,0,AQ18)</f>
        <v>49</v>
      </c>
      <c r="AS19" s="124">
        <f>IF($C19&gt;LOG!$F$8,0,AR18)</f>
        <v>50</v>
      </c>
      <c r="AT19" s="124">
        <f>IF($C19&gt;LOG!$F$8,0,AS18)</f>
        <v>51</v>
      </c>
      <c r="AU19" s="124">
        <f>IF($C19&gt;LOG!$F$8,0,AT18)</f>
        <v>52</v>
      </c>
      <c r="AV19" s="124">
        <f>IF($C19&gt;LOG!$F$8,0,AU18)</f>
        <v>53</v>
      </c>
    </row>
    <row r="20" spans="2:48" ht="12.95" customHeight="1" x14ac:dyDescent="0.2">
      <c r="B20" s="14"/>
      <c r="C20" s="372">
        <v>14</v>
      </c>
      <c r="D20" s="372"/>
      <c r="E20" s="372"/>
      <c r="F20" s="253" t="s">
        <v>492</v>
      </c>
      <c r="G20" s="253" t="s">
        <v>4</v>
      </c>
      <c r="H20" s="124"/>
      <c r="I20" s="124"/>
      <c r="J20" s="124"/>
      <c r="K20" s="124"/>
      <c r="L20" s="124"/>
      <c r="M20" s="124"/>
      <c r="N20" s="124"/>
      <c r="O20" s="124"/>
      <c r="P20" s="124"/>
      <c r="Q20" s="124"/>
      <c r="R20" s="124"/>
      <c r="S20" s="124"/>
      <c r="T20" s="124"/>
      <c r="U20" s="124">
        <f>IF($C20&gt;LOG!$F$8,0,T19)</f>
        <v>25</v>
      </c>
      <c r="V20" s="124">
        <f>IF($C20&gt;LOG!$F$8,0,U19)</f>
        <v>26</v>
      </c>
      <c r="W20" s="124">
        <f>IF($C20&gt;LOG!$F$8,0,V19)</f>
        <v>27</v>
      </c>
      <c r="X20" s="124">
        <f>IF($C20&gt;LOG!$F$8,0,W19)</f>
        <v>28</v>
      </c>
      <c r="Y20" s="124">
        <f>IF($C20&gt;LOG!$F$8,0,X19)</f>
        <v>29</v>
      </c>
      <c r="Z20" s="124">
        <f>IF($C20&gt;LOG!$F$8,0,Y19)</f>
        <v>30</v>
      </c>
      <c r="AA20" s="124">
        <f>IF($C20&gt;LOG!$F$8,0,Z19)</f>
        <v>31</v>
      </c>
      <c r="AB20" s="124">
        <f>IF($C20&gt;LOG!$F$8,0,AA19)</f>
        <v>32</v>
      </c>
      <c r="AC20" s="124">
        <f>IF($C20&gt;LOG!$F$8,0,AB19)</f>
        <v>33</v>
      </c>
      <c r="AD20" s="124">
        <f>IF($C20&gt;LOG!$F$8,0,AC19)</f>
        <v>34</v>
      </c>
      <c r="AE20" s="124">
        <f>IF($C20&gt;LOG!$F$8,0,AD19)</f>
        <v>35</v>
      </c>
      <c r="AF20" s="124">
        <f>IF($C20&gt;LOG!$F$8,0,AE19)</f>
        <v>36</v>
      </c>
      <c r="AG20" s="124">
        <f>IF($C20&gt;LOG!$F$8,0,AF19)</f>
        <v>37</v>
      </c>
      <c r="AH20" s="124">
        <f>IF($C20&gt;LOG!$F$8,0,AG19)</f>
        <v>38</v>
      </c>
      <c r="AI20" s="124">
        <f>IF($C20&gt;LOG!$F$8,0,AH19)</f>
        <v>39</v>
      </c>
      <c r="AJ20" s="124">
        <f>IF($C20&gt;LOG!$F$8,0,AI19)</f>
        <v>40</v>
      </c>
      <c r="AK20" s="124">
        <f>IF($C20&gt;LOG!$F$8,0,AJ19)</f>
        <v>41</v>
      </c>
      <c r="AL20" s="124">
        <f>IF($C20&gt;LOG!$F$8,0,AK19)</f>
        <v>42</v>
      </c>
      <c r="AM20" s="124">
        <f>IF($C20&gt;LOG!$F$8,0,AL19)</f>
        <v>43</v>
      </c>
      <c r="AN20" s="124">
        <f>IF($C20&gt;LOG!$F$8,0,AM19)</f>
        <v>44</v>
      </c>
      <c r="AO20" s="124">
        <f>IF($C20&gt;LOG!$F$8,0,AN19)</f>
        <v>45</v>
      </c>
      <c r="AP20" s="124">
        <f>IF($C20&gt;LOG!$F$8,0,AO19)</f>
        <v>46</v>
      </c>
      <c r="AQ20" s="124">
        <f>IF($C20&gt;LOG!$F$8,0,AP19)</f>
        <v>47</v>
      </c>
      <c r="AR20" s="124">
        <f>IF($C20&gt;LOG!$F$8,0,AQ19)</f>
        <v>48</v>
      </c>
      <c r="AS20" s="124">
        <f>IF($C20&gt;LOG!$F$8,0,AR19)</f>
        <v>49</v>
      </c>
      <c r="AT20" s="124">
        <f>IF($C20&gt;LOG!$F$8,0,AS19)</f>
        <v>50</v>
      </c>
      <c r="AU20" s="124">
        <f>IF($C20&gt;LOG!$F$8,0,AT19)</f>
        <v>51</v>
      </c>
      <c r="AV20" s="124">
        <f>IF($C20&gt;LOG!$F$8,0,AU19)</f>
        <v>52</v>
      </c>
    </row>
    <row r="21" spans="2:48" ht="12.95" customHeight="1" x14ac:dyDescent="0.2">
      <c r="B21" s="14"/>
      <c r="C21" s="372">
        <v>15</v>
      </c>
      <c r="D21" s="372"/>
      <c r="E21" s="372"/>
      <c r="F21" s="253" t="s">
        <v>492</v>
      </c>
      <c r="G21" s="253" t="s">
        <v>4</v>
      </c>
      <c r="H21" s="124"/>
      <c r="I21" s="124"/>
      <c r="J21" s="124"/>
      <c r="K21" s="124"/>
      <c r="L21" s="124"/>
      <c r="M21" s="124"/>
      <c r="N21" s="124"/>
      <c r="O21" s="124"/>
      <c r="P21" s="124"/>
      <c r="Q21" s="124"/>
      <c r="R21" s="124"/>
      <c r="S21" s="124"/>
      <c r="T21" s="124"/>
      <c r="U21" s="124"/>
      <c r="V21" s="124">
        <f>IF($C21&gt;LOG!$F$8,0,U20)</f>
        <v>25</v>
      </c>
      <c r="W21" s="124">
        <f>IF($C21&gt;LOG!$F$8,0,V20)</f>
        <v>26</v>
      </c>
      <c r="X21" s="124">
        <f>IF($C21&gt;LOG!$F$8,0,W20)</f>
        <v>27</v>
      </c>
      <c r="Y21" s="124">
        <f>IF($C21&gt;LOG!$F$8,0,X20)</f>
        <v>28</v>
      </c>
      <c r="Z21" s="124">
        <f>IF($C21&gt;LOG!$F$8,0,Y20)</f>
        <v>29</v>
      </c>
      <c r="AA21" s="124">
        <f>IF($C21&gt;LOG!$F$8,0,Z20)</f>
        <v>30</v>
      </c>
      <c r="AB21" s="124">
        <f>IF($C21&gt;LOG!$F$8,0,AA20)</f>
        <v>31</v>
      </c>
      <c r="AC21" s="124">
        <f>IF($C21&gt;LOG!$F$8,0,AB20)</f>
        <v>32</v>
      </c>
      <c r="AD21" s="124">
        <f>IF($C21&gt;LOG!$F$8,0,AC20)</f>
        <v>33</v>
      </c>
      <c r="AE21" s="124">
        <f>IF($C21&gt;LOG!$F$8,0,AD20)</f>
        <v>34</v>
      </c>
      <c r="AF21" s="124">
        <f>IF($C21&gt;LOG!$F$8,0,AE20)</f>
        <v>35</v>
      </c>
      <c r="AG21" s="124">
        <f>IF($C21&gt;LOG!$F$8,0,AF20)</f>
        <v>36</v>
      </c>
      <c r="AH21" s="124">
        <f>IF($C21&gt;LOG!$F$8,0,AG20)</f>
        <v>37</v>
      </c>
      <c r="AI21" s="124">
        <f>IF($C21&gt;LOG!$F$8,0,AH20)</f>
        <v>38</v>
      </c>
      <c r="AJ21" s="124">
        <f>IF($C21&gt;LOG!$F$8,0,AI20)</f>
        <v>39</v>
      </c>
      <c r="AK21" s="124">
        <f>IF($C21&gt;LOG!$F$8,0,AJ20)</f>
        <v>40</v>
      </c>
      <c r="AL21" s="124">
        <f>IF($C21&gt;LOG!$F$8,0,AK20)</f>
        <v>41</v>
      </c>
      <c r="AM21" s="124">
        <f>IF($C21&gt;LOG!$F$8,0,AL20)</f>
        <v>42</v>
      </c>
      <c r="AN21" s="124">
        <f>IF($C21&gt;LOG!$F$8,0,AM20)</f>
        <v>43</v>
      </c>
      <c r="AO21" s="124">
        <f>IF($C21&gt;LOG!$F$8,0,AN20)</f>
        <v>44</v>
      </c>
      <c r="AP21" s="124">
        <f>IF($C21&gt;LOG!$F$8,0,AO20)</f>
        <v>45</v>
      </c>
      <c r="AQ21" s="124">
        <f>IF($C21&gt;LOG!$F$8,0,AP20)</f>
        <v>46</v>
      </c>
      <c r="AR21" s="124">
        <f>IF($C21&gt;LOG!$F$8,0,AQ20)</f>
        <v>47</v>
      </c>
      <c r="AS21" s="124">
        <f>IF($C21&gt;LOG!$F$8,0,AR20)</f>
        <v>48</v>
      </c>
      <c r="AT21" s="124">
        <f>IF($C21&gt;LOG!$F$8,0,AS20)</f>
        <v>49</v>
      </c>
      <c r="AU21" s="124">
        <f>IF($C21&gt;LOG!$F$8,0,AT20)</f>
        <v>50</v>
      </c>
      <c r="AV21" s="124">
        <f>IF($C21&gt;LOG!$F$8,0,AU20)</f>
        <v>51</v>
      </c>
    </row>
    <row r="22" spans="2:48" ht="12.95" customHeight="1" x14ac:dyDescent="0.2">
      <c r="B22" s="14"/>
      <c r="C22" s="372">
        <v>16</v>
      </c>
      <c r="D22" s="372"/>
      <c r="E22" s="372"/>
      <c r="F22" s="253" t="s">
        <v>492</v>
      </c>
      <c r="G22" s="253" t="s">
        <v>4</v>
      </c>
      <c r="H22" s="124"/>
      <c r="I22" s="124"/>
      <c r="J22" s="124"/>
      <c r="K22" s="124"/>
      <c r="L22" s="124"/>
      <c r="M22" s="124"/>
      <c r="N22" s="124"/>
      <c r="O22" s="124"/>
      <c r="P22" s="124"/>
      <c r="Q22" s="124"/>
      <c r="R22" s="124"/>
      <c r="S22" s="124"/>
      <c r="T22" s="124"/>
      <c r="U22" s="124"/>
      <c r="V22" s="124"/>
      <c r="W22" s="124">
        <f>IF($C22&gt;LOG!$F$8,0,V21)</f>
        <v>25</v>
      </c>
      <c r="X22" s="124">
        <f>IF($C22&gt;LOG!$F$8,0,W21)</f>
        <v>26</v>
      </c>
      <c r="Y22" s="124">
        <f>IF($C22&gt;LOG!$F$8,0,X21)</f>
        <v>27</v>
      </c>
      <c r="Z22" s="124">
        <f>IF($C22&gt;LOG!$F$8,0,Y21)</f>
        <v>28</v>
      </c>
      <c r="AA22" s="124">
        <f>IF($C22&gt;LOG!$F$8,0,Z21)</f>
        <v>29</v>
      </c>
      <c r="AB22" s="124">
        <f>IF($C22&gt;LOG!$F$8,0,AA21)</f>
        <v>30</v>
      </c>
      <c r="AC22" s="124">
        <f>IF($C22&gt;LOG!$F$8,0,AB21)</f>
        <v>31</v>
      </c>
      <c r="AD22" s="124">
        <f>IF($C22&gt;LOG!$F$8,0,AC21)</f>
        <v>32</v>
      </c>
      <c r="AE22" s="124">
        <f>IF($C22&gt;LOG!$F$8,0,AD21)</f>
        <v>33</v>
      </c>
      <c r="AF22" s="124">
        <f>IF($C22&gt;LOG!$F$8,0,AE21)</f>
        <v>34</v>
      </c>
      <c r="AG22" s="124">
        <f>IF($C22&gt;LOG!$F$8,0,AF21)</f>
        <v>35</v>
      </c>
      <c r="AH22" s="124">
        <f>IF($C22&gt;LOG!$F$8,0,AG21)</f>
        <v>36</v>
      </c>
      <c r="AI22" s="124">
        <f>IF($C22&gt;LOG!$F$8,0,AH21)</f>
        <v>37</v>
      </c>
      <c r="AJ22" s="124">
        <f>IF($C22&gt;LOG!$F$8,0,AI21)</f>
        <v>38</v>
      </c>
      <c r="AK22" s="124">
        <f>IF($C22&gt;LOG!$F$8,0,AJ21)</f>
        <v>39</v>
      </c>
      <c r="AL22" s="124">
        <f>IF($C22&gt;LOG!$F$8,0,AK21)</f>
        <v>40</v>
      </c>
      <c r="AM22" s="124">
        <f>IF($C22&gt;LOG!$F$8,0,AL21)</f>
        <v>41</v>
      </c>
      <c r="AN22" s="124">
        <f>IF($C22&gt;LOG!$F$8,0,AM21)</f>
        <v>42</v>
      </c>
      <c r="AO22" s="124">
        <f>IF($C22&gt;LOG!$F$8,0,AN21)</f>
        <v>43</v>
      </c>
      <c r="AP22" s="124">
        <f>IF($C22&gt;LOG!$F$8,0,AO21)</f>
        <v>44</v>
      </c>
      <c r="AQ22" s="124">
        <f>IF($C22&gt;LOG!$F$8,0,AP21)</f>
        <v>45</v>
      </c>
      <c r="AR22" s="124">
        <f>IF($C22&gt;LOG!$F$8,0,AQ21)</f>
        <v>46</v>
      </c>
      <c r="AS22" s="124">
        <f>IF($C22&gt;LOG!$F$8,0,AR21)</f>
        <v>47</v>
      </c>
      <c r="AT22" s="124">
        <f>IF($C22&gt;LOG!$F$8,0,AS21)</f>
        <v>48</v>
      </c>
      <c r="AU22" s="124">
        <f>IF($C22&gt;LOG!$F$8,0,AT21)</f>
        <v>49</v>
      </c>
      <c r="AV22" s="124">
        <f>IF($C22&gt;LOG!$F$8,0,AU21)</f>
        <v>50</v>
      </c>
    </row>
    <row r="23" spans="2:48" ht="12.95" customHeight="1" x14ac:dyDescent="0.2">
      <c r="B23" s="14"/>
      <c r="C23" s="372">
        <v>17</v>
      </c>
      <c r="D23" s="372"/>
      <c r="E23" s="372"/>
      <c r="F23" s="253" t="s">
        <v>492</v>
      </c>
      <c r="G23" s="253" t="s">
        <v>4</v>
      </c>
      <c r="H23" s="124"/>
      <c r="I23" s="124"/>
      <c r="J23" s="124"/>
      <c r="K23" s="124"/>
      <c r="L23" s="124"/>
      <c r="M23" s="124"/>
      <c r="N23" s="124"/>
      <c r="O23" s="124"/>
      <c r="P23" s="124"/>
      <c r="Q23" s="124"/>
      <c r="R23" s="124"/>
      <c r="S23" s="124"/>
      <c r="T23" s="124"/>
      <c r="U23" s="124"/>
      <c r="V23" s="124"/>
      <c r="W23" s="124"/>
      <c r="X23" s="124">
        <f>IF($C23&gt;LOG!$F$8,0,W22)</f>
        <v>25</v>
      </c>
      <c r="Y23" s="124">
        <f>IF($C23&gt;LOG!$F$8,0,X22)</f>
        <v>26</v>
      </c>
      <c r="Z23" s="124">
        <f>IF($C23&gt;LOG!$F$8,0,Y22)</f>
        <v>27</v>
      </c>
      <c r="AA23" s="124">
        <f>IF($C23&gt;LOG!$F$8,0,Z22)</f>
        <v>28</v>
      </c>
      <c r="AB23" s="124">
        <f>IF($C23&gt;LOG!$F$8,0,AA22)</f>
        <v>29</v>
      </c>
      <c r="AC23" s="124">
        <f>IF($C23&gt;LOG!$F$8,0,AB22)</f>
        <v>30</v>
      </c>
      <c r="AD23" s="124">
        <f>IF($C23&gt;LOG!$F$8,0,AC22)</f>
        <v>31</v>
      </c>
      <c r="AE23" s="124">
        <f>IF($C23&gt;LOG!$F$8,0,AD22)</f>
        <v>32</v>
      </c>
      <c r="AF23" s="124">
        <f>IF($C23&gt;LOG!$F$8,0,AE22)</f>
        <v>33</v>
      </c>
      <c r="AG23" s="124">
        <f>IF($C23&gt;LOG!$F$8,0,AF22)</f>
        <v>34</v>
      </c>
      <c r="AH23" s="124">
        <f>IF($C23&gt;LOG!$F$8,0,AG22)</f>
        <v>35</v>
      </c>
      <c r="AI23" s="124">
        <f>IF($C23&gt;LOG!$F$8,0,AH22)</f>
        <v>36</v>
      </c>
      <c r="AJ23" s="124">
        <f>IF($C23&gt;LOG!$F$8,0,AI22)</f>
        <v>37</v>
      </c>
      <c r="AK23" s="124">
        <f>IF($C23&gt;LOG!$F$8,0,AJ22)</f>
        <v>38</v>
      </c>
      <c r="AL23" s="124">
        <f>IF($C23&gt;LOG!$F$8,0,AK22)</f>
        <v>39</v>
      </c>
      <c r="AM23" s="124">
        <f>IF($C23&gt;LOG!$F$8,0,AL22)</f>
        <v>40</v>
      </c>
      <c r="AN23" s="124">
        <f>IF($C23&gt;LOG!$F$8,0,AM22)</f>
        <v>41</v>
      </c>
      <c r="AO23" s="124">
        <f>IF($C23&gt;LOG!$F$8,0,AN22)</f>
        <v>42</v>
      </c>
      <c r="AP23" s="124">
        <f>IF($C23&gt;LOG!$F$8,0,AO22)</f>
        <v>43</v>
      </c>
      <c r="AQ23" s="124">
        <f>IF($C23&gt;LOG!$F$8,0,AP22)</f>
        <v>44</v>
      </c>
      <c r="AR23" s="124">
        <f>IF($C23&gt;LOG!$F$8,0,AQ22)</f>
        <v>45</v>
      </c>
      <c r="AS23" s="124">
        <f>IF($C23&gt;LOG!$F$8,0,AR22)</f>
        <v>46</v>
      </c>
      <c r="AT23" s="124">
        <f>IF($C23&gt;LOG!$F$8,0,AS22)</f>
        <v>47</v>
      </c>
      <c r="AU23" s="124">
        <f>IF($C23&gt;LOG!$F$8,0,AT22)</f>
        <v>48</v>
      </c>
      <c r="AV23" s="124">
        <f>IF($C23&gt;LOG!$F$8,0,AU22)</f>
        <v>49</v>
      </c>
    </row>
    <row r="24" spans="2:48" ht="12.95" customHeight="1" x14ac:dyDescent="0.2">
      <c r="B24" s="14"/>
      <c r="C24" s="372">
        <v>18</v>
      </c>
      <c r="D24" s="372"/>
      <c r="E24" s="372"/>
      <c r="F24" s="253" t="s">
        <v>492</v>
      </c>
      <c r="G24" s="253" t="s">
        <v>4</v>
      </c>
      <c r="H24" s="124"/>
      <c r="I24" s="124"/>
      <c r="J24" s="124"/>
      <c r="K24" s="124"/>
      <c r="L24" s="124"/>
      <c r="M24" s="124"/>
      <c r="N24" s="124"/>
      <c r="O24" s="124"/>
      <c r="P24" s="124"/>
      <c r="Q24" s="124"/>
      <c r="R24" s="124"/>
      <c r="S24" s="124"/>
      <c r="T24" s="124"/>
      <c r="U24" s="124"/>
      <c r="V24" s="124"/>
      <c r="W24" s="124"/>
      <c r="X24" s="124"/>
      <c r="Y24" s="124">
        <f>IF($C24&gt;LOG!$F$8,0,X23)</f>
        <v>25</v>
      </c>
      <c r="Z24" s="124">
        <f>IF($C24&gt;LOG!$F$8,0,Y23)</f>
        <v>26</v>
      </c>
      <c r="AA24" s="124">
        <f>IF($C24&gt;LOG!$F$8,0,Z23)</f>
        <v>27</v>
      </c>
      <c r="AB24" s="124">
        <f>IF($C24&gt;LOG!$F$8,0,AA23)</f>
        <v>28</v>
      </c>
      <c r="AC24" s="124">
        <f>IF($C24&gt;LOG!$F$8,0,AB23)</f>
        <v>29</v>
      </c>
      <c r="AD24" s="124">
        <f>IF($C24&gt;LOG!$F$8,0,AC23)</f>
        <v>30</v>
      </c>
      <c r="AE24" s="124">
        <f>IF($C24&gt;LOG!$F$8,0,AD23)</f>
        <v>31</v>
      </c>
      <c r="AF24" s="124">
        <f>IF($C24&gt;LOG!$F$8,0,AE23)</f>
        <v>32</v>
      </c>
      <c r="AG24" s="124">
        <f>IF($C24&gt;LOG!$F$8,0,AF23)</f>
        <v>33</v>
      </c>
      <c r="AH24" s="124">
        <f>IF($C24&gt;LOG!$F$8,0,AG23)</f>
        <v>34</v>
      </c>
      <c r="AI24" s="124">
        <f>IF($C24&gt;LOG!$F$8,0,AH23)</f>
        <v>35</v>
      </c>
      <c r="AJ24" s="124">
        <f>IF($C24&gt;LOG!$F$8,0,AI23)</f>
        <v>36</v>
      </c>
      <c r="AK24" s="124">
        <f>IF($C24&gt;LOG!$F$8,0,AJ23)</f>
        <v>37</v>
      </c>
      <c r="AL24" s="124">
        <f>IF($C24&gt;LOG!$F$8,0,AK23)</f>
        <v>38</v>
      </c>
      <c r="AM24" s="124">
        <f>IF($C24&gt;LOG!$F$8,0,AL23)</f>
        <v>39</v>
      </c>
      <c r="AN24" s="124">
        <f>IF($C24&gt;LOG!$F$8,0,AM23)</f>
        <v>40</v>
      </c>
      <c r="AO24" s="124">
        <f>IF($C24&gt;LOG!$F$8,0,AN23)</f>
        <v>41</v>
      </c>
      <c r="AP24" s="124">
        <f>IF($C24&gt;LOG!$F$8,0,AO23)</f>
        <v>42</v>
      </c>
      <c r="AQ24" s="124">
        <f>IF($C24&gt;LOG!$F$8,0,AP23)</f>
        <v>43</v>
      </c>
      <c r="AR24" s="124">
        <f>IF($C24&gt;LOG!$F$8,0,AQ23)</f>
        <v>44</v>
      </c>
      <c r="AS24" s="124">
        <f>IF($C24&gt;LOG!$F$8,0,AR23)</f>
        <v>45</v>
      </c>
      <c r="AT24" s="124">
        <f>IF($C24&gt;LOG!$F$8,0,AS23)</f>
        <v>46</v>
      </c>
      <c r="AU24" s="124">
        <f>IF($C24&gt;LOG!$F$8,0,AT23)</f>
        <v>47</v>
      </c>
      <c r="AV24" s="124">
        <f>IF($C24&gt;LOG!$F$8,0,AU23)</f>
        <v>48</v>
      </c>
    </row>
    <row r="25" spans="2:48" ht="12.95" customHeight="1" x14ac:dyDescent="0.2">
      <c r="B25" s="14"/>
      <c r="C25" s="372">
        <v>19</v>
      </c>
      <c r="D25" s="372"/>
      <c r="E25" s="372"/>
      <c r="F25" s="253" t="s">
        <v>492</v>
      </c>
      <c r="G25" s="253" t="s">
        <v>4</v>
      </c>
      <c r="H25" s="124"/>
      <c r="I25" s="124"/>
      <c r="J25" s="124"/>
      <c r="K25" s="124"/>
      <c r="L25" s="124"/>
      <c r="M25" s="124"/>
      <c r="N25" s="124"/>
      <c r="O25" s="124"/>
      <c r="P25" s="124"/>
      <c r="Q25" s="124"/>
      <c r="R25" s="124"/>
      <c r="S25" s="124"/>
      <c r="T25" s="124"/>
      <c r="U25" s="124"/>
      <c r="V25" s="124"/>
      <c r="W25" s="124"/>
      <c r="X25" s="124"/>
      <c r="Y25" s="124"/>
      <c r="Z25" s="124">
        <f>IF($C25&gt;LOG!$F$8,0,Y24)</f>
        <v>25</v>
      </c>
      <c r="AA25" s="124">
        <f>IF($C25&gt;LOG!$F$8,0,Z24)</f>
        <v>26</v>
      </c>
      <c r="AB25" s="124">
        <f>IF($C25&gt;LOG!$F$8,0,AA24)</f>
        <v>27</v>
      </c>
      <c r="AC25" s="124">
        <f>IF($C25&gt;LOG!$F$8,0,AB24)</f>
        <v>28</v>
      </c>
      <c r="AD25" s="124">
        <f>IF($C25&gt;LOG!$F$8,0,AC24)</f>
        <v>29</v>
      </c>
      <c r="AE25" s="124">
        <f>IF($C25&gt;LOG!$F$8,0,AD24)</f>
        <v>30</v>
      </c>
      <c r="AF25" s="124">
        <f>IF($C25&gt;LOG!$F$8,0,AE24)</f>
        <v>31</v>
      </c>
      <c r="AG25" s="124">
        <f>IF($C25&gt;LOG!$F$8,0,AF24)</f>
        <v>32</v>
      </c>
      <c r="AH25" s="124">
        <f>IF($C25&gt;LOG!$F$8,0,AG24)</f>
        <v>33</v>
      </c>
      <c r="AI25" s="124">
        <f>IF($C25&gt;LOG!$F$8,0,AH24)</f>
        <v>34</v>
      </c>
      <c r="AJ25" s="124">
        <f>IF($C25&gt;LOG!$F$8,0,AI24)</f>
        <v>35</v>
      </c>
      <c r="AK25" s="124">
        <f>IF($C25&gt;LOG!$F$8,0,AJ24)</f>
        <v>36</v>
      </c>
      <c r="AL25" s="124">
        <f>IF($C25&gt;LOG!$F$8,0,AK24)</f>
        <v>37</v>
      </c>
      <c r="AM25" s="124">
        <f>IF($C25&gt;LOG!$F$8,0,AL24)</f>
        <v>38</v>
      </c>
      <c r="AN25" s="124">
        <f>IF($C25&gt;LOG!$F$8,0,AM24)</f>
        <v>39</v>
      </c>
      <c r="AO25" s="124">
        <f>IF($C25&gt;LOG!$F$8,0,AN24)</f>
        <v>40</v>
      </c>
      <c r="AP25" s="124">
        <f>IF($C25&gt;LOG!$F$8,0,AO24)</f>
        <v>41</v>
      </c>
      <c r="AQ25" s="124">
        <f>IF($C25&gt;LOG!$F$8,0,AP24)</f>
        <v>42</v>
      </c>
      <c r="AR25" s="124">
        <f>IF($C25&gt;LOG!$F$8,0,AQ24)</f>
        <v>43</v>
      </c>
      <c r="AS25" s="124">
        <f>IF($C25&gt;LOG!$F$8,0,AR24)</f>
        <v>44</v>
      </c>
      <c r="AT25" s="124">
        <f>IF($C25&gt;LOG!$F$8,0,AS24)</f>
        <v>45</v>
      </c>
      <c r="AU25" s="124">
        <f>IF($C25&gt;LOG!$F$8,0,AT24)</f>
        <v>46</v>
      </c>
      <c r="AV25" s="124">
        <f>IF($C25&gt;LOG!$F$8,0,AU24)</f>
        <v>47</v>
      </c>
    </row>
    <row r="26" spans="2:48" ht="12.95" customHeight="1" x14ac:dyDescent="0.2">
      <c r="B26" s="14"/>
      <c r="C26" s="372">
        <v>20</v>
      </c>
      <c r="D26" s="372"/>
      <c r="E26" s="372"/>
      <c r="F26" s="253" t="s">
        <v>492</v>
      </c>
      <c r="G26" s="253" t="s">
        <v>4</v>
      </c>
      <c r="H26" s="124"/>
      <c r="I26" s="124"/>
      <c r="J26" s="124"/>
      <c r="K26" s="124"/>
      <c r="L26" s="124"/>
      <c r="M26" s="124"/>
      <c r="N26" s="124"/>
      <c r="O26" s="124"/>
      <c r="P26" s="124"/>
      <c r="Q26" s="124"/>
      <c r="R26" s="124"/>
      <c r="S26" s="124"/>
      <c r="T26" s="124"/>
      <c r="U26" s="124"/>
      <c r="V26" s="124"/>
      <c r="W26" s="124"/>
      <c r="X26" s="124"/>
      <c r="Y26" s="124"/>
      <c r="Z26" s="124"/>
      <c r="AA26" s="124">
        <f>IF($C26&gt;LOG!$F$8,0,Z25)</f>
        <v>25</v>
      </c>
      <c r="AB26" s="124">
        <f>IF($C26&gt;LOG!$F$8,0,AA25)</f>
        <v>26</v>
      </c>
      <c r="AC26" s="124">
        <f>IF($C26&gt;LOG!$F$8,0,AB25)</f>
        <v>27</v>
      </c>
      <c r="AD26" s="124">
        <f>IF($C26&gt;LOG!$F$8,0,AC25)</f>
        <v>28</v>
      </c>
      <c r="AE26" s="124">
        <f>IF($C26&gt;LOG!$F$8,0,AD25)</f>
        <v>29</v>
      </c>
      <c r="AF26" s="124">
        <f>IF($C26&gt;LOG!$F$8,0,AE25)</f>
        <v>30</v>
      </c>
      <c r="AG26" s="124">
        <f>IF($C26&gt;LOG!$F$8,0,AF25)</f>
        <v>31</v>
      </c>
      <c r="AH26" s="124">
        <f>IF($C26&gt;LOG!$F$8,0,AG25)</f>
        <v>32</v>
      </c>
      <c r="AI26" s="124">
        <f>IF($C26&gt;LOG!$F$8,0,AH25)</f>
        <v>33</v>
      </c>
      <c r="AJ26" s="124">
        <f>IF($C26&gt;LOG!$F$8,0,AI25)</f>
        <v>34</v>
      </c>
      <c r="AK26" s="124">
        <f>IF($C26&gt;LOG!$F$8,0,AJ25)</f>
        <v>35</v>
      </c>
      <c r="AL26" s="124">
        <f>IF($C26&gt;LOG!$F$8,0,AK25)</f>
        <v>36</v>
      </c>
      <c r="AM26" s="124">
        <f>IF($C26&gt;LOG!$F$8,0,AL25)</f>
        <v>37</v>
      </c>
      <c r="AN26" s="124">
        <f>IF($C26&gt;LOG!$F$8,0,AM25)</f>
        <v>38</v>
      </c>
      <c r="AO26" s="124">
        <f>IF($C26&gt;LOG!$F$8,0,AN25)</f>
        <v>39</v>
      </c>
      <c r="AP26" s="124">
        <f>IF($C26&gt;LOG!$F$8,0,AO25)</f>
        <v>40</v>
      </c>
      <c r="AQ26" s="124">
        <f>IF($C26&gt;LOG!$F$8,0,AP25)</f>
        <v>41</v>
      </c>
      <c r="AR26" s="124">
        <f>IF($C26&gt;LOG!$F$8,0,AQ25)</f>
        <v>42</v>
      </c>
      <c r="AS26" s="124">
        <f>IF($C26&gt;LOG!$F$8,0,AR25)</f>
        <v>43</v>
      </c>
      <c r="AT26" s="124">
        <f>IF($C26&gt;LOG!$F$8,0,AS25)</f>
        <v>44</v>
      </c>
      <c r="AU26" s="124">
        <f>IF($C26&gt;LOG!$F$8,0,AT25)</f>
        <v>45</v>
      </c>
      <c r="AV26" s="124">
        <f>IF($C26&gt;LOG!$F$8,0,AU25)</f>
        <v>46</v>
      </c>
    </row>
    <row r="27" spans="2:48" ht="12.95" customHeight="1" x14ac:dyDescent="0.2">
      <c r="B27" s="14"/>
      <c r="C27" s="372">
        <v>21</v>
      </c>
      <c r="D27" s="372"/>
      <c r="E27" s="372"/>
      <c r="F27" s="253" t="s">
        <v>492</v>
      </c>
      <c r="G27" s="253" t="s">
        <v>4</v>
      </c>
      <c r="H27" s="124"/>
      <c r="I27" s="124"/>
      <c r="J27" s="124"/>
      <c r="K27" s="124"/>
      <c r="L27" s="124"/>
      <c r="M27" s="124"/>
      <c r="N27" s="124"/>
      <c r="O27" s="124"/>
      <c r="P27" s="124"/>
      <c r="Q27" s="124"/>
      <c r="R27" s="124"/>
      <c r="S27" s="124"/>
      <c r="T27" s="124"/>
      <c r="U27" s="124"/>
      <c r="V27" s="124"/>
      <c r="W27" s="124"/>
      <c r="X27" s="124"/>
      <c r="Y27" s="124"/>
      <c r="Z27" s="124"/>
      <c r="AA27" s="124"/>
      <c r="AB27" s="124">
        <f>IF($C27&gt;LOG!$F$8,0,AA26)</f>
        <v>25</v>
      </c>
      <c r="AC27" s="124">
        <f>IF($C27&gt;LOG!$F$8,0,AB26)</f>
        <v>26</v>
      </c>
      <c r="AD27" s="124">
        <f>IF($C27&gt;LOG!$F$8,0,AC26)</f>
        <v>27</v>
      </c>
      <c r="AE27" s="124">
        <f>IF($C27&gt;LOG!$F$8,0,AD26)</f>
        <v>28</v>
      </c>
      <c r="AF27" s="124">
        <f>IF($C27&gt;LOG!$F$8,0,AE26)</f>
        <v>29</v>
      </c>
      <c r="AG27" s="124">
        <f>IF($C27&gt;LOG!$F$8,0,AF26)</f>
        <v>30</v>
      </c>
      <c r="AH27" s="124">
        <f>IF($C27&gt;LOG!$F$8,0,AG26)</f>
        <v>31</v>
      </c>
      <c r="AI27" s="124">
        <f>IF($C27&gt;LOG!$F$8,0,AH26)</f>
        <v>32</v>
      </c>
      <c r="AJ27" s="124">
        <f>IF($C27&gt;LOG!$F$8,0,AI26)</f>
        <v>33</v>
      </c>
      <c r="AK27" s="124">
        <f>IF($C27&gt;LOG!$F$8,0,AJ26)</f>
        <v>34</v>
      </c>
      <c r="AL27" s="124">
        <f>IF($C27&gt;LOG!$F$8,0,AK26)</f>
        <v>35</v>
      </c>
      <c r="AM27" s="124">
        <f>IF($C27&gt;LOG!$F$8,0,AL26)</f>
        <v>36</v>
      </c>
      <c r="AN27" s="124">
        <f>IF($C27&gt;LOG!$F$8,0,AM26)</f>
        <v>37</v>
      </c>
      <c r="AO27" s="124">
        <f>IF($C27&gt;LOG!$F$8,0,AN26)</f>
        <v>38</v>
      </c>
      <c r="AP27" s="124">
        <f>IF($C27&gt;LOG!$F$8,0,AO26)</f>
        <v>39</v>
      </c>
      <c r="AQ27" s="124">
        <f>IF($C27&gt;LOG!$F$8,0,AP26)</f>
        <v>40</v>
      </c>
      <c r="AR27" s="124">
        <f>IF($C27&gt;LOG!$F$8,0,AQ26)</f>
        <v>41</v>
      </c>
      <c r="AS27" s="124">
        <f>IF($C27&gt;LOG!$F$8,0,AR26)</f>
        <v>42</v>
      </c>
      <c r="AT27" s="124">
        <f>IF($C27&gt;LOG!$F$8,0,AS26)</f>
        <v>43</v>
      </c>
      <c r="AU27" s="124">
        <f>IF($C27&gt;LOG!$F$8,0,AT26)</f>
        <v>44</v>
      </c>
      <c r="AV27" s="124">
        <f>IF($C27&gt;LOG!$F$8,0,AU26)</f>
        <v>45</v>
      </c>
    </row>
    <row r="28" spans="2:48" ht="12.95" customHeight="1" x14ac:dyDescent="0.2">
      <c r="B28" s="14"/>
      <c r="C28" s="372">
        <v>22</v>
      </c>
      <c r="D28" s="372"/>
      <c r="E28" s="372"/>
      <c r="F28" s="253" t="s">
        <v>492</v>
      </c>
      <c r="G28" s="253" t="s">
        <v>4</v>
      </c>
      <c r="H28" s="124"/>
      <c r="I28" s="124"/>
      <c r="J28" s="124"/>
      <c r="K28" s="124"/>
      <c r="L28" s="124"/>
      <c r="M28" s="124"/>
      <c r="N28" s="124"/>
      <c r="O28" s="124"/>
      <c r="P28" s="124"/>
      <c r="Q28" s="124"/>
      <c r="R28" s="124"/>
      <c r="S28" s="124"/>
      <c r="T28" s="124"/>
      <c r="U28" s="124"/>
      <c r="V28" s="124"/>
      <c r="W28" s="124"/>
      <c r="X28" s="124"/>
      <c r="Y28" s="124"/>
      <c r="Z28" s="124"/>
      <c r="AA28" s="124"/>
      <c r="AB28" s="124"/>
      <c r="AC28" s="124">
        <f>IF($C28&gt;LOG!$F$8,0,AB27)</f>
        <v>25</v>
      </c>
      <c r="AD28" s="124">
        <f>IF($C28&gt;LOG!$F$8,0,AC27)</f>
        <v>26</v>
      </c>
      <c r="AE28" s="124">
        <f>IF($C28&gt;LOG!$F$8,0,AD27)</f>
        <v>27</v>
      </c>
      <c r="AF28" s="124">
        <f>IF($C28&gt;LOG!$F$8,0,AE27)</f>
        <v>28</v>
      </c>
      <c r="AG28" s="124">
        <f>IF($C28&gt;LOG!$F$8,0,AF27)</f>
        <v>29</v>
      </c>
      <c r="AH28" s="124">
        <f>IF($C28&gt;LOG!$F$8,0,AG27)</f>
        <v>30</v>
      </c>
      <c r="AI28" s="124">
        <f>IF($C28&gt;LOG!$F$8,0,AH27)</f>
        <v>31</v>
      </c>
      <c r="AJ28" s="124">
        <f>IF($C28&gt;LOG!$F$8,0,AI27)</f>
        <v>32</v>
      </c>
      <c r="AK28" s="124">
        <f>IF($C28&gt;LOG!$F$8,0,AJ27)</f>
        <v>33</v>
      </c>
      <c r="AL28" s="124">
        <f>IF($C28&gt;LOG!$F$8,0,AK27)</f>
        <v>34</v>
      </c>
      <c r="AM28" s="124">
        <f>IF($C28&gt;LOG!$F$8,0,AL27)</f>
        <v>35</v>
      </c>
      <c r="AN28" s="124">
        <f>IF($C28&gt;LOG!$F$8,0,AM27)</f>
        <v>36</v>
      </c>
      <c r="AO28" s="124">
        <f>IF($C28&gt;LOG!$F$8,0,AN27)</f>
        <v>37</v>
      </c>
      <c r="AP28" s="124">
        <f>IF($C28&gt;LOG!$F$8,0,AO27)</f>
        <v>38</v>
      </c>
      <c r="AQ28" s="124">
        <f>IF($C28&gt;LOG!$F$8,0,AP27)</f>
        <v>39</v>
      </c>
      <c r="AR28" s="124">
        <f>IF($C28&gt;LOG!$F$8,0,AQ27)</f>
        <v>40</v>
      </c>
      <c r="AS28" s="124">
        <f>IF($C28&gt;LOG!$F$8,0,AR27)</f>
        <v>41</v>
      </c>
      <c r="AT28" s="124">
        <f>IF($C28&gt;LOG!$F$8,0,AS27)</f>
        <v>42</v>
      </c>
      <c r="AU28" s="124">
        <f>IF($C28&gt;LOG!$F$8,0,AT27)</f>
        <v>43</v>
      </c>
      <c r="AV28" s="124">
        <f>IF($C28&gt;LOG!$F$8,0,AU27)</f>
        <v>44</v>
      </c>
    </row>
    <row r="29" spans="2:48" ht="12.95" customHeight="1" x14ac:dyDescent="0.2">
      <c r="B29" s="14"/>
      <c r="C29" s="372">
        <v>23</v>
      </c>
      <c r="D29" s="372"/>
      <c r="E29" s="372"/>
      <c r="F29" s="253" t="s">
        <v>492</v>
      </c>
      <c r="G29" s="253" t="s">
        <v>4</v>
      </c>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f>IF($C29&gt;LOG!$F$8,0,AC28)</f>
        <v>25</v>
      </c>
      <c r="AE29" s="124">
        <f>IF($C29&gt;LOG!$F$8,0,AD28)</f>
        <v>26</v>
      </c>
      <c r="AF29" s="124">
        <f>IF($C29&gt;LOG!$F$8,0,AE28)</f>
        <v>27</v>
      </c>
      <c r="AG29" s="124">
        <f>IF($C29&gt;LOG!$F$8,0,AF28)</f>
        <v>28</v>
      </c>
      <c r="AH29" s="124">
        <f>IF($C29&gt;LOG!$F$8,0,AG28)</f>
        <v>29</v>
      </c>
      <c r="AI29" s="124">
        <f>IF($C29&gt;LOG!$F$8,0,AH28)</f>
        <v>30</v>
      </c>
      <c r="AJ29" s="124">
        <f>IF($C29&gt;LOG!$F$8,0,AI28)</f>
        <v>31</v>
      </c>
      <c r="AK29" s="124">
        <f>IF($C29&gt;LOG!$F$8,0,AJ28)</f>
        <v>32</v>
      </c>
      <c r="AL29" s="124">
        <f>IF($C29&gt;LOG!$F$8,0,AK28)</f>
        <v>33</v>
      </c>
      <c r="AM29" s="124">
        <f>IF($C29&gt;LOG!$F$8,0,AL28)</f>
        <v>34</v>
      </c>
      <c r="AN29" s="124">
        <f>IF($C29&gt;LOG!$F$8,0,AM28)</f>
        <v>35</v>
      </c>
      <c r="AO29" s="124">
        <f>IF($C29&gt;LOG!$F$8,0,AN28)</f>
        <v>36</v>
      </c>
      <c r="AP29" s="124">
        <f>IF($C29&gt;LOG!$F$8,0,AO28)</f>
        <v>37</v>
      </c>
      <c r="AQ29" s="124">
        <f>IF($C29&gt;LOG!$F$8,0,AP28)</f>
        <v>38</v>
      </c>
      <c r="AR29" s="124">
        <f>IF($C29&gt;LOG!$F$8,0,AQ28)</f>
        <v>39</v>
      </c>
      <c r="AS29" s="124">
        <f>IF($C29&gt;LOG!$F$8,0,AR28)</f>
        <v>40</v>
      </c>
      <c r="AT29" s="124">
        <f>IF($C29&gt;LOG!$F$8,0,AS28)</f>
        <v>41</v>
      </c>
      <c r="AU29" s="124">
        <f>IF($C29&gt;LOG!$F$8,0,AT28)</f>
        <v>42</v>
      </c>
      <c r="AV29" s="124">
        <f>IF($C29&gt;LOG!$F$8,0,AU28)</f>
        <v>43</v>
      </c>
    </row>
    <row r="30" spans="2:48" ht="12.95" customHeight="1" x14ac:dyDescent="0.2">
      <c r="B30" s="14"/>
      <c r="C30" s="372">
        <v>24</v>
      </c>
      <c r="D30" s="372"/>
      <c r="E30" s="372"/>
      <c r="F30" s="253" t="s">
        <v>492</v>
      </c>
      <c r="G30" s="253" t="s">
        <v>4</v>
      </c>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f>IF($C30&gt;LOG!$F$8,0,AD29)</f>
        <v>25</v>
      </c>
      <c r="AF30" s="124">
        <f>IF($C30&gt;LOG!$F$8,0,AE29)</f>
        <v>26</v>
      </c>
      <c r="AG30" s="124">
        <f>IF($C30&gt;LOG!$F$8,0,AF29)</f>
        <v>27</v>
      </c>
      <c r="AH30" s="124">
        <f>IF($C30&gt;LOG!$F$8,0,AG29)</f>
        <v>28</v>
      </c>
      <c r="AI30" s="124">
        <f>IF($C30&gt;LOG!$F$8,0,AH29)</f>
        <v>29</v>
      </c>
      <c r="AJ30" s="124">
        <f>IF($C30&gt;LOG!$F$8,0,AI29)</f>
        <v>30</v>
      </c>
      <c r="AK30" s="124">
        <f>IF($C30&gt;LOG!$F$8,0,AJ29)</f>
        <v>31</v>
      </c>
      <c r="AL30" s="124">
        <f>IF($C30&gt;LOG!$F$8,0,AK29)</f>
        <v>32</v>
      </c>
      <c r="AM30" s="124">
        <f>IF($C30&gt;LOG!$F$8,0,AL29)</f>
        <v>33</v>
      </c>
      <c r="AN30" s="124">
        <f>IF($C30&gt;LOG!$F$8,0,AM29)</f>
        <v>34</v>
      </c>
      <c r="AO30" s="124">
        <f>IF($C30&gt;LOG!$F$8,0,AN29)</f>
        <v>35</v>
      </c>
      <c r="AP30" s="124">
        <f>IF($C30&gt;LOG!$F$8,0,AO29)</f>
        <v>36</v>
      </c>
      <c r="AQ30" s="124">
        <f>IF($C30&gt;LOG!$F$8,0,AP29)</f>
        <v>37</v>
      </c>
      <c r="AR30" s="124">
        <f>IF($C30&gt;LOG!$F$8,0,AQ29)</f>
        <v>38</v>
      </c>
      <c r="AS30" s="124">
        <f>IF($C30&gt;LOG!$F$8,0,AR29)</f>
        <v>39</v>
      </c>
      <c r="AT30" s="124">
        <f>IF($C30&gt;LOG!$F$8,0,AS29)</f>
        <v>40</v>
      </c>
      <c r="AU30" s="124">
        <f>IF($C30&gt;LOG!$F$8,0,AT29)</f>
        <v>41</v>
      </c>
      <c r="AV30" s="124">
        <f>IF($C30&gt;LOG!$F$8,0,AU29)</f>
        <v>42</v>
      </c>
    </row>
    <row r="31" spans="2:48" ht="12.95" customHeight="1" x14ac:dyDescent="0.2">
      <c r="B31" s="14"/>
      <c r="C31" s="372">
        <v>25</v>
      </c>
      <c r="D31" s="372"/>
      <c r="E31" s="372"/>
      <c r="F31" s="253" t="s">
        <v>492</v>
      </c>
      <c r="G31" s="253" t="s">
        <v>4</v>
      </c>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f>IF($C31&gt;LOG!$F$8,0,AE30)</f>
        <v>25</v>
      </c>
      <c r="AG31" s="124">
        <f>IF($C31&gt;LOG!$F$8,0,AF30)</f>
        <v>26</v>
      </c>
      <c r="AH31" s="124">
        <f>IF($C31&gt;LOG!$F$8,0,AG30)</f>
        <v>27</v>
      </c>
      <c r="AI31" s="124">
        <f>IF($C31&gt;LOG!$F$8,0,AH30)</f>
        <v>28</v>
      </c>
      <c r="AJ31" s="124">
        <f>IF($C31&gt;LOG!$F$8,0,AI30)</f>
        <v>29</v>
      </c>
      <c r="AK31" s="124">
        <f>IF($C31&gt;LOG!$F$8,0,AJ30)</f>
        <v>30</v>
      </c>
      <c r="AL31" s="124">
        <f>IF($C31&gt;LOG!$F$8,0,AK30)</f>
        <v>31</v>
      </c>
      <c r="AM31" s="124">
        <f>IF($C31&gt;LOG!$F$8,0,AL30)</f>
        <v>32</v>
      </c>
      <c r="AN31" s="124">
        <f>IF($C31&gt;LOG!$F$8,0,AM30)</f>
        <v>33</v>
      </c>
      <c r="AO31" s="124">
        <f>IF($C31&gt;LOG!$F$8,0,AN30)</f>
        <v>34</v>
      </c>
      <c r="AP31" s="124">
        <f>IF($C31&gt;LOG!$F$8,0,AO30)</f>
        <v>35</v>
      </c>
      <c r="AQ31" s="124">
        <f>IF($C31&gt;LOG!$F$8,0,AP30)</f>
        <v>36</v>
      </c>
      <c r="AR31" s="124">
        <f>IF($C31&gt;LOG!$F$8,0,AQ30)</f>
        <v>37</v>
      </c>
      <c r="AS31" s="124">
        <f>IF($C31&gt;LOG!$F$8,0,AR30)</f>
        <v>38</v>
      </c>
      <c r="AT31" s="124">
        <f>IF($C31&gt;LOG!$F$8,0,AS30)</f>
        <v>39</v>
      </c>
      <c r="AU31" s="124">
        <f>IF($C31&gt;LOG!$F$8,0,AT30)</f>
        <v>40</v>
      </c>
      <c r="AV31" s="124">
        <f>IF($C31&gt;LOG!$F$8,0,AU30)</f>
        <v>41</v>
      </c>
    </row>
    <row r="32" spans="2:48" ht="12.95" customHeight="1" x14ac:dyDescent="0.2">
      <c r="B32" s="14"/>
      <c r="C32" s="372">
        <v>26</v>
      </c>
      <c r="D32" s="372"/>
      <c r="E32" s="372"/>
      <c r="F32" s="253" t="s">
        <v>492</v>
      </c>
      <c r="G32" s="253" t="s">
        <v>4</v>
      </c>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f>IF($C32&gt;LOG!$F$8,0,AF31)</f>
        <v>0</v>
      </c>
      <c r="AH32" s="124">
        <f>IF($C32&gt;LOG!$F$8,0,AG31)</f>
        <v>0</v>
      </c>
      <c r="AI32" s="124">
        <f>IF($C32&gt;LOG!$F$8,0,AH31)</f>
        <v>0</v>
      </c>
      <c r="AJ32" s="124">
        <f>IF($C32&gt;LOG!$F$8,0,AI31)</f>
        <v>0</v>
      </c>
      <c r="AK32" s="124">
        <f>IF($C32&gt;LOG!$F$8,0,AJ31)</f>
        <v>0</v>
      </c>
      <c r="AL32" s="124">
        <f>IF($C32&gt;LOG!$F$8,0,AK31)</f>
        <v>0</v>
      </c>
      <c r="AM32" s="124">
        <f>IF($C32&gt;LOG!$F$8,0,AL31)</f>
        <v>0</v>
      </c>
      <c r="AN32" s="124">
        <f>IF($C32&gt;LOG!$F$8,0,AM31)</f>
        <v>0</v>
      </c>
      <c r="AO32" s="124">
        <f>IF($C32&gt;LOG!$F$8,0,AN31)</f>
        <v>0</v>
      </c>
      <c r="AP32" s="124">
        <f>IF($C32&gt;LOG!$F$8,0,AO31)</f>
        <v>0</v>
      </c>
      <c r="AQ32" s="124">
        <f>IF($C32&gt;LOG!$F$8,0,AP31)</f>
        <v>0</v>
      </c>
      <c r="AR32" s="124">
        <f>IF($C32&gt;LOG!$F$8,0,AQ31)</f>
        <v>0</v>
      </c>
      <c r="AS32" s="124">
        <f>IF($C32&gt;LOG!$F$8,0,AR31)</f>
        <v>0</v>
      </c>
      <c r="AT32" s="124">
        <f>IF($C32&gt;LOG!$F$8,0,AS31)</f>
        <v>0</v>
      </c>
      <c r="AU32" s="124">
        <f>IF($C32&gt;LOG!$F$8,0,AT31)</f>
        <v>0</v>
      </c>
      <c r="AV32" s="124">
        <f>IF($C32&gt;LOG!$F$8,0,AU31)</f>
        <v>0</v>
      </c>
    </row>
    <row r="33" spans="2:48" ht="12.95" customHeight="1" x14ac:dyDescent="0.2">
      <c r="B33" s="14"/>
      <c r="C33" s="372">
        <v>27</v>
      </c>
      <c r="D33" s="372"/>
      <c r="E33" s="372"/>
      <c r="F33" s="253" t="s">
        <v>492</v>
      </c>
      <c r="G33" s="253" t="s">
        <v>4</v>
      </c>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f>IF($C33&gt;LOG!$F$8,0,AG32)</f>
        <v>0</v>
      </c>
      <c r="AI33" s="124">
        <f>IF($C33&gt;LOG!$F$8,0,AH32)</f>
        <v>0</v>
      </c>
      <c r="AJ33" s="124">
        <f>IF($C33&gt;LOG!$F$8,0,AI32)</f>
        <v>0</v>
      </c>
      <c r="AK33" s="124">
        <f>IF($C33&gt;LOG!$F$8,0,AJ32)</f>
        <v>0</v>
      </c>
      <c r="AL33" s="124">
        <f>IF($C33&gt;LOG!$F$8,0,AK32)</f>
        <v>0</v>
      </c>
      <c r="AM33" s="124">
        <f>IF($C33&gt;LOG!$F$8,0,AL32)</f>
        <v>0</v>
      </c>
      <c r="AN33" s="124">
        <f>IF($C33&gt;LOG!$F$8,0,AM32)</f>
        <v>0</v>
      </c>
      <c r="AO33" s="124">
        <f>IF($C33&gt;LOG!$F$8,0,AN32)</f>
        <v>0</v>
      </c>
      <c r="AP33" s="124">
        <f>IF($C33&gt;LOG!$F$8,0,AO32)</f>
        <v>0</v>
      </c>
      <c r="AQ33" s="124">
        <f>IF($C33&gt;LOG!$F$8,0,AP32)</f>
        <v>0</v>
      </c>
      <c r="AR33" s="124">
        <f>IF($C33&gt;LOG!$F$8,0,AQ32)</f>
        <v>0</v>
      </c>
      <c r="AS33" s="124">
        <f>IF($C33&gt;LOG!$F$8,0,AR32)</f>
        <v>0</v>
      </c>
      <c r="AT33" s="124">
        <f>IF($C33&gt;LOG!$F$8,0,AS32)</f>
        <v>0</v>
      </c>
      <c r="AU33" s="124">
        <f>IF($C33&gt;LOG!$F$8,0,AT32)</f>
        <v>0</v>
      </c>
      <c r="AV33" s="124">
        <f>IF($C33&gt;LOG!$F$8,0,AU32)</f>
        <v>0</v>
      </c>
    </row>
    <row r="34" spans="2:48" ht="12.95" customHeight="1" x14ac:dyDescent="0.2">
      <c r="B34" s="14"/>
      <c r="C34" s="372">
        <v>28</v>
      </c>
      <c r="D34" s="372"/>
      <c r="E34" s="372"/>
      <c r="F34" s="253" t="s">
        <v>492</v>
      </c>
      <c r="G34" s="253" t="s">
        <v>4</v>
      </c>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f>IF($C34&gt;LOG!$F$8,0,AH33)</f>
        <v>0</v>
      </c>
      <c r="AJ34" s="124">
        <f>IF($C34&gt;LOG!$F$8,0,AI33)</f>
        <v>0</v>
      </c>
      <c r="AK34" s="124">
        <f>IF($C34&gt;LOG!$F$8,0,AJ33)</f>
        <v>0</v>
      </c>
      <c r="AL34" s="124">
        <f>IF($C34&gt;LOG!$F$8,0,AK33)</f>
        <v>0</v>
      </c>
      <c r="AM34" s="124">
        <f>IF($C34&gt;LOG!$F$8,0,AL33)</f>
        <v>0</v>
      </c>
      <c r="AN34" s="124">
        <f>IF($C34&gt;LOG!$F$8,0,AM33)</f>
        <v>0</v>
      </c>
      <c r="AO34" s="124">
        <f>IF($C34&gt;LOG!$F$8,0,AN33)</f>
        <v>0</v>
      </c>
      <c r="AP34" s="124">
        <f>IF($C34&gt;LOG!$F$8,0,AO33)</f>
        <v>0</v>
      </c>
      <c r="AQ34" s="124">
        <f>IF($C34&gt;LOG!$F$8,0,AP33)</f>
        <v>0</v>
      </c>
      <c r="AR34" s="124">
        <f>IF($C34&gt;LOG!$F$8,0,AQ33)</f>
        <v>0</v>
      </c>
      <c r="AS34" s="124">
        <f>IF($C34&gt;LOG!$F$8,0,AR33)</f>
        <v>0</v>
      </c>
      <c r="AT34" s="124">
        <f>IF($C34&gt;LOG!$F$8,0,AS33)</f>
        <v>0</v>
      </c>
      <c r="AU34" s="124">
        <f>IF($C34&gt;LOG!$F$8,0,AT33)</f>
        <v>0</v>
      </c>
      <c r="AV34" s="124">
        <f>IF($C34&gt;LOG!$F$8,0,AU33)</f>
        <v>0</v>
      </c>
    </row>
    <row r="35" spans="2:48" ht="12.95" customHeight="1" x14ac:dyDescent="0.2">
      <c r="B35" s="14"/>
      <c r="C35" s="372">
        <v>29</v>
      </c>
      <c r="D35" s="372"/>
      <c r="E35" s="372"/>
      <c r="F35" s="253" t="s">
        <v>492</v>
      </c>
      <c r="G35" s="253" t="s">
        <v>4</v>
      </c>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f>IF($C35&gt;LOG!$F$8,0,AI34)</f>
        <v>0</v>
      </c>
      <c r="AK35" s="124">
        <f>IF($C35&gt;LOG!$F$8,0,AJ34)</f>
        <v>0</v>
      </c>
      <c r="AL35" s="124">
        <f>IF($C35&gt;LOG!$F$8,0,AK34)</f>
        <v>0</v>
      </c>
      <c r="AM35" s="124">
        <f>IF($C35&gt;LOG!$F$8,0,AL34)</f>
        <v>0</v>
      </c>
      <c r="AN35" s="124">
        <f>IF($C35&gt;LOG!$F$8,0,AM34)</f>
        <v>0</v>
      </c>
      <c r="AO35" s="124">
        <f>IF($C35&gt;LOG!$F$8,0,AN34)</f>
        <v>0</v>
      </c>
      <c r="AP35" s="124">
        <f>IF($C35&gt;LOG!$F$8,0,AO34)</f>
        <v>0</v>
      </c>
      <c r="AQ35" s="124">
        <f>IF($C35&gt;LOG!$F$8,0,AP34)</f>
        <v>0</v>
      </c>
      <c r="AR35" s="124">
        <f>IF($C35&gt;LOG!$F$8,0,AQ34)</f>
        <v>0</v>
      </c>
      <c r="AS35" s="124">
        <f>IF($C35&gt;LOG!$F$8,0,AR34)</f>
        <v>0</v>
      </c>
      <c r="AT35" s="124">
        <f>IF($C35&gt;LOG!$F$8,0,AS34)</f>
        <v>0</v>
      </c>
      <c r="AU35" s="124">
        <f>IF($C35&gt;LOG!$F$8,0,AT34)</f>
        <v>0</v>
      </c>
      <c r="AV35" s="124">
        <f>IF($C35&gt;LOG!$F$8,0,AU34)</f>
        <v>0</v>
      </c>
    </row>
    <row r="36" spans="2:48" ht="12.95" customHeight="1" x14ac:dyDescent="0.2">
      <c r="B36" s="14"/>
      <c r="C36" s="372">
        <v>30</v>
      </c>
      <c r="D36" s="372"/>
      <c r="E36" s="372"/>
      <c r="F36" s="253" t="s">
        <v>492</v>
      </c>
      <c r="G36" s="253" t="s">
        <v>4</v>
      </c>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f>IF($C36&gt;LOG!$F$8,0,AJ35)</f>
        <v>0</v>
      </c>
      <c r="AL36" s="124">
        <f>IF($C36&gt;LOG!$F$8,0,AK35)</f>
        <v>0</v>
      </c>
      <c r="AM36" s="124">
        <f>IF($C36&gt;LOG!$F$8,0,AL35)</f>
        <v>0</v>
      </c>
      <c r="AN36" s="124">
        <f>IF($C36&gt;LOG!$F$8,0,AM35)</f>
        <v>0</v>
      </c>
      <c r="AO36" s="124">
        <f>IF($C36&gt;LOG!$F$8,0,AN35)</f>
        <v>0</v>
      </c>
      <c r="AP36" s="124">
        <f>IF($C36&gt;LOG!$F$8,0,AO35)</f>
        <v>0</v>
      </c>
      <c r="AQ36" s="124">
        <f>IF($C36&gt;LOG!$F$8,0,AP35)</f>
        <v>0</v>
      </c>
      <c r="AR36" s="124">
        <f>IF($C36&gt;LOG!$F$8,0,AQ35)</f>
        <v>0</v>
      </c>
      <c r="AS36" s="124">
        <f>IF($C36&gt;LOG!$F$8,0,AR35)</f>
        <v>0</v>
      </c>
      <c r="AT36" s="124">
        <f>IF($C36&gt;LOG!$F$8,0,AS35)</f>
        <v>0</v>
      </c>
      <c r="AU36" s="124">
        <f>IF($C36&gt;LOG!$F$8,0,AT35)</f>
        <v>0</v>
      </c>
      <c r="AV36" s="124">
        <f>IF($C36&gt;LOG!$F$8,0,AU35)</f>
        <v>0</v>
      </c>
    </row>
    <row r="37" spans="2:48" ht="12.95" customHeight="1" x14ac:dyDescent="0.2">
      <c r="B37" s="14"/>
      <c r="C37" s="372">
        <v>31</v>
      </c>
      <c r="D37" s="372"/>
      <c r="E37" s="372"/>
      <c r="F37" s="253" t="s">
        <v>492</v>
      </c>
      <c r="G37" s="253" t="s">
        <v>4</v>
      </c>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f>IF($C37&gt;LOG!$F$8,0,AK36)</f>
        <v>0</v>
      </c>
      <c r="AM37" s="124">
        <f>IF($C37&gt;LOG!$F$8,0,AL36)</f>
        <v>0</v>
      </c>
      <c r="AN37" s="124">
        <f>IF($C37&gt;LOG!$F$8,0,AM36)</f>
        <v>0</v>
      </c>
      <c r="AO37" s="124">
        <f>IF($C37&gt;LOG!$F$8,0,AN36)</f>
        <v>0</v>
      </c>
      <c r="AP37" s="124">
        <f>IF($C37&gt;LOG!$F$8,0,AO36)</f>
        <v>0</v>
      </c>
      <c r="AQ37" s="124">
        <f>IF($C37&gt;LOG!$F$8,0,AP36)</f>
        <v>0</v>
      </c>
      <c r="AR37" s="124">
        <f>IF($C37&gt;LOG!$F$8,0,AQ36)</f>
        <v>0</v>
      </c>
      <c r="AS37" s="124">
        <f>IF($C37&gt;LOG!$F$8,0,AR36)</f>
        <v>0</v>
      </c>
      <c r="AT37" s="124">
        <f>IF($C37&gt;LOG!$F$8,0,AS36)</f>
        <v>0</v>
      </c>
      <c r="AU37" s="124">
        <f>IF($C37&gt;LOG!$F$8,0,AT36)</f>
        <v>0</v>
      </c>
      <c r="AV37" s="124">
        <f>IF($C37&gt;LOG!$F$8,0,AU36)</f>
        <v>0</v>
      </c>
    </row>
    <row r="38" spans="2:48" ht="12.95" customHeight="1" x14ac:dyDescent="0.2">
      <c r="B38" s="14"/>
      <c r="C38" s="372">
        <v>32</v>
      </c>
      <c r="D38" s="372"/>
      <c r="E38" s="372"/>
      <c r="F38" s="253" t="s">
        <v>492</v>
      </c>
      <c r="G38" s="253" t="s">
        <v>4</v>
      </c>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f>IF($C38&gt;LOG!$F$8,0,AL37)</f>
        <v>0</v>
      </c>
      <c r="AN38" s="124">
        <f>IF($C38&gt;LOG!$F$8,0,AM37)</f>
        <v>0</v>
      </c>
      <c r="AO38" s="124">
        <f>IF($C38&gt;LOG!$F$8,0,AN37)</f>
        <v>0</v>
      </c>
      <c r="AP38" s="124">
        <f>IF($C38&gt;LOG!$F$8,0,AO37)</f>
        <v>0</v>
      </c>
      <c r="AQ38" s="124">
        <f>IF($C38&gt;LOG!$F$8,0,AP37)</f>
        <v>0</v>
      </c>
      <c r="AR38" s="124">
        <f>IF($C38&gt;LOG!$F$8,0,AQ37)</f>
        <v>0</v>
      </c>
      <c r="AS38" s="124">
        <f>IF($C38&gt;LOG!$F$8,0,AR37)</f>
        <v>0</v>
      </c>
      <c r="AT38" s="124">
        <f>IF($C38&gt;LOG!$F$8,0,AS37)</f>
        <v>0</v>
      </c>
      <c r="AU38" s="124">
        <f>IF($C38&gt;LOG!$F$8,0,AT37)</f>
        <v>0</v>
      </c>
      <c r="AV38" s="124">
        <f>IF($C38&gt;LOG!$F$8,0,AU37)</f>
        <v>0</v>
      </c>
    </row>
    <row r="39" spans="2:48" ht="12.95" customHeight="1" x14ac:dyDescent="0.2">
      <c r="B39" s="14"/>
      <c r="C39" s="372">
        <v>33</v>
      </c>
      <c r="D39" s="372"/>
      <c r="E39" s="372"/>
      <c r="F39" s="253" t="s">
        <v>492</v>
      </c>
      <c r="G39" s="253" t="s">
        <v>4</v>
      </c>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f>IF($C39&gt;LOG!$F$8,0,AM38)</f>
        <v>0</v>
      </c>
      <c r="AO39" s="124">
        <f>IF($C39&gt;LOG!$F$8,0,AN38)</f>
        <v>0</v>
      </c>
      <c r="AP39" s="124">
        <f>IF($C39&gt;LOG!$F$8,0,AO38)</f>
        <v>0</v>
      </c>
      <c r="AQ39" s="124">
        <f>IF($C39&gt;LOG!$F$8,0,AP38)</f>
        <v>0</v>
      </c>
      <c r="AR39" s="124">
        <f>IF($C39&gt;LOG!$F$8,0,AQ38)</f>
        <v>0</v>
      </c>
      <c r="AS39" s="124">
        <f>IF($C39&gt;LOG!$F$8,0,AR38)</f>
        <v>0</v>
      </c>
      <c r="AT39" s="124">
        <f>IF($C39&gt;LOG!$F$8,0,AS38)</f>
        <v>0</v>
      </c>
      <c r="AU39" s="124">
        <f>IF($C39&gt;LOG!$F$8,0,AT38)</f>
        <v>0</v>
      </c>
      <c r="AV39" s="124">
        <f>IF($C39&gt;LOG!$F$8,0,AU38)</f>
        <v>0</v>
      </c>
    </row>
    <row r="40" spans="2:48" ht="12.95" customHeight="1" x14ac:dyDescent="0.2">
      <c r="B40" s="14"/>
      <c r="C40" s="372">
        <v>34</v>
      </c>
      <c r="D40" s="372"/>
      <c r="E40" s="372"/>
      <c r="F40" s="253" t="s">
        <v>492</v>
      </c>
      <c r="G40" s="253" t="s">
        <v>4</v>
      </c>
      <c r="H40" s="124"/>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f>IF($C40&gt;LOG!$F$8,0,AN39)</f>
        <v>0</v>
      </c>
      <c r="AP40" s="124">
        <f>IF($C40&gt;LOG!$F$8,0,AO39)</f>
        <v>0</v>
      </c>
      <c r="AQ40" s="124">
        <f>IF($C40&gt;LOG!$F$8,0,AP39)</f>
        <v>0</v>
      </c>
      <c r="AR40" s="124">
        <f>IF($C40&gt;LOG!$F$8,0,AQ39)</f>
        <v>0</v>
      </c>
      <c r="AS40" s="124">
        <f>IF($C40&gt;LOG!$F$8,0,AR39)</f>
        <v>0</v>
      </c>
      <c r="AT40" s="124">
        <f>IF($C40&gt;LOG!$F$8,0,AS39)</f>
        <v>0</v>
      </c>
      <c r="AU40" s="124">
        <f>IF($C40&gt;LOG!$F$8,0,AT39)</f>
        <v>0</v>
      </c>
      <c r="AV40" s="124">
        <f>IF($C40&gt;LOG!$F$8,0,AU39)</f>
        <v>0</v>
      </c>
    </row>
    <row r="41" spans="2:48" ht="12.95" customHeight="1" x14ac:dyDescent="0.2">
      <c r="B41" s="14"/>
      <c r="C41" s="372">
        <v>35</v>
      </c>
      <c r="D41" s="372"/>
      <c r="E41" s="372"/>
      <c r="F41" s="253" t="s">
        <v>492</v>
      </c>
      <c r="G41" s="253" t="s">
        <v>4</v>
      </c>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c r="AN41" s="124"/>
      <c r="AO41" s="124"/>
      <c r="AP41" s="124">
        <f>IF($C41&gt;LOG!$F$8,0,AO40)</f>
        <v>0</v>
      </c>
      <c r="AQ41" s="124">
        <f>IF($C41&gt;LOG!$F$8,0,AP40)</f>
        <v>0</v>
      </c>
      <c r="AR41" s="124">
        <f>IF($C41&gt;LOG!$F$8,0,AQ40)</f>
        <v>0</v>
      </c>
      <c r="AS41" s="124">
        <f>IF($C41&gt;LOG!$F$8,0,AR40)</f>
        <v>0</v>
      </c>
      <c r="AT41" s="124">
        <f>IF($C41&gt;LOG!$F$8,0,AS40)</f>
        <v>0</v>
      </c>
      <c r="AU41" s="124">
        <f>IF($C41&gt;LOG!$F$8,0,AT40)</f>
        <v>0</v>
      </c>
      <c r="AV41" s="124">
        <f>IF($C41&gt;LOG!$F$8,0,AU40)</f>
        <v>0</v>
      </c>
    </row>
    <row r="42" spans="2:48" ht="12.95" customHeight="1" x14ac:dyDescent="0.2">
      <c r="B42" s="14"/>
      <c r="C42" s="372">
        <v>36</v>
      </c>
      <c r="D42" s="372"/>
      <c r="E42" s="372"/>
      <c r="F42" s="253" t="s">
        <v>492</v>
      </c>
      <c r="G42" s="253" t="s">
        <v>4</v>
      </c>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f>IF($C42&gt;LOG!$F$8,0,AP41)</f>
        <v>0</v>
      </c>
      <c r="AR42" s="124">
        <f>IF($C42&gt;LOG!$F$8,0,AQ41)</f>
        <v>0</v>
      </c>
      <c r="AS42" s="124">
        <f>IF($C42&gt;LOG!$F$8,0,AR41)</f>
        <v>0</v>
      </c>
      <c r="AT42" s="124">
        <f>IF($C42&gt;LOG!$F$8,0,AS41)</f>
        <v>0</v>
      </c>
      <c r="AU42" s="124">
        <f>IF($C42&gt;LOG!$F$8,0,AT41)</f>
        <v>0</v>
      </c>
      <c r="AV42" s="124">
        <f>IF($C42&gt;LOG!$F$8,0,AU41)</f>
        <v>0</v>
      </c>
    </row>
    <row r="43" spans="2:48" ht="12.95" customHeight="1" x14ac:dyDescent="0.2">
      <c r="B43" s="14"/>
      <c r="C43" s="372">
        <v>37</v>
      </c>
      <c r="D43" s="372"/>
      <c r="E43" s="372"/>
      <c r="F43" s="253" t="s">
        <v>492</v>
      </c>
      <c r="G43" s="253" t="s">
        <v>4</v>
      </c>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f>IF($C43&gt;LOG!$F$8,0,AQ42)</f>
        <v>0</v>
      </c>
      <c r="AS43" s="124">
        <f>IF($C43&gt;LOG!$F$8,0,AR42)</f>
        <v>0</v>
      </c>
      <c r="AT43" s="124">
        <f>IF($C43&gt;LOG!$F$8,0,AS42)</f>
        <v>0</v>
      </c>
      <c r="AU43" s="124">
        <f>IF($C43&gt;LOG!$F$8,0,AT42)</f>
        <v>0</v>
      </c>
      <c r="AV43" s="124">
        <f>IF($C43&gt;LOG!$F$8,0,AU42)</f>
        <v>0</v>
      </c>
    </row>
    <row r="44" spans="2:48" ht="12.95" customHeight="1" x14ac:dyDescent="0.2">
      <c r="B44" s="14"/>
      <c r="C44" s="372">
        <v>38</v>
      </c>
      <c r="D44" s="372"/>
      <c r="E44" s="372"/>
      <c r="F44" s="253" t="s">
        <v>492</v>
      </c>
      <c r="G44" s="253" t="s">
        <v>4</v>
      </c>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f>IF($C44&gt;LOG!$F$8,0,AR43)</f>
        <v>0</v>
      </c>
      <c r="AT44" s="124">
        <f>IF($C44&gt;LOG!$F$8,0,AS43)</f>
        <v>0</v>
      </c>
      <c r="AU44" s="124">
        <f>IF($C44&gt;LOG!$F$8,0,AT43)</f>
        <v>0</v>
      </c>
      <c r="AV44" s="124">
        <f>IF($C44&gt;LOG!$F$8,0,AU43)</f>
        <v>0</v>
      </c>
    </row>
    <row r="45" spans="2:48" ht="12.95" customHeight="1" x14ac:dyDescent="0.2">
      <c r="B45" s="14"/>
      <c r="C45" s="372">
        <v>39</v>
      </c>
      <c r="D45" s="372"/>
      <c r="E45" s="372"/>
      <c r="F45" s="253" t="s">
        <v>492</v>
      </c>
      <c r="G45" s="253" t="s">
        <v>4</v>
      </c>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f>IF($C45&gt;LOG!$F$8,0,AS44)</f>
        <v>0</v>
      </c>
      <c r="AU45" s="124">
        <f>IF($C45&gt;LOG!$F$8,0,AT44)</f>
        <v>0</v>
      </c>
      <c r="AV45" s="124">
        <f>IF($C45&gt;LOG!$F$8,0,AU44)</f>
        <v>0</v>
      </c>
    </row>
    <row r="46" spans="2:48" ht="12.95" customHeight="1" x14ac:dyDescent="0.2">
      <c r="B46" s="14"/>
      <c r="C46" s="372">
        <v>40</v>
      </c>
      <c r="D46" s="372"/>
      <c r="E46" s="372"/>
      <c r="F46" s="253" t="s">
        <v>492</v>
      </c>
      <c r="G46" s="253" t="s">
        <v>4</v>
      </c>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f>IF($C46&gt;LOG!$F$8,0,AT45)</f>
        <v>0</v>
      </c>
      <c r="AV46" s="124">
        <f>IF($C46&gt;LOG!$F$8,0,AU45)</f>
        <v>0</v>
      </c>
    </row>
    <row r="47" spans="2:48" ht="12.95" customHeight="1" x14ac:dyDescent="0.2">
      <c r="B47" s="14" t="s">
        <v>912</v>
      </c>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row>
    <row r="48" spans="2:48" ht="12.95" customHeight="1" x14ac:dyDescent="0.2">
      <c r="B48" s="14"/>
      <c r="C48" s="372">
        <v>1</v>
      </c>
      <c r="D48" s="372"/>
      <c r="E48" s="372"/>
      <c r="F48" s="253" t="s">
        <v>492</v>
      </c>
      <c r="G48" s="253" t="s">
        <v>395</v>
      </c>
      <c r="H48" s="277">
        <f t="shared" ref="H48:AV48" si="1">HLOOKUP(H7,t_growth,3)</f>
        <v>43.034527673896086</v>
      </c>
      <c r="I48" s="277">
        <f t="shared" si="1"/>
        <v>45.606729324439719</v>
      </c>
      <c r="J48" s="277">
        <f t="shared" si="1"/>
        <v>48.146347095592041</v>
      </c>
      <c r="K48" s="277">
        <f t="shared" si="1"/>
        <v>50.647617422659295</v>
      </c>
      <c r="L48" s="277">
        <f t="shared" si="1"/>
        <v>53.105545795652432</v>
      </c>
      <c r="M48" s="277">
        <f t="shared" si="1"/>
        <v>55.515852675616792</v>
      </c>
      <c r="N48" s="277">
        <f t="shared" si="1"/>
        <v>57.874919434974622</v>
      </c>
      <c r="O48" s="277">
        <f t="shared" si="1"/>
        <v>60.179735156461923</v>
      </c>
      <c r="P48" s="277">
        <f t="shared" si="1"/>
        <v>62.427844922873923</v>
      </c>
      <c r="Q48" s="277">
        <f t="shared" si="1"/>
        <v>64.617300064203548</v>
      </c>
      <c r="R48" s="277">
        <f t="shared" si="1"/>
        <v>66.746610693912174</v>
      </c>
      <c r="S48" s="277">
        <f t="shared" si="1"/>
        <v>68.814700756968321</v>
      </c>
      <c r="T48" s="277">
        <f t="shared" si="1"/>
        <v>70.820865724660678</v>
      </c>
      <c r="U48" s="277">
        <f t="shared" si="1"/>
        <v>72.764733001429349</v>
      </c>
      <c r="V48" s="277">
        <f t="shared" si="1"/>
        <v>74.646225054022594</v>
      </c>
      <c r="W48" s="277">
        <f t="shared" si="1"/>
        <v>76.465525230604669</v>
      </c>
      <c r="X48" s="277">
        <f t="shared" si="1"/>
        <v>78.22304620485869</v>
      </c>
      <c r="Y48" s="277">
        <f t="shared" si="1"/>
        <v>79.919400955828209</v>
      </c>
      <c r="Z48" s="277">
        <f t="shared" si="1"/>
        <v>81.555376176702282</v>
      </c>
      <c r="AA48" s="277">
        <f t="shared" si="1"/>
        <v>83.131907993694981</v>
      </c>
      <c r="AB48" s="277">
        <f t="shared" si="1"/>
        <v>84.650059868539287</v>
      </c>
      <c r="AC48" s="277">
        <f t="shared" si="1"/>
        <v>86.111002554017915</v>
      </c>
      <c r="AD48" s="277">
        <f t="shared" si="1"/>
        <v>87.515995970655169</v>
      </c>
      <c r="AE48" s="277">
        <f t="shared" si="1"/>
        <v>88.866372873580801</v>
      </c>
      <c r="AF48" s="277">
        <f t="shared" si="1"/>
        <v>90.163524181150464</v>
      </c>
      <c r="AG48" s="277">
        <f t="shared" si="1"/>
        <v>91.408885840746265</v>
      </c>
      <c r="AH48" s="277">
        <f t="shared" si="1"/>
        <v>92.603927111953922</v>
      </c>
      <c r="AI48" s="277">
        <f t="shared" si="1"/>
        <v>93.750140152737799</v>
      </c>
      <c r="AJ48" s="277">
        <f t="shared" si="1"/>
        <v>94.849030800092564</v>
      </c>
      <c r="AK48" s="277">
        <f t="shared" si="1"/>
        <v>95.902110442760019</v>
      </c>
      <c r="AL48" s="277">
        <f t="shared" si="1"/>
        <v>96.910888889817528</v>
      </c>
      <c r="AM48" s="277">
        <f t="shared" si="1"/>
        <v>97.876868145162788</v>
      </c>
      <c r="AN48" s="277">
        <f t="shared" si="1"/>
        <v>98.801537004046068</v>
      </c>
      <c r="AO48" s="277">
        <f t="shared" si="1"/>
        <v>99.686366393772815</v>
      </c>
      <c r="AP48" s="277">
        <f t="shared" si="1"/>
        <v>100.5328053864676</v>
      </c>
      <c r="AQ48" s="277">
        <f t="shared" si="1"/>
        <v>101.34227781731518</v>
      </c>
      <c r="AR48" s="277">
        <f t="shared" si="1"/>
        <v>102.11617944695877</v>
      </c>
      <c r="AS48" s="277">
        <f t="shared" si="1"/>
        <v>102.85587561171667</v>
      </c>
      <c r="AT48" s="277">
        <f t="shared" si="1"/>
        <v>103.56269930997377</v>
      </c>
      <c r="AU48" s="277">
        <f t="shared" si="1"/>
        <v>104.23794967751182</v>
      </c>
      <c r="AV48" s="277">
        <f t="shared" si="1"/>
        <v>104.88289080865843</v>
      </c>
    </row>
    <row r="49" spans="2:48" ht="12.95" customHeight="1" x14ac:dyDescent="0.2">
      <c r="B49" s="14"/>
      <c r="C49" s="372">
        <v>2</v>
      </c>
      <c r="D49" s="372"/>
      <c r="E49" s="372"/>
      <c r="F49" s="253" t="s">
        <v>492</v>
      </c>
      <c r="G49" s="253" t="s">
        <v>395</v>
      </c>
      <c r="H49" s="277"/>
      <c r="I49" s="277">
        <f t="shared" ref="I49:AV49" si="2">HLOOKUP(I8,t_growth,3)</f>
        <v>43.034527673896086</v>
      </c>
      <c r="J49" s="277">
        <f t="shared" si="2"/>
        <v>45.606729324439719</v>
      </c>
      <c r="K49" s="277">
        <f t="shared" si="2"/>
        <v>48.146347095592041</v>
      </c>
      <c r="L49" s="277">
        <f t="shared" si="2"/>
        <v>50.647617422659295</v>
      </c>
      <c r="M49" s="277">
        <f t="shared" si="2"/>
        <v>53.105545795652432</v>
      </c>
      <c r="N49" s="277">
        <f t="shared" si="2"/>
        <v>55.515852675616792</v>
      </c>
      <c r="O49" s="277">
        <f t="shared" si="2"/>
        <v>57.874919434974622</v>
      </c>
      <c r="P49" s="277">
        <f t="shared" si="2"/>
        <v>60.179735156461923</v>
      </c>
      <c r="Q49" s="277">
        <f t="shared" si="2"/>
        <v>62.427844922873923</v>
      </c>
      <c r="R49" s="277">
        <f t="shared" si="2"/>
        <v>64.617300064203548</v>
      </c>
      <c r="S49" s="277">
        <f t="shared" si="2"/>
        <v>66.746610693912174</v>
      </c>
      <c r="T49" s="277">
        <f t="shared" si="2"/>
        <v>68.814700756968321</v>
      </c>
      <c r="U49" s="277">
        <f t="shared" si="2"/>
        <v>70.820865724660678</v>
      </c>
      <c r="V49" s="277">
        <f t="shared" si="2"/>
        <v>72.764733001429349</v>
      </c>
      <c r="W49" s="277">
        <f t="shared" si="2"/>
        <v>74.646225054022594</v>
      </c>
      <c r="X49" s="277">
        <f t="shared" si="2"/>
        <v>76.465525230604669</v>
      </c>
      <c r="Y49" s="277">
        <f t="shared" si="2"/>
        <v>78.22304620485869</v>
      </c>
      <c r="Z49" s="277">
        <f t="shared" si="2"/>
        <v>79.919400955828209</v>
      </c>
      <c r="AA49" s="277">
        <f t="shared" si="2"/>
        <v>81.555376176702282</v>
      </c>
      <c r="AB49" s="277">
        <f t="shared" si="2"/>
        <v>83.131907993694981</v>
      </c>
      <c r="AC49" s="277">
        <f t="shared" si="2"/>
        <v>84.650059868539287</v>
      </c>
      <c r="AD49" s="277">
        <f t="shared" si="2"/>
        <v>86.111002554017915</v>
      </c>
      <c r="AE49" s="277">
        <f t="shared" si="2"/>
        <v>87.515995970655169</v>
      </c>
      <c r="AF49" s="277">
        <f t="shared" si="2"/>
        <v>88.866372873580801</v>
      </c>
      <c r="AG49" s="277">
        <f t="shared" si="2"/>
        <v>90.163524181150464</v>
      </c>
      <c r="AH49" s="277">
        <f t="shared" si="2"/>
        <v>91.408885840746265</v>
      </c>
      <c r="AI49" s="277">
        <f t="shared" si="2"/>
        <v>92.603927111953922</v>
      </c>
      <c r="AJ49" s="277">
        <f t="shared" si="2"/>
        <v>93.750140152737799</v>
      </c>
      <c r="AK49" s="277">
        <f t="shared" si="2"/>
        <v>94.849030800092564</v>
      </c>
      <c r="AL49" s="277">
        <f t="shared" si="2"/>
        <v>95.902110442760019</v>
      </c>
      <c r="AM49" s="277">
        <f t="shared" si="2"/>
        <v>96.910888889817528</v>
      </c>
      <c r="AN49" s="277">
        <f t="shared" si="2"/>
        <v>97.876868145162788</v>
      </c>
      <c r="AO49" s="277">
        <f t="shared" si="2"/>
        <v>98.801537004046068</v>
      </c>
      <c r="AP49" s="277">
        <f t="shared" si="2"/>
        <v>99.686366393772815</v>
      </c>
      <c r="AQ49" s="277">
        <f t="shared" si="2"/>
        <v>100.5328053864676</v>
      </c>
      <c r="AR49" s="277">
        <f t="shared" si="2"/>
        <v>101.34227781731518</v>
      </c>
      <c r="AS49" s="277">
        <f t="shared" si="2"/>
        <v>102.11617944695877</v>
      </c>
      <c r="AT49" s="277">
        <f t="shared" si="2"/>
        <v>102.85587561171667</v>
      </c>
      <c r="AU49" s="277">
        <f t="shared" si="2"/>
        <v>103.56269930997377</v>
      </c>
      <c r="AV49" s="277">
        <f t="shared" si="2"/>
        <v>104.23794967751182</v>
      </c>
    </row>
    <row r="50" spans="2:48" ht="12.95" customHeight="1" x14ac:dyDescent="0.2">
      <c r="B50" s="14"/>
      <c r="C50" s="372">
        <v>3</v>
      </c>
      <c r="D50" s="372"/>
      <c r="E50" s="372"/>
      <c r="F50" s="253" t="s">
        <v>492</v>
      </c>
      <c r="G50" s="253" t="s">
        <v>395</v>
      </c>
      <c r="H50" s="277"/>
      <c r="I50" s="277"/>
      <c r="J50" s="277">
        <f t="shared" ref="J50:AV50" si="3">HLOOKUP(J9,t_growth,3)</f>
        <v>43.034527673896086</v>
      </c>
      <c r="K50" s="277">
        <f t="shared" si="3"/>
        <v>45.606729324439719</v>
      </c>
      <c r="L50" s="277">
        <f t="shared" si="3"/>
        <v>48.146347095592041</v>
      </c>
      <c r="M50" s="277">
        <f t="shared" si="3"/>
        <v>50.647617422659295</v>
      </c>
      <c r="N50" s="277">
        <f t="shared" si="3"/>
        <v>53.105545795652432</v>
      </c>
      <c r="O50" s="277">
        <f t="shared" si="3"/>
        <v>55.515852675616792</v>
      </c>
      <c r="P50" s="277">
        <f t="shared" si="3"/>
        <v>57.874919434974622</v>
      </c>
      <c r="Q50" s="277">
        <f t="shared" si="3"/>
        <v>60.179735156461923</v>
      </c>
      <c r="R50" s="277">
        <f t="shared" si="3"/>
        <v>62.427844922873923</v>
      </c>
      <c r="S50" s="277">
        <f t="shared" si="3"/>
        <v>64.617300064203548</v>
      </c>
      <c r="T50" s="277">
        <f t="shared" si="3"/>
        <v>66.746610693912174</v>
      </c>
      <c r="U50" s="277">
        <f t="shared" si="3"/>
        <v>68.814700756968321</v>
      </c>
      <c r="V50" s="277">
        <f t="shared" si="3"/>
        <v>70.820865724660678</v>
      </c>
      <c r="W50" s="277">
        <f t="shared" si="3"/>
        <v>72.764733001429349</v>
      </c>
      <c r="X50" s="277">
        <f t="shared" si="3"/>
        <v>74.646225054022594</v>
      </c>
      <c r="Y50" s="277">
        <f t="shared" si="3"/>
        <v>76.465525230604669</v>
      </c>
      <c r="Z50" s="277">
        <f t="shared" si="3"/>
        <v>78.22304620485869</v>
      </c>
      <c r="AA50" s="277">
        <f t="shared" si="3"/>
        <v>79.919400955828209</v>
      </c>
      <c r="AB50" s="277">
        <f t="shared" si="3"/>
        <v>81.555376176702282</v>
      </c>
      <c r="AC50" s="277">
        <f t="shared" si="3"/>
        <v>83.131907993694981</v>
      </c>
      <c r="AD50" s="277">
        <f t="shared" si="3"/>
        <v>84.650059868539287</v>
      </c>
      <c r="AE50" s="277">
        <f t="shared" si="3"/>
        <v>86.111002554017915</v>
      </c>
      <c r="AF50" s="277">
        <f t="shared" si="3"/>
        <v>87.515995970655169</v>
      </c>
      <c r="AG50" s="277">
        <f t="shared" si="3"/>
        <v>88.866372873580801</v>
      </c>
      <c r="AH50" s="277">
        <f t="shared" si="3"/>
        <v>90.163524181150464</v>
      </c>
      <c r="AI50" s="277">
        <f t="shared" si="3"/>
        <v>91.408885840746265</v>
      </c>
      <c r="AJ50" s="277">
        <f t="shared" si="3"/>
        <v>92.603927111953922</v>
      </c>
      <c r="AK50" s="277">
        <f t="shared" si="3"/>
        <v>93.750140152737799</v>
      </c>
      <c r="AL50" s="277">
        <f t="shared" si="3"/>
        <v>94.849030800092564</v>
      </c>
      <c r="AM50" s="277">
        <f t="shared" si="3"/>
        <v>95.902110442760019</v>
      </c>
      <c r="AN50" s="277">
        <f t="shared" si="3"/>
        <v>96.910888889817528</v>
      </c>
      <c r="AO50" s="277">
        <f t="shared" si="3"/>
        <v>97.876868145162788</v>
      </c>
      <c r="AP50" s="277">
        <f t="shared" si="3"/>
        <v>98.801537004046068</v>
      </c>
      <c r="AQ50" s="277">
        <f t="shared" si="3"/>
        <v>99.686366393772815</v>
      </c>
      <c r="AR50" s="277">
        <f t="shared" si="3"/>
        <v>100.5328053864676</v>
      </c>
      <c r="AS50" s="277">
        <f t="shared" si="3"/>
        <v>101.34227781731518</v>
      </c>
      <c r="AT50" s="277">
        <f t="shared" si="3"/>
        <v>102.11617944695877</v>
      </c>
      <c r="AU50" s="277">
        <f t="shared" si="3"/>
        <v>102.85587561171667</v>
      </c>
      <c r="AV50" s="277">
        <f t="shared" si="3"/>
        <v>103.56269930997377</v>
      </c>
    </row>
    <row r="51" spans="2:48" ht="12.95" customHeight="1" x14ac:dyDescent="0.2">
      <c r="B51" s="14"/>
      <c r="C51" s="372">
        <v>4</v>
      </c>
      <c r="D51" s="372"/>
      <c r="E51" s="372"/>
      <c r="F51" s="253" t="s">
        <v>492</v>
      </c>
      <c r="G51" s="253" t="s">
        <v>395</v>
      </c>
      <c r="H51" s="277"/>
      <c r="I51" s="277"/>
      <c r="J51" s="277"/>
      <c r="K51" s="277">
        <f t="shared" ref="K51:AV51" si="4">HLOOKUP(K10,t_growth,3)</f>
        <v>43.034527673896086</v>
      </c>
      <c r="L51" s="277">
        <f t="shared" si="4"/>
        <v>45.606729324439719</v>
      </c>
      <c r="M51" s="277">
        <f t="shared" si="4"/>
        <v>48.146347095592041</v>
      </c>
      <c r="N51" s="277">
        <f t="shared" si="4"/>
        <v>50.647617422659295</v>
      </c>
      <c r="O51" s="277">
        <f t="shared" si="4"/>
        <v>53.105545795652432</v>
      </c>
      <c r="P51" s="277">
        <f t="shared" si="4"/>
        <v>55.515852675616792</v>
      </c>
      <c r="Q51" s="277">
        <f t="shared" si="4"/>
        <v>57.874919434974622</v>
      </c>
      <c r="R51" s="277">
        <f t="shared" si="4"/>
        <v>60.179735156461923</v>
      </c>
      <c r="S51" s="277">
        <f t="shared" si="4"/>
        <v>62.427844922873923</v>
      </c>
      <c r="T51" s="277">
        <f t="shared" si="4"/>
        <v>64.617300064203548</v>
      </c>
      <c r="U51" s="277">
        <f t="shared" si="4"/>
        <v>66.746610693912174</v>
      </c>
      <c r="V51" s="277">
        <f t="shared" si="4"/>
        <v>68.814700756968321</v>
      </c>
      <c r="W51" s="277">
        <f t="shared" si="4"/>
        <v>70.820865724660678</v>
      </c>
      <c r="X51" s="277">
        <f t="shared" si="4"/>
        <v>72.764733001429349</v>
      </c>
      <c r="Y51" s="277">
        <f t="shared" si="4"/>
        <v>74.646225054022594</v>
      </c>
      <c r="Z51" s="277">
        <f t="shared" si="4"/>
        <v>76.465525230604669</v>
      </c>
      <c r="AA51" s="277">
        <f t="shared" si="4"/>
        <v>78.22304620485869</v>
      </c>
      <c r="AB51" s="277">
        <f t="shared" si="4"/>
        <v>79.919400955828209</v>
      </c>
      <c r="AC51" s="277">
        <f t="shared" si="4"/>
        <v>81.555376176702282</v>
      </c>
      <c r="AD51" s="277">
        <f t="shared" si="4"/>
        <v>83.131907993694981</v>
      </c>
      <c r="AE51" s="277">
        <f t="shared" si="4"/>
        <v>84.650059868539287</v>
      </c>
      <c r="AF51" s="277">
        <f t="shared" si="4"/>
        <v>86.111002554017915</v>
      </c>
      <c r="AG51" s="277">
        <f t="shared" si="4"/>
        <v>87.515995970655169</v>
      </c>
      <c r="AH51" s="277">
        <f t="shared" si="4"/>
        <v>88.866372873580801</v>
      </c>
      <c r="AI51" s="277">
        <f t="shared" si="4"/>
        <v>90.163524181150464</v>
      </c>
      <c r="AJ51" s="277">
        <f t="shared" si="4"/>
        <v>91.408885840746265</v>
      </c>
      <c r="AK51" s="277">
        <f t="shared" si="4"/>
        <v>92.603927111953922</v>
      </c>
      <c r="AL51" s="277">
        <f t="shared" si="4"/>
        <v>93.750140152737799</v>
      </c>
      <c r="AM51" s="277">
        <f t="shared" si="4"/>
        <v>94.849030800092564</v>
      </c>
      <c r="AN51" s="277">
        <f t="shared" si="4"/>
        <v>95.902110442760019</v>
      </c>
      <c r="AO51" s="277">
        <f t="shared" si="4"/>
        <v>96.910888889817528</v>
      </c>
      <c r="AP51" s="277">
        <f t="shared" si="4"/>
        <v>97.876868145162788</v>
      </c>
      <c r="AQ51" s="277">
        <f t="shared" si="4"/>
        <v>98.801537004046068</v>
      </c>
      <c r="AR51" s="277">
        <f t="shared" si="4"/>
        <v>99.686366393772815</v>
      </c>
      <c r="AS51" s="277">
        <f t="shared" si="4"/>
        <v>100.5328053864676</v>
      </c>
      <c r="AT51" s="277">
        <f t="shared" si="4"/>
        <v>101.34227781731518</v>
      </c>
      <c r="AU51" s="277">
        <f t="shared" si="4"/>
        <v>102.11617944695877</v>
      </c>
      <c r="AV51" s="277">
        <f t="shared" si="4"/>
        <v>102.85587561171667</v>
      </c>
    </row>
    <row r="52" spans="2:48" ht="12.95" customHeight="1" x14ac:dyDescent="0.2">
      <c r="B52" s="14"/>
      <c r="C52" s="372">
        <v>5</v>
      </c>
      <c r="D52" s="372"/>
      <c r="E52" s="372"/>
      <c r="F52" s="253" t="s">
        <v>492</v>
      </c>
      <c r="G52" s="253" t="s">
        <v>395</v>
      </c>
      <c r="H52" s="277"/>
      <c r="I52" s="277"/>
      <c r="J52" s="277"/>
      <c r="K52" s="277"/>
      <c r="L52" s="277">
        <f t="shared" ref="L52:AV52" si="5">HLOOKUP(L11,t_growth,3)</f>
        <v>43.034527673896086</v>
      </c>
      <c r="M52" s="277">
        <f t="shared" si="5"/>
        <v>45.606729324439719</v>
      </c>
      <c r="N52" s="277">
        <f t="shared" si="5"/>
        <v>48.146347095592041</v>
      </c>
      <c r="O52" s="277">
        <f t="shared" si="5"/>
        <v>50.647617422659295</v>
      </c>
      <c r="P52" s="277">
        <f t="shared" si="5"/>
        <v>53.105545795652432</v>
      </c>
      <c r="Q52" s="277">
        <f t="shared" si="5"/>
        <v>55.515852675616792</v>
      </c>
      <c r="R52" s="277">
        <f t="shared" si="5"/>
        <v>57.874919434974622</v>
      </c>
      <c r="S52" s="277">
        <f t="shared" si="5"/>
        <v>60.179735156461923</v>
      </c>
      <c r="T52" s="277">
        <f t="shared" si="5"/>
        <v>62.427844922873923</v>
      </c>
      <c r="U52" s="277">
        <f t="shared" si="5"/>
        <v>64.617300064203548</v>
      </c>
      <c r="V52" s="277">
        <f t="shared" si="5"/>
        <v>66.746610693912174</v>
      </c>
      <c r="W52" s="277">
        <f t="shared" si="5"/>
        <v>68.814700756968321</v>
      </c>
      <c r="X52" s="277">
        <f t="shared" si="5"/>
        <v>70.820865724660678</v>
      </c>
      <c r="Y52" s="277">
        <f t="shared" si="5"/>
        <v>72.764733001429349</v>
      </c>
      <c r="Z52" s="277">
        <f t="shared" si="5"/>
        <v>74.646225054022594</v>
      </c>
      <c r="AA52" s="277">
        <f t="shared" si="5"/>
        <v>76.465525230604669</v>
      </c>
      <c r="AB52" s="277">
        <f t="shared" si="5"/>
        <v>78.22304620485869</v>
      </c>
      <c r="AC52" s="277">
        <f t="shared" si="5"/>
        <v>79.919400955828209</v>
      </c>
      <c r="AD52" s="277">
        <f t="shared" si="5"/>
        <v>81.555376176702282</v>
      </c>
      <c r="AE52" s="277">
        <f t="shared" si="5"/>
        <v>83.131907993694981</v>
      </c>
      <c r="AF52" s="277">
        <f t="shared" si="5"/>
        <v>84.650059868539287</v>
      </c>
      <c r="AG52" s="277">
        <f t="shared" si="5"/>
        <v>86.111002554017915</v>
      </c>
      <c r="AH52" s="277">
        <f t="shared" si="5"/>
        <v>87.515995970655169</v>
      </c>
      <c r="AI52" s="277">
        <f t="shared" si="5"/>
        <v>88.866372873580801</v>
      </c>
      <c r="AJ52" s="277">
        <f t="shared" si="5"/>
        <v>90.163524181150464</v>
      </c>
      <c r="AK52" s="277">
        <f t="shared" si="5"/>
        <v>91.408885840746265</v>
      </c>
      <c r="AL52" s="277">
        <f t="shared" si="5"/>
        <v>92.603927111953922</v>
      </c>
      <c r="AM52" s="277">
        <f t="shared" si="5"/>
        <v>93.750140152737799</v>
      </c>
      <c r="AN52" s="277">
        <f t="shared" si="5"/>
        <v>94.849030800092564</v>
      </c>
      <c r="AO52" s="277">
        <f t="shared" si="5"/>
        <v>95.902110442760019</v>
      </c>
      <c r="AP52" s="277">
        <f t="shared" si="5"/>
        <v>96.910888889817528</v>
      </c>
      <c r="AQ52" s="277">
        <f t="shared" si="5"/>
        <v>97.876868145162788</v>
      </c>
      <c r="AR52" s="277">
        <f t="shared" si="5"/>
        <v>98.801537004046068</v>
      </c>
      <c r="AS52" s="277">
        <f t="shared" si="5"/>
        <v>99.686366393772815</v>
      </c>
      <c r="AT52" s="277">
        <f t="shared" si="5"/>
        <v>100.5328053864676</v>
      </c>
      <c r="AU52" s="277">
        <f t="shared" si="5"/>
        <v>101.34227781731518</v>
      </c>
      <c r="AV52" s="277">
        <f t="shared" si="5"/>
        <v>102.11617944695877</v>
      </c>
    </row>
    <row r="53" spans="2:48" ht="12.95" customHeight="1" x14ac:dyDescent="0.2">
      <c r="B53" s="14"/>
      <c r="C53" s="372">
        <v>6</v>
      </c>
      <c r="D53" s="372"/>
      <c r="E53" s="372"/>
      <c r="F53" s="253" t="s">
        <v>492</v>
      </c>
      <c r="G53" s="253" t="s">
        <v>395</v>
      </c>
      <c r="H53" s="277"/>
      <c r="I53" s="277"/>
      <c r="J53" s="277"/>
      <c r="K53" s="277"/>
      <c r="L53" s="277"/>
      <c r="M53" s="277">
        <f t="shared" ref="M53:AV53" si="6">HLOOKUP(M12,t_growth,3)</f>
        <v>43.034527673896086</v>
      </c>
      <c r="N53" s="277">
        <f t="shared" si="6"/>
        <v>45.606729324439719</v>
      </c>
      <c r="O53" s="277">
        <f t="shared" si="6"/>
        <v>48.146347095592041</v>
      </c>
      <c r="P53" s="277">
        <f t="shared" si="6"/>
        <v>50.647617422659295</v>
      </c>
      <c r="Q53" s="277">
        <f t="shared" si="6"/>
        <v>53.105545795652432</v>
      </c>
      <c r="R53" s="277">
        <f t="shared" si="6"/>
        <v>55.515852675616792</v>
      </c>
      <c r="S53" s="277">
        <f t="shared" si="6"/>
        <v>57.874919434974622</v>
      </c>
      <c r="T53" s="277">
        <f t="shared" si="6"/>
        <v>60.179735156461923</v>
      </c>
      <c r="U53" s="277">
        <f t="shared" si="6"/>
        <v>62.427844922873923</v>
      </c>
      <c r="V53" s="277">
        <f t="shared" si="6"/>
        <v>64.617300064203548</v>
      </c>
      <c r="W53" s="277">
        <f t="shared" si="6"/>
        <v>66.746610693912174</v>
      </c>
      <c r="X53" s="277">
        <f t="shared" si="6"/>
        <v>68.814700756968321</v>
      </c>
      <c r="Y53" s="277">
        <f t="shared" si="6"/>
        <v>70.820865724660678</v>
      </c>
      <c r="Z53" s="277">
        <f t="shared" si="6"/>
        <v>72.764733001429349</v>
      </c>
      <c r="AA53" s="277">
        <f t="shared" si="6"/>
        <v>74.646225054022594</v>
      </c>
      <c r="AB53" s="277">
        <f t="shared" si="6"/>
        <v>76.465525230604669</v>
      </c>
      <c r="AC53" s="277">
        <f t="shared" si="6"/>
        <v>78.22304620485869</v>
      </c>
      <c r="AD53" s="277">
        <f t="shared" si="6"/>
        <v>79.919400955828209</v>
      </c>
      <c r="AE53" s="277">
        <f t="shared" si="6"/>
        <v>81.555376176702282</v>
      </c>
      <c r="AF53" s="277">
        <f t="shared" si="6"/>
        <v>83.131907993694981</v>
      </c>
      <c r="AG53" s="277">
        <f t="shared" si="6"/>
        <v>84.650059868539287</v>
      </c>
      <c r="AH53" s="277">
        <f t="shared" si="6"/>
        <v>86.111002554017915</v>
      </c>
      <c r="AI53" s="277">
        <f t="shared" si="6"/>
        <v>87.515995970655169</v>
      </c>
      <c r="AJ53" s="277">
        <f t="shared" si="6"/>
        <v>88.866372873580801</v>
      </c>
      <c r="AK53" s="277">
        <f t="shared" si="6"/>
        <v>90.163524181150464</v>
      </c>
      <c r="AL53" s="277">
        <f t="shared" si="6"/>
        <v>91.408885840746265</v>
      </c>
      <c r="AM53" s="277">
        <f t="shared" si="6"/>
        <v>92.603927111953922</v>
      </c>
      <c r="AN53" s="277">
        <f t="shared" si="6"/>
        <v>93.750140152737799</v>
      </c>
      <c r="AO53" s="277">
        <f t="shared" si="6"/>
        <v>94.849030800092564</v>
      </c>
      <c r="AP53" s="277">
        <f t="shared" si="6"/>
        <v>95.902110442760019</v>
      </c>
      <c r="AQ53" s="277">
        <f t="shared" si="6"/>
        <v>96.910888889817528</v>
      </c>
      <c r="AR53" s="277">
        <f t="shared" si="6"/>
        <v>97.876868145162788</v>
      </c>
      <c r="AS53" s="277">
        <f t="shared" si="6"/>
        <v>98.801537004046068</v>
      </c>
      <c r="AT53" s="277">
        <f t="shared" si="6"/>
        <v>99.686366393772815</v>
      </c>
      <c r="AU53" s="277">
        <f t="shared" si="6"/>
        <v>100.5328053864676</v>
      </c>
      <c r="AV53" s="277">
        <f t="shared" si="6"/>
        <v>101.34227781731518</v>
      </c>
    </row>
    <row r="54" spans="2:48" ht="12.95" customHeight="1" x14ac:dyDescent="0.2">
      <c r="B54" s="14"/>
      <c r="C54" s="372">
        <v>7</v>
      </c>
      <c r="D54" s="372"/>
      <c r="E54" s="372"/>
      <c r="F54" s="253" t="s">
        <v>492</v>
      </c>
      <c r="G54" s="253" t="s">
        <v>395</v>
      </c>
      <c r="H54" s="277"/>
      <c r="I54" s="277"/>
      <c r="J54" s="277"/>
      <c r="K54" s="277"/>
      <c r="L54" s="277"/>
      <c r="M54" s="277"/>
      <c r="N54" s="277">
        <f t="shared" ref="N54:AV54" si="7">HLOOKUP(N13,t_growth,3)</f>
        <v>43.034527673896086</v>
      </c>
      <c r="O54" s="277">
        <f t="shared" si="7"/>
        <v>45.606729324439719</v>
      </c>
      <c r="P54" s="277">
        <f t="shared" si="7"/>
        <v>48.146347095592041</v>
      </c>
      <c r="Q54" s="277">
        <f t="shared" si="7"/>
        <v>50.647617422659295</v>
      </c>
      <c r="R54" s="277">
        <f t="shared" si="7"/>
        <v>53.105545795652432</v>
      </c>
      <c r="S54" s="277">
        <f t="shared" si="7"/>
        <v>55.515852675616792</v>
      </c>
      <c r="T54" s="277">
        <f t="shared" si="7"/>
        <v>57.874919434974622</v>
      </c>
      <c r="U54" s="277">
        <f t="shared" si="7"/>
        <v>60.179735156461923</v>
      </c>
      <c r="V54" s="277">
        <f t="shared" si="7"/>
        <v>62.427844922873923</v>
      </c>
      <c r="W54" s="277">
        <f t="shared" si="7"/>
        <v>64.617300064203548</v>
      </c>
      <c r="X54" s="277">
        <f t="shared" si="7"/>
        <v>66.746610693912174</v>
      </c>
      <c r="Y54" s="277">
        <f t="shared" si="7"/>
        <v>68.814700756968321</v>
      </c>
      <c r="Z54" s="277">
        <f t="shared" si="7"/>
        <v>70.820865724660678</v>
      </c>
      <c r="AA54" s="277">
        <f t="shared" si="7"/>
        <v>72.764733001429349</v>
      </c>
      <c r="AB54" s="277">
        <f t="shared" si="7"/>
        <v>74.646225054022594</v>
      </c>
      <c r="AC54" s="277">
        <f t="shared" si="7"/>
        <v>76.465525230604669</v>
      </c>
      <c r="AD54" s="277">
        <f t="shared" si="7"/>
        <v>78.22304620485869</v>
      </c>
      <c r="AE54" s="277">
        <f t="shared" si="7"/>
        <v>79.919400955828209</v>
      </c>
      <c r="AF54" s="277">
        <f t="shared" si="7"/>
        <v>81.555376176702282</v>
      </c>
      <c r="AG54" s="277">
        <f t="shared" si="7"/>
        <v>83.131907993694981</v>
      </c>
      <c r="AH54" s="277">
        <f t="shared" si="7"/>
        <v>84.650059868539287</v>
      </c>
      <c r="AI54" s="277">
        <f t="shared" si="7"/>
        <v>86.111002554017915</v>
      </c>
      <c r="AJ54" s="277">
        <f t="shared" si="7"/>
        <v>87.515995970655169</v>
      </c>
      <c r="AK54" s="277">
        <f t="shared" si="7"/>
        <v>88.866372873580801</v>
      </c>
      <c r="AL54" s="277">
        <f t="shared" si="7"/>
        <v>90.163524181150464</v>
      </c>
      <c r="AM54" s="277">
        <f t="shared" si="7"/>
        <v>91.408885840746265</v>
      </c>
      <c r="AN54" s="277">
        <f t="shared" si="7"/>
        <v>92.603927111953922</v>
      </c>
      <c r="AO54" s="277">
        <f t="shared" si="7"/>
        <v>93.750140152737799</v>
      </c>
      <c r="AP54" s="277">
        <f t="shared" si="7"/>
        <v>94.849030800092564</v>
      </c>
      <c r="AQ54" s="277">
        <f t="shared" si="7"/>
        <v>95.902110442760019</v>
      </c>
      <c r="AR54" s="277">
        <f t="shared" si="7"/>
        <v>96.910888889817528</v>
      </c>
      <c r="AS54" s="277">
        <f t="shared" si="7"/>
        <v>97.876868145162788</v>
      </c>
      <c r="AT54" s="277">
        <f t="shared" si="7"/>
        <v>98.801537004046068</v>
      </c>
      <c r="AU54" s="277">
        <f t="shared" si="7"/>
        <v>99.686366393772815</v>
      </c>
      <c r="AV54" s="277">
        <f t="shared" si="7"/>
        <v>100.5328053864676</v>
      </c>
    </row>
    <row r="55" spans="2:48" ht="12.95" customHeight="1" x14ac:dyDescent="0.2">
      <c r="B55" s="14"/>
      <c r="C55" s="372">
        <v>8</v>
      </c>
      <c r="D55" s="372"/>
      <c r="E55" s="372"/>
      <c r="F55" s="253" t="s">
        <v>492</v>
      </c>
      <c r="G55" s="253" t="s">
        <v>395</v>
      </c>
      <c r="H55" s="277"/>
      <c r="I55" s="277"/>
      <c r="J55" s="277"/>
      <c r="K55" s="277"/>
      <c r="L55" s="277"/>
      <c r="M55" s="277"/>
      <c r="N55" s="277"/>
      <c r="O55" s="277">
        <f t="shared" ref="O55:AV55" si="8">HLOOKUP(O14,t_growth,3)</f>
        <v>43.034527673896086</v>
      </c>
      <c r="P55" s="277">
        <f t="shared" si="8"/>
        <v>45.606729324439719</v>
      </c>
      <c r="Q55" s="277">
        <f t="shared" si="8"/>
        <v>48.146347095592041</v>
      </c>
      <c r="R55" s="277">
        <f t="shared" si="8"/>
        <v>50.647617422659295</v>
      </c>
      <c r="S55" s="277">
        <f t="shared" si="8"/>
        <v>53.105545795652432</v>
      </c>
      <c r="T55" s="277">
        <f t="shared" si="8"/>
        <v>55.515852675616792</v>
      </c>
      <c r="U55" s="277">
        <f t="shared" si="8"/>
        <v>57.874919434974622</v>
      </c>
      <c r="V55" s="277">
        <f t="shared" si="8"/>
        <v>60.179735156461923</v>
      </c>
      <c r="W55" s="277">
        <f t="shared" si="8"/>
        <v>62.427844922873923</v>
      </c>
      <c r="X55" s="277">
        <f t="shared" si="8"/>
        <v>64.617300064203548</v>
      </c>
      <c r="Y55" s="277">
        <f t="shared" si="8"/>
        <v>66.746610693912174</v>
      </c>
      <c r="Z55" s="277">
        <f t="shared" si="8"/>
        <v>68.814700756968321</v>
      </c>
      <c r="AA55" s="277">
        <f t="shared" si="8"/>
        <v>70.820865724660678</v>
      </c>
      <c r="AB55" s="277">
        <f t="shared" si="8"/>
        <v>72.764733001429349</v>
      </c>
      <c r="AC55" s="277">
        <f t="shared" si="8"/>
        <v>74.646225054022594</v>
      </c>
      <c r="AD55" s="277">
        <f t="shared" si="8"/>
        <v>76.465525230604669</v>
      </c>
      <c r="AE55" s="277">
        <f t="shared" si="8"/>
        <v>78.22304620485869</v>
      </c>
      <c r="AF55" s="277">
        <f t="shared" si="8"/>
        <v>79.919400955828209</v>
      </c>
      <c r="AG55" s="277">
        <f t="shared" si="8"/>
        <v>81.555376176702282</v>
      </c>
      <c r="AH55" s="277">
        <f t="shared" si="8"/>
        <v>83.131907993694981</v>
      </c>
      <c r="AI55" s="277">
        <f t="shared" si="8"/>
        <v>84.650059868539287</v>
      </c>
      <c r="AJ55" s="277">
        <f t="shared" si="8"/>
        <v>86.111002554017915</v>
      </c>
      <c r="AK55" s="277">
        <f t="shared" si="8"/>
        <v>87.515995970655169</v>
      </c>
      <c r="AL55" s="277">
        <f t="shared" si="8"/>
        <v>88.866372873580801</v>
      </c>
      <c r="AM55" s="277">
        <f t="shared" si="8"/>
        <v>90.163524181150464</v>
      </c>
      <c r="AN55" s="277">
        <f t="shared" si="8"/>
        <v>91.408885840746265</v>
      </c>
      <c r="AO55" s="277">
        <f t="shared" si="8"/>
        <v>92.603927111953922</v>
      </c>
      <c r="AP55" s="277">
        <f t="shared" si="8"/>
        <v>93.750140152737799</v>
      </c>
      <c r="AQ55" s="277">
        <f t="shared" si="8"/>
        <v>94.849030800092564</v>
      </c>
      <c r="AR55" s="277">
        <f t="shared" si="8"/>
        <v>95.902110442760019</v>
      </c>
      <c r="AS55" s="277">
        <f t="shared" si="8"/>
        <v>96.910888889817528</v>
      </c>
      <c r="AT55" s="277">
        <f t="shared" si="8"/>
        <v>97.876868145162788</v>
      </c>
      <c r="AU55" s="277">
        <f t="shared" si="8"/>
        <v>98.801537004046068</v>
      </c>
      <c r="AV55" s="277">
        <f t="shared" si="8"/>
        <v>99.686366393772815</v>
      </c>
    </row>
    <row r="56" spans="2:48" ht="12.95" customHeight="1" x14ac:dyDescent="0.2">
      <c r="B56" s="14"/>
      <c r="C56" s="372">
        <v>9</v>
      </c>
      <c r="D56" s="372"/>
      <c r="E56" s="372"/>
      <c r="F56" s="253" t="s">
        <v>492</v>
      </c>
      <c r="G56" s="253" t="s">
        <v>395</v>
      </c>
      <c r="H56" s="277"/>
      <c r="I56" s="277"/>
      <c r="J56" s="277"/>
      <c r="K56" s="277"/>
      <c r="L56" s="277"/>
      <c r="M56" s="277"/>
      <c r="N56" s="277"/>
      <c r="O56" s="277"/>
      <c r="P56" s="277">
        <f t="shared" ref="P56:AV56" si="9">HLOOKUP(P15,t_growth,3)</f>
        <v>43.034527673896086</v>
      </c>
      <c r="Q56" s="277">
        <f t="shared" si="9"/>
        <v>45.606729324439719</v>
      </c>
      <c r="R56" s="277">
        <f t="shared" si="9"/>
        <v>48.146347095592041</v>
      </c>
      <c r="S56" s="277">
        <f t="shared" si="9"/>
        <v>50.647617422659295</v>
      </c>
      <c r="T56" s="277">
        <f t="shared" si="9"/>
        <v>53.105545795652432</v>
      </c>
      <c r="U56" s="277">
        <f t="shared" si="9"/>
        <v>55.515852675616792</v>
      </c>
      <c r="V56" s="277">
        <f t="shared" si="9"/>
        <v>57.874919434974622</v>
      </c>
      <c r="W56" s="277">
        <f t="shared" si="9"/>
        <v>60.179735156461923</v>
      </c>
      <c r="X56" s="277">
        <f t="shared" si="9"/>
        <v>62.427844922873923</v>
      </c>
      <c r="Y56" s="277">
        <f t="shared" si="9"/>
        <v>64.617300064203548</v>
      </c>
      <c r="Z56" s="277">
        <f t="shared" si="9"/>
        <v>66.746610693912174</v>
      </c>
      <c r="AA56" s="277">
        <f t="shared" si="9"/>
        <v>68.814700756968321</v>
      </c>
      <c r="AB56" s="277">
        <f t="shared" si="9"/>
        <v>70.820865724660678</v>
      </c>
      <c r="AC56" s="277">
        <f t="shared" si="9"/>
        <v>72.764733001429349</v>
      </c>
      <c r="AD56" s="277">
        <f t="shared" si="9"/>
        <v>74.646225054022594</v>
      </c>
      <c r="AE56" s="277">
        <f t="shared" si="9"/>
        <v>76.465525230604669</v>
      </c>
      <c r="AF56" s="277">
        <f t="shared" si="9"/>
        <v>78.22304620485869</v>
      </c>
      <c r="AG56" s="277">
        <f t="shared" si="9"/>
        <v>79.919400955828209</v>
      </c>
      <c r="AH56" s="277">
        <f t="shared" si="9"/>
        <v>81.555376176702282</v>
      </c>
      <c r="AI56" s="277">
        <f t="shared" si="9"/>
        <v>83.131907993694981</v>
      </c>
      <c r="AJ56" s="277">
        <f t="shared" si="9"/>
        <v>84.650059868539287</v>
      </c>
      <c r="AK56" s="277">
        <f t="shared" si="9"/>
        <v>86.111002554017915</v>
      </c>
      <c r="AL56" s="277">
        <f t="shared" si="9"/>
        <v>87.515995970655169</v>
      </c>
      <c r="AM56" s="277">
        <f t="shared" si="9"/>
        <v>88.866372873580801</v>
      </c>
      <c r="AN56" s="277">
        <f t="shared" si="9"/>
        <v>90.163524181150464</v>
      </c>
      <c r="AO56" s="277">
        <f t="shared" si="9"/>
        <v>91.408885840746265</v>
      </c>
      <c r="AP56" s="277">
        <f t="shared" si="9"/>
        <v>92.603927111953922</v>
      </c>
      <c r="AQ56" s="277">
        <f t="shared" si="9"/>
        <v>93.750140152737799</v>
      </c>
      <c r="AR56" s="277">
        <f t="shared" si="9"/>
        <v>94.849030800092564</v>
      </c>
      <c r="AS56" s="277">
        <f t="shared" si="9"/>
        <v>95.902110442760019</v>
      </c>
      <c r="AT56" s="277">
        <f t="shared" si="9"/>
        <v>96.910888889817528</v>
      </c>
      <c r="AU56" s="277">
        <f t="shared" si="9"/>
        <v>97.876868145162788</v>
      </c>
      <c r="AV56" s="277">
        <f t="shared" si="9"/>
        <v>98.801537004046068</v>
      </c>
    </row>
    <row r="57" spans="2:48" ht="12.95" customHeight="1" x14ac:dyDescent="0.2">
      <c r="B57" s="14"/>
      <c r="C57" s="372">
        <v>10</v>
      </c>
      <c r="D57" s="372"/>
      <c r="E57" s="372"/>
      <c r="F57" s="253" t="s">
        <v>492</v>
      </c>
      <c r="G57" s="253" t="s">
        <v>395</v>
      </c>
      <c r="H57" s="277"/>
      <c r="I57" s="277"/>
      <c r="J57" s="277"/>
      <c r="K57" s="277"/>
      <c r="L57" s="277"/>
      <c r="M57" s="277"/>
      <c r="N57" s="277"/>
      <c r="O57" s="277"/>
      <c r="P57" s="277"/>
      <c r="Q57" s="277">
        <f t="shared" ref="Q57:AV57" si="10">HLOOKUP(Q16,t_growth,3)</f>
        <v>43.034527673896086</v>
      </c>
      <c r="R57" s="277">
        <f t="shared" si="10"/>
        <v>45.606729324439719</v>
      </c>
      <c r="S57" s="277">
        <f t="shared" si="10"/>
        <v>48.146347095592041</v>
      </c>
      <c r="T57" s="277">
        <f t="shared" si="10"/>
        <v>50.647617422659295</v>
      </c>
      <c r="U57" s="277">
        <f t="shared" si="10"/>
        <v>53.105545795652432</v>
      </c>
      <c r="V57" s="277">
        <f t="shared" si="10"/>
        <v>55.515852675616792</v>
      </c>
      <c r="W57" s="277">
        <f t="shared" si="10"/>
        <v>57.874919434974622</v>
      </c>
      <c r="X57" s="277">
        <f t="shared" si="10"/>
        <v>60.179735156461923</v>
      </c>
      <c r="Y57" s="277">
        <f t="shared" si="10"/>
        <v>62.427844922873923</v>
      </c>
      <c r="Z57" s="277">
        <f t="shared" si="10"/>
        <v>64.617300064203548</v>
      </c>
      <c r="AA57" s="277">
        <f t="shared" si="10"/>
        <v>66.746610693912174</v>
      </c>
      <c r="AB57" s="277">
        <f t="shared" si="10"/>
        <v>68.814700756968321</v>
      </c>
      <c r="AC57" s="277">
        <f t="shared" si="10"/>
        <v>70.820865724660678</v>
      </c>
      <c r="AD57" s="277">
        <f t="shared" si="10"/>
        <v>72.764733001429349</v>
      </c>
      <c r="AE57" s="277">
        <f t="shared" si="10"/>
        <v>74.646225054022594</v>
      </c>
      <c r="AF57" s="277">
        <f t="shared" si="10"/>
        <v>76.465525230604669</v>
      </c>
      <c r="AG57" s="277">
        <f t="shared" si="10"/>
        <v>78.22304620485869</v>
      </c>
      <c r="AH57" s="277">
        <f t="shared" si="10"/>
        <v>79.919400955828209</v>
      </c>
      <c r="AI57" s="277">
        <f t="shared" si="10"/>
        <v>81.555376176702282</v>
      </c>
      <c r="AJ57" s="277">
        <f t="shared" si="10"/>
        <v>83.131907993694981</v>
      </c>
      <c r="AK57" s="277">
        <f t="shared" si="10"/>
        <v>84.650059868539287</v>
      </c>
      <c r="AL57" s="277">
        <f t="shared" si="10"/>
        <v>86.111002554017915</v>
      </c>
      <c r="AM57" s="277">
        <f t="shared" si="10"/>
        <v>87.515995970655169</v>
      </c>
      <c r="AN57" s="277">
        <f t="shared" si="10"/>
        <v>88.866372873580801</v>
      </c>
      <c r="AO57" s="277">
        <f t="shared" si="10"/>
        <v>90.163524181150464</v>
      </c>
      <c r="AP57" s="277">
        <f t="shared" si="10"/>
        <v>91.408885840746265</v>
      </c>
      <c r="AQ57" s="277">
        <f t="shared" si="10"/>
        <v>92.603927111953922</v>
      </c>
      <c r="AR57" s="277">
        <f t="shared" si="10"/>
        <v>93.750140152737799</v>
      </c>
      <c r="AS57" s="277">
        <f t="shared" si="10"/>
        <v>94.849030800092564</v>
      </c>
      <c r="AT57" s="277">
        <f t="shared" si="10"/>
        <v>95.902110442760019</v>
      </c>
      <c r="AU57" s="277">
        <f t="shared" si="10"/>
        <v>96.910888889817528</v>
      </c>
      <c r="AV57" s="277">
        <f t="shared" si="10"/>
        <v>97.876868145162788</v>
      </c>
    </row>
    <row r="58" spans="2:48" ht="12.95" customHeight="1" x14ac:dyDescent="0.2">
      <c r="B58" s="14"/>
      <c r="C58" s="372">
        <v>11</v>
      </c>
      <c r="D58" s="372"/>
      <c r="E58" s="372"/>
      <c r="F58" s="253" t="s">
        <v>492</v>
      </c>
      <c r="G58" s="253" t="s">
        <v>395</v>
      </c>
      <c r="H58" s="277"/>
      <c r="I58" s="277"/>
      <c r="J58" s="277"/>
      <c r="K58" s="277"/>
      <c r="L58" s="277"/>
      <c r="M58" s="277"/>
      <c r="N58" s="277"/>
      <c r="O58" s="277"/>
      <c r="P58" s="277"/>
      <c r="Q58" s="277"/>
      <c r="R58" s="277">
        <f t="shared" ref="R58:AV58" si="11">HLOOKUP(R17,t_growth,3)</f>
        <v>43.034527673896086</v>
      </c>
      <c r="S58" s="277">
        <f t="shared" si="11"/>
        <v>45.606729324439719</v>
      </c>
      <c r="T58" s="277">
        <f t="shared" si="11"/>
        <v>48.146347095592041</v>
      </c>
      <c r="U58" s="277">
        <f t="shared" si="11"/>
        <v>50.647617422659295</v>
      </c>
      <c r="V58" s="277">
        <f t="shared" si="11"/>
        <v>53.105545795652432</v>
      </c>
      <c r="W58" s="277">
        <f t="shared" si="11"/>
        <v>55.515852675616792</v>
      </c>
      <c r="X58" s="277">
        <f t="shared" si="11"/>
        <v>57.874919434974622</v>
      </c>
      <c r="Y58" s="277">
        <f t="shared" si="11"/>
        <v>60.179735156461923</v>
      </c>
      <c r="Z58" s="277">
        <f t="shared" si="11"/>
        <v>62.427844922873923</v>
      </c>
      <c r="AA58" s="277">
        <f t="shared" si="11"/>
        <v>64.617300064203548</v>
      </c>
      <c r="AB58" s="277">
        <f t="shared" si="11"/>
        <v>66.746610693912174</v>
      </c>
      <c r="AC58" s="277">
        <f t="shared" si="11"/>
        <v>68.814700756968321</v>
      </c>
      <c r="AD58" s="277">
        <f t="shared" si="11"/>
        <v>70.820865724660678</v>
      </c>
      <c r="AE58" s="277">
        <f t="shared" si="11"/>
        <v>72.764733001429349</v>
      </c>
      <c r="AF58" s="277">
        <f t="shared" si="11"/>
        <v>74.646225054022594</v>
      </c>
      <c r="AG58" s="277">
        <f t="shared" si="11"/>
        <v>76.465525230604669</v>
      </c>
      <c r="AH58" s="277">
        <f t="shared" si="11"/>
        <v>78.22304620485869</v>
      </c>
      <c r="AI58" s="277">
        <f t="shared" si="11"/>
        <v>79.919400955828209</v>
      </c>
      <c r="AJ58" s="277">
        <f t="shared" si="11"/>
        <v>81.555376176702282</v>
      </c>
      <c r="AK58" s="277">
        <f t="shared" si="11"/>
        <v>83.131907993694981</v>
      </c>
      <c r="AL58" s="277">
        <f t="shared" si="11"/>
        <v>84.650059868539287</v>
      </c>
      <c r="AM58" s="277">
        <f t="shared" si="11"/>
        <v>86.111002554017915</v>
      </c>
      <c r="AN58" s="277">
        <f t="shared" si="11"/>
        <v>87.515995970655169</v>
      </c>
      <c r="AO58" s="277">
        <f t="shared" si="11"/>
        <v>88.866372873580801</v>
      </c>
      <c r="AP58" s="277">
        <f t="shared" si="11"/>
        <v>90.163524181150464</v>
      </c>
      <c r="AQ58" s="277">
        <f t="shared" si="11"/>
        <v>91.408885840746265</v>
      </c>
      <c r="AR58" s="277">
        <f t="shared" si="11"/>
        <v>92.603927111953922</v>
      </c>
      <c r="AS58" s="277">
        <f t="shared" si="11"/>
        <v>93.750140152737799</v>
      </c>
      <c r="AT58" s="277">
        <f t="shared" si="11"/>
        <v>94.849030800092564</v>
      </c>
      <c r="AU58" s="277">
        <f t="shared" si="11"/>
        <v>95.902110442760019</v>
      </c>
      <c r="AV58" s="277">
        <f t="shared" si="11"/>
        <v>96.910888889817528</v>
      </c>
    </row>
    <row r="59" spans="2:48" ht="12.95" customHeight="1" x14ac:dyDescent="0.2">
      <c r="B59" s="14"/>
      <c r="C59" s="372">
        <v>12</v>
      </c>
      <c r="D59" s="372"/>
      <c r="E59" s="372"/>
      <c r="F59" s="253" t="s">
        <v>492</v>
      </c>
      <c r="G59" s="253" t="s">
        <v>395</v>
      </c>
      <c r="H59" s="277"/>
      <c r="I59" s="277"/>
      <c r="J59" s="277"/>
      <c r="K59" s="277"/>
      <c r="L59" s="277"/>
      <c r="M59" s="277"/>
      <c r="N59" s="277"/>
      <c r="O59" s="277"/>
      <c r="P59" s="277"/>
      <c r="Q59" s="277"/>
      <c r="R59" s="277"/>
      <c r="S59" s="277">
        <f t="shared" ref="S59:AV59" si="12">HLOOKUP(S18,t_growth,3)</f>
        <v>43.034527673896086</v>
      </c>
      <c r="T59" s="277">
        <f t="shared" si="12"/>
        <v>45.606729324439719</v>
      </c>
      <c r="U59" s="277">
        <f t="shared" si="12"/>
        <v>48.146347095592041</v>
      </c>
      <c r="V59" s="277">
        <f t="shared" si="12"/>
        <v>50.647617422659295</v>
      </c>
      <c r="W59" s="277">
        <f t="shared" si="12"/>
        <v>53.105545795652432</v>
      </c>
      <c r="X59" s="277">
        <f t="shared" si="12"/>
        <v>55.515852675616792</v>
      </c>
      <c r="Y59" s="277">
        <f t="shared" si="12"/>
        <v>57.874919434974622</v>
      </c>
      <c r="Z59" s="277">
        <f t="shared" si="12"/>
        <v>60.179735156461923</v>
      </c>
      <c r="AA59" s="277">
        <f t="shared" si="12"/>
        <v>62.427844922873923</v>
      </c>
      <c r="AB59" s="277">
        <f t="shared" si="12"/>
        <v>64.617300064203548</v>
      </c>
      <c r="AC59" s="277">
        <f t="shared" si="12"/>
        <v>66.746610693912174</v>
      </c>
      <c r="AD59" s="277">
        <f t="shared" si="12"/>
        <v>68.814700756968321</v>
      </c>
      <c r="AE59" s="277">
        <f t="shared" si="12"/>
        <v>70.820865724660678</v>
      </c>
      <c r="AF59" s="277">
        <f t="shared" si="12"/>
        <v>72.764733001429349</v>
      </c>
      <c r="AG59" s="277">
        <f t="shared" si="12"/>
        <v>74.646225054022594</v>
      </c>
      <c r="AH59" s="277">
        <f t="shared" si="12"/>
        <v>76.465525230604669</v>
      </c>
      <c r="AI59" s="277">
        <f t="shared" si="12"/>
        <v>78.22304620485869</v>
      </c>
      <c r="AJ59" s="277">
        <f t="shared" si="12"/>
        <v>79.919400955828209</v>
      </c>
      <c r="AK59" s="277">
        <f t="shared" si="12"/>
        <v>81.555376176702282</v>
      </c>
      <c r="AL59" s="277">
        <f t="shared" si="12"/>
        <v>83.131907993694981</v>
      </c>
      <c r="AM59" s="277">
        <f t="shared" si="12"/>
        <v>84.650059868539287</v>
      </c>
      <c r="AN59" s="277">
        <f t="shared" si="12"/>
        <v>86.111002554017915</v>
      </c>
      <c r="AO59" s="277">
        <f t="shared" si="12"/>
        <v>87.515995970655169</v>
      </c>
      <c r="AP59" s="277">
        <f t="shared" si="12"/>
        <v>88.866372873580801</v>
      </c>
      <c r="AQ59" s="277">
        <f t="shared" si="12"/>
        <v>90.163524181150464</v>
      </c>
      <c r="AR59" s="277">
        <f t="shared" si="12"/>
        <v>91.408885840746265</v>
      </c>
      <c r="AS59" s="277">
        <f t="shared" si="12"/>
        <v>92.603927111953922</v>
      </c>
      <c r="AT59" s="277">
        <f t="shared" si="12"/>
        <v>93.750140152737799</v>
      </c>
      <c r="AU59" s="277">
        <f t="shared" si="12"/>
        <v>94.849030800092564</v>
      </c>
      <c r="AV59" s="277">
        <f t="shared" si="12"/>
        <v>95.902110442760019</v>
      </c>
    </row>
    <row r="60" spans="2:48" ht="12.95" customHeight="1" x14ac:dyDescent="0.2">
      <c r="B60" s="14"/>
      <c r="C60" s="372">
        <v>13</v>
      </c>
      <c r="D60" s="372"/>
      <c r="E60" s="372"/>
      <c r="F60" s="253" t="s">
        <v>492</v>
      </c>
      <c r="G60" s="253" t="s">
        <v>395</v>
      </c>
      <c r="H60" s="277"/>
      <c r="I60" s="277"/>
      <c r="J60" s="277"/>
      <c r="K60" s="277"/>
      <c r="L60" s="277"/>
      <c r="M60" s="277"/>
      <c r="N60" s="277"/>
      <c r="O60" s="277"/>
      <c r="P60" s="277"/>
      <c r="Q60" s="277"/>
      <c r="R60" s="277"/>
      <c r="S60" s="277"/>
      <c r="T60" s="277">
        <f t="shared" ref="T60:AV60" si="13">HLOOKUP(T19,t_growth,3)</f>
        <v>43.034527673896086</v>
      </c>
      <c r="U60" s="277">
        <f t="shared" si="13"/>
        <v>45.606729324439719</v>
      </c>
      <c r="V60" s="277">
        <f t="shared" si="13"/>
        <v>48.146347095592041</v>
      </c>
      <c r="W60" s="277">
        <f t="shared" si="13"/>
        <v>50.647617422659295</v>
      </c>
      <c r="X60" s="277">
        <f t="shared" si="13"/>
        <v>53.105545795652432</v>
      </c>
      <c r="Y60" s="277">
        <f t="shared" si="13"/>
        <v>55.515852675616792</v>
      </c>
      <c r="Z60" s="277">
        <f t="shared" si="13"/>
        <v>57.874919434974622</v>
      </c>
      <c r="AA60" s="277">
        <f t="shared" si="13"/>
        <v>60.179735156461923</v>
      </c>
      <c r="AB60" s="277">
        <f t="shared" si="13"/>
        <v>62.427844922873923</v>
      </c>
      <c r="AC60" s="277">
        <f t="shared" si="13"/>
        <v>64.617300064203548</v>
      </c>
      <c r="AD60" s="277">
        <f t="shared" si="13"/>
        <v>66.746610693912174</v>
      </c>
      <c r="AE60" s="277">
        <f t="shared" si="13"/>
        <v>68.814700756968321</v>
      </c>
      <c r="AF60" s="277">
        <f t="shared" si="13"/>
        <v>70.820865724660678</v>
      </c>
      <c r="AG60" s="277">
        <f t="shared" si="13"/>
        <v>72.764733001429349</v>
      </c>
      <c r="AH60" s="277">
        <f t="shared" si="13"/>
        <v>74.646225054022594</v>
      </c>
      <c r="AI60" s="277">
        <f t="shared" si="13"/>
        <v>76.465525230604669</v>
      </c>
      <c r="AJ60" s="277">
        <f t="shared" si="13"/>
        <v>78.22304620485869</v>
      </c>
      <c r="AK60" s="277">
        <f t="shared" si="13"/>
        <v>79.919400955828209</v>
      </c>
      <c r="AL60" s="277">
        <f t="shared" si="13"/>
        <v>81.555376176702282</v>
      </c>
      <c r="AM60" s="277">
        <f t="shared" si="13"/>
        <v>83.131907993694981</v>
      </c>
      <c r="AN60" s="277">
        <f t="shared" si="13"/>
        <v>84.650059868539287</v>
      </c>
      <c r="AO60" s="277">
        <f t="shared" si="13"/>
        <v>86.111002554017915</v>
      </c>
      <c r="AP60" s="277">
        <f t="shared" si="13"/>
        <v>87.515995970655169</v>
      </c>
      <c r="AQ60" s="277">
        <f t="shared" si="13"/>
        <v>88.866372873580801</v>
      </c>
      <c r="AR60" s="277">
        <f t="shared" si="13"/>
        <v>90.163524181150464</v>
      </c>
      <c r="AS60" s="277">
        <f t="shared" si="13"/>
        <v>91.408885840746265</v>
      </c>
      <c r="AT60" s="277">
        <f t="shared" si="13"/>
        <v>92.603927111953922</v>
      </c>
      <c r="AU60" s="277">
        <f t="shared" si="13"/>
        <v>93.750140152737799</v>
      </c>
      <c r="AV60" s="277">
        <f t="shared" si="13"/>
        <v>94.849030800092564</v>
      </c>
    </row>
    <row r="61" spans="2:48" ht="12.95" customHeight="1" x14ac:dyDescent="0.2">
      <c r="B61" s="14"/>
      <c r="C61" s="372">
        <v>14</v>
      </c>
      <c r="D61" s="372"/>
      <c r="E61" s="372"/>
      <c r="F61" s="253" t="s">
        <v>492</v>
      </c>
      <c r="G61" s="253" t="s">
        <v>395</v>
      </c>
      <c r="H61" s="277"/>
      <c r="I61" s="277"/>
      <c r="J61" s="277"/>
      <c r="K61" s="277"/>
      <c r="L61" s="277"/>
      <c r="M61" s="277"/>
      <c r="N61" s="277"/>
      <c r="O61" s="277"/>
      <c r="P61" s="277"/>
      <c r="Q61" s="277"/>
      <c r="R61" s="277"/>
      <c r="S61" s="277"/>
      <c r="T61" s="277"/>
      <c r="U61" s="277">
        <f t="shared" ref="U61:AV61" si="14">HLOOKUP(U20,t_growth,3)</f>
        <v>43.034527673896086</v>
      </c>
      <c r="V61" s="277">
        <f t="shared" si="14"/>
        <v>45.606729324439719</v>
      </c>
      <c r="W61" s="277">
        <f t="shared" si="14"/>
        <v>48.146347095592041</v>
      </c>
      <c r="X61" s="277">
        <f t="shared" si="14"/>
        <v>50.647617422659295</v>
      </c>
      <c r="Y61" s="277">
        <f t="shared" si="14"/>
        <v>53.105545795652432</v>
      </c>
      <c r="Z61" s="277">
        <f t="shared" si="14"/>
        <v>55.515852675616792</v>
      </c>
      <c r="AA61" s="277">
        <f t="shared" si="14"/>
        <v>57.874919434974622</v>
      </c>
      <c r="AB61" s="277">
        <f t="shared" si="14"/>
        <v>60.179735156461923</v>
      </c>
      <c r="AC61" s="277">
        <f t="shared" si="14"/>
        <v>62.427844922873923</v>
      </c>
      <c r="AD61" s="277">
        <f t="shared" si="14"/>
        <v>64.617300064203548</v>
      </c>
      <c r="AE61" s="277">
        <f t="shared" si="14"/>
        <v>66.746610693912174</v>
      </c>
      <c r="AF61" s="277">
        <f t="shared" si="14"/>
        <v>68.814700756968321</v>
      </c>
      <c r="AG61" s="277">
        <f t="shared" si="14"/>
        <v>70.820865724660678</v>
      </c>
      <c r="AH61" s="277">
        <f t="shared" si="14"/>
        <v>72.764733001429349</v>
      </c>
      <c r="AI61" s="277">
        <f t="shared" si="14"/>
        <v>74.646225054022594</v>
      </c>
      <c r="AJ61" s="277">
        <f t="shared" si="14"/>
        <v>76.465525230604669</v>
      </c>
      <c r="AK61" s="277">
        <f t="shared" si="14"/>
        <v>78.22304620485869</v>
      </c>
      <c r="AL61" s="277">
        <f t="shared" si="14"/>
        <v>79.919400955828209</v>
      </c>
      <c r="AM61" s="277">
        <f t="shared" si="14"/>
        <v>81.555376176702282</v>
      </c>
      <c r="AN61" s="277">
        <f t="shared" si="14"/>
        <v>83.131907993694981</v>
      </c>
      <c r="AO61" s="277">
        <f t="shared" si="14"/>
        <v>84.650059868539287</v>
      </c>
      <c r="AP61" s="277">
        <f t="shared" si="14"/>
        <v>86.111002554017915</v>
      </c>
      <c r="AQ61" s="277">
        <f t="shared" si="14"/>
        <v>87.515995970655169</v>
      </c>
      <c r="AR61" s="277">
        <f t="shared" si="14"/>
        <v>88.866372873580801</v>
      </c>
      <c r="AS61" s="277">
        <f t="shared" si="14"/>
        <v>90.163524181150464</v>
      </c>
      <c r="AT61" s="277">
        <f t="shared" si="14"/>
        <v>91.408885840746265</v>
      </c>
      <c r="AU61" s="277">
        <f t="shared" si="14"/>
        <v>92.603927111953922</v>
      </c>
      <c r="AV61" s="277">
        <f t="shared" si="14"/>
        <v>93.750140152737799</v>
      </c>
    </row>
    <row r="62" spans="2:48" ht="12.95" customHeight="1" x14ac:dyDescent="0.2">
      <c r="B62" s="14"/>
      <c r="C62" s="372">
        <v>15</v>
      </c>
      <c r="D62" s="372"/>
      <c r="E62" s="372"/>
      <c r="F62" s="253" t="s">
        <v>492</v>
      </c>
      <c r="G62" s="253" t="s">
        <v>395</v>
      </c>
      <c r="H62" s="277"/>
      <c r="I62" s="277"/>
      <c r="J62" s="277"/>
      <c r="K62" s="277"/>
      <c r="L62" s="277"/>
      <c r="M62" s="277"/>
      <c r="N62" s="277"/>
      <c r="O62" s="277"/>
      <c r="P62" s="277"/>
      <c r="Q62" s="277"/>
      <c r="R62" s="277"/>
      <c r="S62" s="277"/>
      <c r="T62" s="277"/>
      <c r="U62" s="277"/>
      <c r="V62" s="277">
        <f t="shared" ref="V62:AV62" si="15">HLOOKUP(V21,t_growth,3)</f>
        <v>43.034527673896086</v>
      </c>
      <c r="W62" s="277">
        <f t="shared" si="15"/>
        <v>45.606729324439719</v>
      </c>
      <c r="X62" s="277">
        <f t="shared" si="15"/>
        <v>48.146347095592041</v>
      </c>
      <c r="Y62" s="277">
        <f t="shared" si="15"/>
        <v>50.647617422659295</v>
      </c>
      <c r="Z62" s="277">
        <f t="shared" si="15"/>
        <v>53.105545795652432</v>
      </c>
      <c r="AA62" s="277">
        <f t="shared" si="15"/>
        <v>55.515852675616792</v>
      </c>
      <c r="AB62" s="277">
        <f t="shared" si="15"/>
        <v>57.874919434974622</v>
      </c>
      <c r="AC62" s="277">
        <f t="shared" si="15"/>
        <v>60.179735156461923</v>
      </c>
      <c r="AD62" s="277">
        <f t="shared" si="15"/>
        <v>62.427844922873923</v>
      </c>
      <c r="AE62" s="277">
        <f t="shared" si="15"/>
        <v>64.617300064203548</v>
      </c>
      <c r="AF62" s="277">
        <f t="shared" si="15"/>
        <v>66.746610693912174</v>
      </c>
      <c r="AG62" s="277">
        <f t="shared" si="15"/>
        <v>68.814700756968321</v>
      </c>
      <c r="AH62" s="277">
        <f t="shared" si="15"/>
        <v>70.820865724660678</v>
      </c>
      <c r="AI62" s="277">
        <f t="shared" si="15"/>
        <v>72.764733001429349</v>
      </c>
      <c r="AJ62" s="277">
        <f t="shared" si="15"/>
        <v>74.646225054022594</v>
      </c>
      <c r="AK62" s="277">
        <f t="shared" si="15"/>
        <v>76.465525230604669</v>
      </c>
      <c r="AL62" s="277">
        <f t="shared" si="15"/>
        <v>78.22304620485869</v>
      </c>
      <c r="AM62" s="277">
        <f t="shared" si="15"/>
        <v>79.919400955828209</v>
      </c>
      <c r="AN62" s="277">
        <f t="shared" si="15"/>
        <v>81.555376176702282</v>
      </c>
      <c r="AO62" s="277">
        <f t="shared" si="15"/>
        <v>83.131907993694981</v>
      </c>
      <c r="AP62" s="277">
        <f t="shared" si="15"/>
        <v>84.650059868539287</v>
      </c>
      <c r="AQ62" s="277">
        <f t="shared" si="15"/>
        <v>86.111002554017915</v>
      </c>
      <c r="AR62" s="277">
        <f t="shared" si="15"/>
        <v>87.515995970655169</v>
      </c>
      <c r="AS62" s="277">
        <f t="shared" si="15"/>
        <v>88.866372873580801</v>
      </c>
      <c r="AT62" s="277">
        <f t="shared" si="15"/>
        <v>90.163524181150464</v>
      </c>
      <c r="AU62" s="277">
        <f t="shared" si="15"/>
        <v>91.408885840746265</v>
      </c>
      <c r="AV62" s="277">
        <f t="shared" si="15"/>
        <v>92.603927111953922</v>
      </c>
    </row>
    <row r="63" spans="2:48" ht="12.95" customHeight="1" x14ac:dyDescent="0.2">
      <c r="B63" s="14"/>
      <c r="C63" s="372">
        <v>16</v>
      </c>
      <c r="D63" s="372"/>
      <c r="E63" s="372"/>
      <c r="F63" s="253" t="s">
        <v>492</v>
      </c>
      <c r="G63" s="253" t="s">
        <v>395</v>
      </c>
      <c r="H63" s="277"/>
      <c r="I63" s="277"/>
      <c r="J63" s="277"/>
      <c r="K63" s="277"/>
      <c r="L63" s="277"/>
      <c r="M63" s="277"/>
      <c r="N63" s="277"/>
      <c r="O63" s="277"/>
      <c r="P63" s="277"/>
      <c r="Q63" s="277"/>
      <c r="R63" s="277"/>
      <c r="S63" s="277"/>
      <c r="T63" s="277"/>
      <c r="U63" s="277"/>
      <c r="V63" s="277"/>
      <c r="W63" s="277">
        <f t="shared" ref="W63:AV63" si="16">HLOOKUP(W22,t_growth,3)</f>
        <v>43.034527673896086</v>
      </c>
      <c r="X63" s="277">
        <f t="shared" si="16"/>
        <v>45.606729324439719</v>
      </c>
      <c r="Y63" s="277">
        <f t="shared" si="16"/>
        <v>48.146347095592041</v>
      </c>
      <c r="Z63" s="277">
        <f t="shared" si="16"/>
        <v>50.647617422659295</v>
      </c>
      <c r="AA63" s="277">
        <f t="shared" si="16"/>
        <v>53.105545795652432</v>
      </c>
      <c r="AB63" s="277">
        <f t="shared" si="16"/>
        <v>55.515852675616792</v>
      </c>
      <c r="AC63" s="277">
        <f t="shared" si="16"/>
        <v>57.874919434974622</v>
      </c>
      <c r="AD63" s="277">
        <f t="shared" si="16"/>
        <v>60.179735156461923</v>
      </c>
      <c r="AE63" s="277">
        <f t="shared" si="16"/>
        <v>62.427844922873923</v>
      </c>
      <c r="AF63" s="277">
        <f t="shared" si="16"/>
        <v>64.617300064203548</v>
      </c>
      <c r="AG63" s="277">
        <f t="shared" si="16"/>
        <v>66.746610693912174</v>
      </c>
      <c r="AH63" s="277">
        <f t="shared" si="16"/>
        <v>68.814700756968321</v>
      </c>
      <c r="AI63" s="277">
        <f t="shared" si="16"/>
        <v>70.820865724660678</v>
      </c>
      <c r="AJ63" s="277">
        <f t="shared" si="16"/>
        <v>72.764733001429349</v>
      </c>
      <c r="AK63" s="277">
        <f t="shared" si="16"/>
        <v>74.646225054022594</v>
      </c>
      <c r="AL63" s="277">
        <f t="shared" si="16"/>
        <v>76.465525230604669</v>
      </c>
      <c r="AM63" s="277">
        <f t="shared" si="16"/>
        <v>78.22304620485869</v>
      </c>
      <c r="AN63" s="277">
        <f t="shared" si="16"/>
        <v>79.919400955828209</v>
      </c>
      <c r="AO63" s="277">
        <f t="shared" si="16"/>
        <v>81.555376176702282</v>
      </c>
      <c r="AP63" s="277">
        <f t="shared" si="16"/>
        <v>83.131907993694981</v>
      </c>
      <c r="AQ63" s="277">
        <f t="shared" si="16"/>
        <v>84.650059868539287</v>
      </c>
      <c r="AR63" s="277">
        <f t="shared" si="16"/>
        <v>86.111002554017915</v>
      </c>
      <c r="AS63" s="277">
        <f t="shared" si="16"/>
        <v>87.515995970655169</v>
      </c>
      <c r="AT63" s="277">
        <f t="shared" si="16"/>
        <v>88.866372873580801</v>
      </c>
      <c r="AU63" s="277">
        <f t="shared" si="16"/>
        <v>90.163524181150464</v>
      </c>
      <c r="AV63" s="277">
        <f t="shared" si="16"/>
        <v>91.408885840746265</v>
      </c>
    </row>
    <row r="64" spans="2:48" ht="12.95" customHeight="1" x14ac:dyDescent="0.2">
      <c r="B64" s="14"/>
      <c r="C64" s="372">
        <v>17</v>
      </c>
      <c r="D64" s="372"/>
      <c r="E64" s="372"/>
      <c r="F64" s="253" t="s">
        <v>492</v>
      </c>
      <c r="G64" s="253" t="s">
        <v>395</v>
      </c>
      <c r="H64" s="277"/>
      <c r="I64" s="277"/>
      <c r="J64" s="277"/>
      <c r="K64" s="277"/>
      <c r="L64" s="277"/>
      <c r="M64" s="277"/>
      <c r="N64" s="277"/>
      <c r="O64" s="277"/>
      <c r="P64" s="277"/>
      <c r="Q64" s="277"/>
      <c r="R64" s="277"/>
      <c r="S64" s="277"/>
      <c r="T64" s="277"/>
      <c r="U64" s="277"/>
      <c r="V64" s="277"/>
      <c r="W64" s="277"/>
      <c r="X64" s="277">
        <f t="shared" ref="X64:AV64" si="17">HLOOKUP(X23,t_growth,3)</f>
        <v>43.034527673896086</v>
      </c>
      <c r="Y64" s="277">
        <f t="shared" si="17"/>
        <v>45.606729324439719</v>
      </c>
      <c r="Z64" s="277">
        <f t="shared" si="17"/>
        <v>48.146347095592041</v>
      </c>
      <c r="AA64" s="277">
        <f t="shared" si="17"/>
        <v>50.647617422659295</v>
      </c>
      <c r="AB64" s="277">
        <f t="shared" si="17"/>
        <v>53.105545795652432</v>
      </c>
      <c r="AC64" s="277">
        <f t="shared" si="17"/>
        <v>55.515852675616792</v>
      </c>
      <c r="AD64" s="277">
        <f t="shared" si="17"/>
        <v>57.874919434974622</v>
      </c>
      <c r="AE64" s="277">
        <f t="shared" si="17"/>
        <v>60.179735156461923</v>
      </c>
      <c r="AF64" s="277">
        <f t="shared" si="17"/>
        <v>62.427844922873923</v>
      </c>
      <c r="AG64" s="277">
        <f t="shared" si="17"/>
        <v>64.617300064203548</v>
      </c>
      <c r="AH64" s="277">
        <f t="shared" si="17"/>
        <v>66.746610693912174</v>
      </c>
      <c r="AI64" s="277">
        <f t="shared" si="17"/>
        <v>68.814700756968321</v>
      </c>
      <c r="AJ64" s="277">
        <f t="shared" si="17"/>
        <v>70.820865724660678</v>
      </c>
      <c r="AK64" s="277">
        <f t="shared" si="17"/>
        <v>72.764733001429349</v>
      </c>
      <c r="AL64" s="277">
        <f t="shared" si="17"/>
        <v>74.646225054022594</v>
      </c>
      <c r="AM64" s="277">
        <f t="shared" si="17"/>
        <v>76.465525230604669</v>
      </c>
      <c r="AN64" s="277">
        <f t="shared" si="17"/>
        <v>78.22304620485869</v>
      </c>
      <c r="AO64" s="277">
        <f t="shared" si="17"/>
        <v>79.919400955828209</v>
      </c>
      <c r="AP64" s="277">
        <f t="shared" si="17"/>
        <v>81.555376176702282</v>
      </c>
      <c r="AQ64" s="277">
        <f t="shared" si="17"/>
        <v>83.131907993694981</v>
      </c>
      <c r="AR64" s="277">
        <f t="shared" si="17"/>
        <v>84.650059868539287</v>
      </c>
      <c r="AS64" s="277">
        <f t="shared" si="17"/>
        <v>86.111002554017915</v>
      </c>
      <c r="AT64" s="277">
        <f t="shared" si="17"/>
        <v>87.515995970655169</v>
      </c>
      <c r="AU64" s="277">
        <f t="shared" si="17"/>
        <v>88.866372873580801</v>
      </c>
      <c r="AV64" s="277">
        <f t="shared" si="17"/>
        <v>90.163524181150464</v>
      </c>
    </row>
    <row r="65" spans="2:48" ht="12.95" customHeight="1" x14ac:dyDescent="0.2">
      <c r="B65" s="14"/>
      <c r="C65" s="372">
        <v>18</v>
      </c>
      <c r="D65" s="372"/>
      <c r="E65" s="372"/>
      <c r="F65" s="253" t="s">
        <v>492</v>
      </c>
      <c r="G65" s="253" t="s">
        <v>395</v>
      </c>
      <c r="H65" s="277"/>
      <c r="I65" s="277"/>
      <c r="J65" s="277"/>
      <c r="K65" s="277"/>
      <c r="L65" s="277"/>
      <c r="M65" s="277"/>
      <c r="N65" s="277"/>
      <c r="O65" s="277"/>
      <c r="P65" s="277"/>
      <c r="Q65" s="277"/>
      <c r="R65" s="277"/>
      <c r="S65" s="277"/>
      <c r="T65" s="277"/>
      <c r="U65" s="277"/>
      <c r="V65" s="277"/>
      <c r="W65" s="277"/>
      <c r="X65" s="277"/>
      <c r="Y65" s="277">
        <f t="shared" ref="Y65:AV65" si="18">HLOOKUP(Y24,t_growth,3)</f>
        <v>43.034527673896086</v>
      </c>
      <c r="Z65" s="277">
        <f t="shared" si="18"/>
        <v>45.606729324439719</v>
      </c>
      <c r="AA65" s="277">
        <f t="shared" si="18"/>
        <v>48.146347095592041</v>
      </c>
      <c r="AB65" s="277">
        <f t="shared" si="18"/>
        <v>50.647617422659295</v>
      </c>
      <c r="AC65" s="277">
        <f t="shared" si="18"/>
        <v>53.105545795652432</v>
      </c>
      <c r="AD65" s="277">
        <f t="shared" si="18"/>
        <v>55.515852675616792</v>
      </c>
      <c r="AE65" s="277">
        <f t="shared" si="18"/>
        <v>57.874919434974622</v>
      </c>
      <c r="AF65" s="277">
        <f t="shared" si="18"/>
        <v>60.179735156461923</v>
      </c>
      <c r="AG65" s="277">
        <f t="shared" si="18"/>
        <v>62.427844922873923</v>
      </c>
      <c r="AH65" s="277">
        <f t="shared" si="18"/>
        <v>64.617300064203548</v>
      </c>
      <c r="AI65" s="277">
        <f t="shared" si="18"/>
        <v>66.746610693912174</v>
      </c>
      <c r="AJ65" s="277">
        <f t="shared" si="18"/>
        <v>68.814700756968321</v>
      </c>
      <c r="AK65" s="277">
        <f t="shared" si="18"/>
        <v>70.820865724660678</v>
      </c>
      <c r="AL65" s="277">
        <f t="shared" si="18"/>
        <v>72.764733001429349</v>
      </c>
      <c r="AM65" s="277">
        <f t="shared" si="18"/>
        <v>74.646225054022594</v>
      </c>
      <c r="AN65" s="277">
        <f t="shared" si="18"/>
        <v>76.465525230604669</v>
      </c>
      <c r="AO65" s="277">
        <f t="shared" si="18"/>
        <v>78.22304620485869</v>
      </c>
      <c r="AP65" s="277">
        <f t="shared" si="18"/>
        <v>79.919400955828209</v>
      </c>
      <c r="AQ65" s="277">
        <f t="shared" si="18"/>
        <v>81.555376176702282</v>
      </c>
      <c r="AR65" s="277">
        <f t="shared" si="18"/>
        <v>83.131907993694981</v>
      </c>
      <c r="AS65" s="277">
        <f t="shared" si="18"/>
        <v>84.650059868539287</v>
      </c>
      <c r="AT65" s="277">
        <f t="shared" si="18"/>
        <v>86.111002554017915</v>
      </c>
      <c r="AU65" s="277">
        <f t="shared" si="18"/>
        <v>87.515995970655169</v>
      </c>
      <c r="AV65" s="277">
        <f t="shared" si="18"/>
        <v>88.866372873580801</v>
      </c>
    </row>
    <row r="66" spans="2:48" ht="12.95" customHeight="1" x14ac:dyDescent="0.2">
      <c r="B66" s="14"/>
      <c r="C66" s="372">
        <v>19</v>
      </c>
      <c r="D66" s="372"/>
      <c r="E66" s="372"/>
      <c r="F66" s="253" t="s">
        <v>492</v>
      </c>
      <c r="G66" s="253" t="s">
        <v>395</v>
      </c>
      <c r="H66" s="277"/>
      <c r="I66" s="277"/>
      <c r="J66" s="277"/>
      <c r="K66" s="277"/>
      <c r="L66" s="277"/>
      <c r="M66" s="277"/>
      <c r="N66" s="277"/>
      <c r="O66" s="277"/>
      <c r="P66" s="277"/>
      <c r="Q66" s="277"/>
      <c r="R66" s="277"/>
      <c r="S66" s="277"/>
      <c r="T66" s="277"/>
      <c r="U66" s="277"/>
      <c r="V66" s="277"/>
      <c r="W66" s="277"/>
      <c r="X66" s="277"/>
      <c r="Y66" s="277"/>
      <c r="Z66" s="277">
        <f t="shared" ref="Z66:AV66" si="19">HLOOKUP(Z25,t_growth,3)</f>
        <v>43.034527673896086</v>
      </c>
      <c r="AA66" s="277">
        <f t="shared" si="19"/>
        <v>45.606729324439719</v>
      </c>
      <c r="AB66" s="277">
        <f t="shared" si="19"/>
        <v>48.146347095592041</v>
      </c>
      <c r="AC66" s="277">
        <f t="shared" si="19"/>
        <v>50.647617422659295</v>
      </c>
      <c r="AD66" s="277">
        <f t="shared" si="19"/>
        <v>53.105545795652432</v>
      </c>
      <c r="AE66" s="277">
        <f t="shared" si="19"/>
        <v>55.515852675616792</v>
      </c>
      <c r="AF66" s="277">
        <f t="shared" si="19"/>
        <v>57.874919434974622</v>
      </c>
      <c r="AG66" s="277">
        <f t="shared" si="19"/>
        <v>60.179735156461923</v>
      </c>
      <c r="AH66" s="277">
        <f t="shared" si="19"/>
        <v>62.427844922873923</v>
      </c>
      <c r="AI66" s="277">
        <f t="shared" si="19"/>
        <v>64.617300064203548</v>
      </c>
      <c r="AJ66" s="277">
        <f t="shared" si="19"/>
        <v>66.746610693912174</v>
      </c>
      <c r="AK66" s="277">
        <f t="shared" si="19"/>
        <v>68.814700756968321</v>
      </c>
      <c r="AL66" s="277">
        <f t="shared" si="19"/>
        <v>70.820865724660678</v>
      </c>
      <c r="AM66" s="277">
        <f t="shared" si="19"/>
        <v>72.764733001429349</v>
      </c>
      <c r="AN66" s="277">
        <f t="shared" si="19"/>
        <v>74.646225054022594</v>
      </c>
      <c r="AO66" s="277">
        <f t="shared" si="19"/>
        <v>76.465525230604669</v>
      </c>
      <c r="AP66" s="277">
        <f t="shared" si="19"/>
        <v>78.22304620485869</v>
      </c>
      <c r="AQ66" s="277">
        <f t="shared" si="19"/>
        <v>79.919400955828209</v>
      </c>
      <c r="AR66" s="277">
        <f t="shared" si="19"/>
        <v>81.555376176702282</v>
      </c>
      <c r="AS66" s="277">
        <f t="shared" si="19"/>
        <v>83.131907993694981</v>
      </c>
      <c r="AT66" s="277">
        <f t="shared" si="19"/>
        <v>84.650059868539287</v>
      </c>
      <c r="AU66" s="277">
        <f t="shared" si="19"/>
        <v>86.111002554017915</v>
      </c>
      <c r="AV66" s="277">
        <f t="shared" si="19"/>
        <v>87.515995970655169</v>
      </c>
    </row>
    <row r="67" spans="2:48" ht="12.95" customHeight="1" x14ac:dyDescent="0.2">
      <c r="B67" s="14"/>
      <c r="C67" s="372">
        <v>20</v>
      </c>
      <c r="D67" s="372"/>
      <c r="E67" s="372"/>
      <c r="F67" s="253" t="s">
        <v>492</v>
      </c>
      <c r="G67" s="253" t="s">
        <v>395</v>
      </c>
      <c r="H67" s="277"/>
      <c r="I67" s="277"/>
      <c r="J67" s="277"/>
      <c r="K67" s="277"/>
      <c r="L67" s="277"/>
      <c r="M67" s="277"/>
      <c r="N67" s="277"/>
      <c r="O67" s="277"/>
      <c r="P67" s="277"/>
      <c r="Q67" s="277"/>
      <c r="R67" s="277"/>
      <c r="S67" s="277"/>
      <c r="T67" s="277"/>
      <c r="U67" s="277"/>
      <c r="V67" s="277"/>
      <c r="W67" s="277"/>
      <c r="X67" s="277"/>
      <c r="Y67" s="277"/>
      <c r="Z67" s="277"/>
      <c r="AA67" s="277">
        <f t="shared" ref="AA67:AV67" si="20">HLOOKUP(AA26,t_growth,3)</f>
        <v>43.034527673896086</v>
      </c>
      <c r="AB67" s="277">
        <f t="shared" si="20"/>
        <v>45.606729324439719</v>
      </c>
      <c r="AC67" s="277">
        <f t="shared" si="20"/>
        <v>48.146347095592041</v>
      </c>
      <c r="AD67" s="277">
        <f t="shared" si="20"/>
        <v>50.647617422659295</v>
      </c>
      <c r="AE67" s="277">
        <f t="shared" si="20"/>
        <v>53.105545795652432</v>
      </c>
      <c r="AF67" s="277">
        <f t="shared" si="20"/>
        <v>55.515852675616792</v>
      </c>
      <c r="AG67" s="277">
        <f t="shared" si="20"/>
        <v>57.874919434974622</v>
      </c>
      <c r="AH67" s="277">
        <f t="shared" si="20"/>
        <v>60.179735156461923</v>
      </c>
      <c r="AI67" s="277">
        <f t="shared" si="20"/>
        <v>62.427844922873923</v>
      </c>
      <c r="AJ67" s="277">
        <f t="shared" si="20"/>
        <v>64.617300064203548</v>
      </c>
      <c r="AK67" s="277">
        <f t="shared" si="20"/>
        <v>66.746610693912174</v>
      </c>
      <c r="AL67" s="277">
        <f t="shared" si="20"/>
        <v>68.814700756968321</v>
      </c>
      <c r="AM67" s="277">
        <f t="shared" si="20"/>
        <v>70.820865724660678</v>
      </c>
      <c r="AN67" s="277">
        <f t="shared" si="20"/>
        <v>72.764733001429349</v>
      </c>
      <c r="AO67" s="277">
        <f t="shared" si="20"/>
        <v>74.646225054022594</v>
      </c>
      <c r="AP67" s="277">
        <f t="shared" si="20"/>
        <v>76.465525230604669</v>
      </c>
      <c r="AQ67" s="277">
        <f t="shared" si="20"/>
        <v>78.22304620485869</v>
      </c>
      <c r="AR67" s="277">
        <f t="shared" si="20"/>
        <v>79.919400955828209</v>
      </c>
      <c r="AS67" s="277">
        <f t="shared" si="20"/>
        <v>81.555376176702282</v>
      </c>
      <c r="AT67" s="277">
        <f t="shared" si="20"/>
        <v>83.131907993694981</v>
      </c>
      <c r="AU67" s="277">
        <f t="shared" si="20"/>
        <v>84.650059868539287</v>
      </c>
      <c r="AV67" s="277">
        <f t="shared" si="20"/>
        <v>86.111002554017915</v>
      </c>
    </row>
    <row r="68" spans="2:48" ht="12.95" customHeight="1" x14ac:dyDescent="0.2">
      <c r="B68" s="14"/>
      <c r="C68" s="372">
        <v>21</v>
      </c>
      <c r="D68" s="372"/>
      <c r="E68" s="372"/>
      <c r="F68" s="253" t="s">
        <v>492</v>
      </c>
      <c r="G68" s="253" t="s">
        <v>395</v>
      </c>
      <c r="H68" s="277"/>
      <c r="I68" s="277"/>
      <c r="J68" s="277"/>
      <c r="K68" s="277"/>
      <c r="L68" s="277"/>
      <c r="M68" s="277"/>
      <c r="N68" s="277"/>
      <c r="O68" s="277"/>
      <c r="P68" s="277"/>
      <c r="Q68" s="277"/>
      <c r="R68" s="277"/>
      <c r="S68" s="277"/>
      <c r="T68" s="277"/>
      <c r="U68" s="277"/>
      <c r="V68" s="277"/>
      <c r="W68" s="277"/>
      <c r="X68" s="277"/>
      <c r="Y68" s="277"/>
      <c r="Z68" s="277"/>
      <c r="AA68" s="277"/>
      <c r="AB68" s="277">
        <f t="shared" ref="AB68:AV68" si="21">HLOOKUP(AB27,t_growth,3)</f>
        <v>43.034527673896086</v>
      </c>
      <c r="AC68" s="277">
        <f t="shared" si="21"/>
        <v>45.606729324439719</v>
      </c>
      <c r="AD68" s="277">
        <f t="shared" si="21"/>
        <v>48.146347095592041</v>
      </c>
      <c r="AE68" s="277">
        <f t="shared" si="21"/>
        <v>50.647617422659295</v>
      </c>
      <c r="AF68" s="277">
        <f t="shared" si="21"/>
        <v>53.105545795652432</v>
      </c>
      <c r="AG68" s="277">
        <f t="shared" si="21"/>
        <v>55.515852675616792</v>
      </c>
      <c r="AH68" s="277">
        <f t="shared" si="21"/>
        <v>57.874919434974622</v>
      </c>
      <c r="AI68" s="277">
        <f t="shared" si="21"/>
        <v>60.179735156461923</v>
      </c>
      <c r="AJ68" s="277">
        <f t="shared" si="21"/>
        <v>62.427844922873923</v>
      </c>
      <c r="AK68" s="277">
        <f t="shared" si="21"/>
        <v>64.617300064203548</v>
      </c>
      <c r="AL68" s="277">
        <f t="shared" si="21"/>
        <v>66.746610693912174</v>
      </c>
      <c r="AM68" s="277">
        <f t="shared" si="21"/>
        <v>68.814700756968321</v>
      </c>
      <c r="AN68" s="277">
        <f t="shared" si="21"/>
        <v>70.820865724660678</v>
      </c>
      <c r="AO68" s="277">
        <f t="shared" si="21"/>
        <v>72.764733001429349</v>
      </c>
      <c r="AP68" s="277">
        <f t="shared" si="21"/>
        <v>74.646225054022594</v>
      </c>
      <c r="AQ68" s="277">
        <f t="shared" si="21"/>
        <v>76.465525230604669</v>
      </c>
      <c r="AR68" s="277">
        <f t="shared" si="21"/>
        <v>78.22304620485869</v>
      </c>
      <c r="AS68" s="277">
        <f t="shared" si="21"/>
        <v>79.919400955828209</v>
      </c>
      <c r="AT68" s="277">
        <f t="shared" si="21"/>
        <v>81.555376176702282</v>
      </c>
      <c r="AU68" s="277">
        <f t="shared" si="21"/>
        <v>83.131907993694981</v>
      </c>
      <c r="AV68" s="277">
        <f t="shared" si="21"/>
        <v>84.650059868539287</v>
      </c>
    </row>
    <row r="69" spans="2:48" ht="12.95" customHeight="1" x14ac:dyDescent="0.2">
      <c r="B69" s="14"/>
      <c r="C69" s="372">
        <v>22</v>
      </c>
      <c r="D69" s="372"/>
      <c r="E69" s="372"/>
      <c r="F69" s="253" t="s">
        <v>492</v>
      </c>
      <c r="G69" s="253" t="s">
        <v>395</v>
      </c>
      <c r="H69" s="277"/>
      <c r="I69" s="277"/>
      <c r="J69" s="277"/>
      <c r="K69" s="277"/>
      <c r="L69" s="277"/>
      <c r="M69" s="277"/>
      <c r="N69" s="277"/>
      <c r="O69" s="277"/>
      <c r="P69" s="277"/>
      <c r="Q69" s="277"/>
      <c r="R69" s="277"/>
      <c r="S69" s="277"/>
      <c r="T69" s="277"/>
      <c r="U69" s="277"/>
      <c r="V69" s="277"/>
      <c r="W69" s="277"/>
      <c r="X69" s="277"/>
      <c r="Y69" s="277"/>
      <c r="Z69" s="277"/>
      <c r="AA69" s="277"/>
      <c r="AB69" s="277"/>
      <c r="AC69" s="277">
        <f t="shared" ref="AC69:AV69" si="22">HLOOKUP(AC28,t_growth,3)</f>
        <v>43.034527673896086</v>
      </c>
      <c r="AD69" s="277">
        <f t="shared" si="22"/>
        <v>45.606729324439719</v>
      </c>
      <c r="AE69" s="277">
        <f t="shared" si="22"/>
        <v>48.146347095592041</v>
      </c>
      <c r="AF69" s="277">
        <f t="shared" si="22"/>
        <v>50.647617422659295</v>
      </c>
      <c r="AG69" s="277">
        <f t="shared" si="22"/>
        <v>53.105545795652432</v>
      </c>
      <c r="AH69" s="277">
        <f t="shared" si="22"/>
        <v>55.515852675616792</v>
      </c>
      <c r="AI69" s="277">
        <f t="shared" si="22"/>
        <v>57.874919434974622</v>
      </c>
      <c r="AJ69" s="277">
        <f t="shared" si="22"/>
        <v>60.179735156461923</v>
      </c>
      <c r="AK69" s="277">
        <f t="shared" si="22"/>
        <v>62.427844922873923</v>
      </c>
      <c r="AL69" s="277">
        <f t="shared" si="22"/>
        <v>64.617300064203548</v>
      </c>
      <c r="AM69" s="277">
        <f t="shared" si="22"/>
        <v>66.746610693912174</v>
      </c>
      <c r="AN69" s="277">
        <f t="shared" si="22"/>
        <v>68.814700756968321</v>
      </c>
      <c r="AO69" s="277">
        <f t="shared" si="22"/>
        <v>70.820865724660678</v>
      </c>
      <c r="AP69" s="277">
        <f t="shared" si="22"/>
        <v>72.764733001429349</v>
      </c>
      <c r="AQ69" s="277">
        <f t="shared" si="22"/>
        <v>74.646225054022594</v>
      </c>
      <c r="AR69" s="277">
        <f t="shared" si="22"/>
        <v>76.465525230604669</v>
      </c>
      <c r="AS69" s="277">
        <f t="shared" si="22"/>
        <v>78.22304620485869</v>
      </c>
      <c r="AT69" s="277">
        <f t="shared" si="22"/>
        <v>79.919400955828209</v>
      </c>
      <c r="AU69" s="277">
        <f t="shared" si="22"/>
        <v>81.555376176702282</v>
      </c>
      <c r="AV69" s="277">
        <f t="shared" si="22"/>
        <v>83.131907993694981</v>
      </c>
    </row>
    <row r="70" spans="2:48" ht="12.95" customHeight="1" x14ac:dyDescent="0.2">
      <c r="B70" s="14"/>
      <c r="C70" s="372">
        <v>23</v>
      </c>
      <c r="D70" s="372"/>
      <c r="E70" s="372"/>
      <c r="F70" s="253" t="s">
        <v>492</v>
      </c>
      <c r="G70" s="253" t="s">
        <v>395</v>
      </c>
      <c r="H70" s="277"/>
      <c r="I70" s="277"/>
      <c r="J70" s="277"/>
      <c r="K70" s="277"/>
      <c r="L70" s="277"/>
      <c r="M70" s="277"/>
      <c r="N70" s="277"/>
      <c r="O70" s="277"/>
      <c r="P70" s="277"/>
      <c r="Q70" s="277"/>
      <c r="R70" s="277"/>
      <c r="S70" s="277"/>
      <c r="T70" s="277"/>
      <c r="U70" s="277"/>
      <c r="V70" s="277"/>
      <c r="W70" s="277"/>
      <c r="X70" s="277"/>
      <c r="Y70" s="277"/>
      <c r="Z70" s="277"/>
      <c r="AA70" s="277"/>
      <c r="AB70" s="277"/>
      <c r="AC70" s="277"/>
      <c r="AD70" s="277">
        <f t="shared" ref="AD70:AV70" si="23">HLOOKUP(AD29,t_growth,3)</f>
        <v>43.034527673896086</v>
      </c>
      <c r="AE70" s="277">
        <f t="shared" si="23"/>
        <v>45.606729324439719</v>
      </c>
      <c r="AF70" s="277">
        <f t="shared" si="23"/>
        <v>48.146347095592041</v>
      </c>
      <c r="AG70" s="277">
        <f t="shared" si="23"/>
        <v>50.647617422659295</v>
      </c>
      <c r="AH70" s="277">
        <f t="shared" si="23"/>
        <v>53.105545795652432</v>
      </c>
      <c r="AI70" s="277">
        <f t="shared" si="23"/>
        <v>55.515852675616792</v>
      </c>
      <c r="AJ70" s="277">
        <f t="shared" si="23"/>
        <v>57.874919434974622</v>
      </c>
      <c r="AK70" s="277">
        <f t="shared" si="23"/>
        <v>60.179735156461923</v>
      </c>
      <c r="AL70" s="277">
        <f t="shared" si="23"/>
        <v>62.427844922873923</v>
      </c>
      <c r="AM70" s="277">
        <f t="shared" si="23"/>
        <v>64.617300064203548</v>
      </c>
      <c r="AN70" s="277">
        <f t="shared" si="23"/>
        <v>66.746610693912174</v>
      </c>
      <c r="AO70" s="277">
        <f t="shared" si="23"/>
        <v>68.814700756968321</v>
      </c>
      <c r="AP70" s="277">
        <f t="shared" si="23"/>
        <v>70.820865724660678</v>
      </c>
      <c r="AQ70" s="277">
        <f t="shared" si="23"/>
        <v>72.764733001429349</v>
      </c>
      <c r="AR70" s="277">
        <f t="shared" si="23"/>
        <v>74.646225054022594</v>
      </c>
      <c r="AS70" s="277">
        <f t="shared" si="23"/>
        <v>76.465525230604669</v>
      </c>
      <c r="AT70" s="277">
        <f t="shared" si="23"/>
        <v>78.22304620485869</v>
      </c>
      <c r="AU70" s="277">
        <f t="shared" si="23"/>
        <v>79.919400955828209</v>
      </c>
      <c r="AV70" s="277">
        <f t="shared" si="23"/>
        <v>81.555376176702282</v>
      </c>
    </row>
    <row r="71" spans="2:48" ht="12.95" customHeight="1" x14ac:dyDescent="0.2">
      <c r="B71" s="14"/>
      <c r="C71" s="372">
        <v>24</v>
      </c>
      <c r="D71" s="372"/>
      <c r="E71" s="372"/>
      <c r="F71" s="253" t="s">
        <v>492</v>
      </c>
      <c r="G71" s="253" t="s">
        <v>395</v>
      </c>
      <c r="H71" s="277"/>
      <c r="I71" s="277"/>
      <c r="J71" s="277"/>
      <c r="K71" s="277"/>
      <c r="L71" s="277"/>
      <c r="M71" s="277"/>
      <c r="N71" s="277"/>
      <c r="O71" s="277"/>
      <c r="P71" s="277"/>
      <c r="Q71" s="277"/>
      <c r="R71" s="277"/>
      <c r="S71" s="277"/>
      <c r="T71" s="277"/>
      <c r="U71" s="277"/>
      <c r="V71" s="277"/>
      <c r="W71" s="277"/>
      <c r="X71" s="277"/>
      <c r="Y71" s="277"/>
      <c r="Z71" s="277"/>
      <c r="AA71" s="277"/>
      <c r="AB71" s="277"/>
      <c r="AC71" s="277"/>
      <c r="AD71" s="277"/>
      <c r="AE71" s="277">
        <f t="shared" ref="AE71:AV71" si="24">HLOOKUP(AE30,t_growth,3)</f>
        <v>43.034527673896086</v>
      </c>
      <c r="AF71" s="277">
        <f t="shared" si="24"/>
        <v>45.606729324439719</v>
      </c>
      <c r="AG71" s="277">
        <f t="shared" si="24"/>
        <v>48.146347095592041</v>
      </c>
      <c r="AH71" s="277">
        <f t="shared" si="24"/>
        <v>50.647617422659295</v>
      </c>
      <c r="AI71" s="277">
        <f t="shared" si="24"/>
        <v>53.105545795652432</v>
      </c>
      <c r="AJ71" s="277">
        <f t="shared" si="24"/>
        <v>55.515852675616792</v>
      </c>
      <c r="AK71" s="277">
        <f t="shared" si="24"/>
        <v>57.874919434974622</v>
      </c>
      <c r="AL71" s="277">
        <f t="shared" si="24"/>
        <v>60.179735156461923</v>
      </c>
      <c r="AM71" s="277">
        <f t="shared" si="24"/>
        <v>62.427844922873923</v>
      </c>
      <c r="AN71" s="277">
        <f t="shared" si="24"/>
        <v>64.617300064203548</v>
      </c>
      <c r="AO71" s="277">
        <f t="shared" si="24"/>
        <v>66.746610693912174</v>
      </c>
      <c r="AP71" s="277">
        <f t="shared" si="24"/>
        <v>68.814700756968321</v>
      </c>
      <c r="AQ71" s="277">
        <f t="shared" si="24"/>
        <v>70.820865724660678</v>
      </c>
      <c r="AR71" s="277">
        <f t="shared" si="24"/>
        <v>72.764733001429349</v>
      </c>
      <c r="AS71" s="277">
        <f t="shared" si="24"/>
        <v>74.646225054022594</v>
      </c>
      <c r="AT71" s="277">
        <f t="shared" si="24"/>
        <v>76.465525230604669</v>
      </c>
      <c r="AU71" s="277">
        <f t="shared" si="24"/>
        <v>78.22304620485869</v>
      </c>
      <c r="AV71" s="277">
        <f t="shared" si="24"/>
        <v>79.919400955828209</v>
      </c>
    </row>
    <row r="72" spans="2:48" ht="12.95" customHeight="1" x14ac:dyDescent="0.2">
      <c r="B72" s="14"/>
      <c r="C72" s="372">
        <v>25</v>
      </c>
      <c r="D72" s="372"/>
      <c r="E72" s="372"/>
      <c r="F72" s="253" t="s">
        <v>492</v>
      </c>
      <c r="G72" s="253" t="s">
        <v>395</v>
      </c>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277"/>
      <c r="AF72" s="277">
        <f t="shared" ref="AF72:AV72" si="25">HLOOKUP(AF31,t_growth,3)</f>
        <v>43.034527673896086</v>
      </c>
      <c r="AG72" s="277">
        <f t="shared" si="25"/>
        <v>45.606729324439719</v>
      </c>
      <c r="AH72" s="277">
        <f t="shared" si="25"/>
        <v>48.146347095592041</v>
      </c>
      <c r="AI72" s="277">
        <f t="shared" si="25"/>
        <v>50.647617422659295</v>
      </c>
      <c r="AJ72" s="277">
        <f t="shared" si="25"/>
        <v>53.105545795652432</v>
      </c>
      <c r="AK72" s="277">
        <f t="shared" si="25"/>
        <v>55.515852675616792</v>
      </c>
      <c r="AL72" s="277">
        <f t="shared" si="25"/>
        <v>57.874919434974622</v>
      </c>
      <c r="AM72" s="277">
        <f t="shared" si="25"/>
        <v>60.179735156461923</v>
      </c>
      <c r="AN72" s="277">
        <f t="shared" si="25"/>
        <v>62.427844922873923</v>
      </c>
      <c r="AO72" s="277">
        <f t="shared" si="25"/>
        <v>64.617300064203548</v>
      </c>
      <c r="AP72" s="277">
        <f t="shared" si="25"/>
        <v>66.746610693912174</v>
      </c>
      <c r="AQ72" s="277">
        <f t="shared" si="25"/>
        <v>68.814700756968321</v>
      </c>
      <c r="AR72" s="277">
        <f t="shared" si="25"/>
        <v>70.820865724660678</v>
      </c>
      <c r="AS72" s="277">
        <f t="shared" si="25"/>
        <v>72.764733001429349</v>
      </c>
      <c r="AT72" s="277">
        <f t="shared" si="25"/>
        <v>74.646225054022594</v>
      </c>
      <c r="AU72" s="277">
        <f t="shared" si="25"/>
        <v>76.465525230604669</v>
      </c>
      <c r="AV72" s="277">
        <f t="shared" si="25"/>
        <v>78.22304620485869</v>
      </c>
    </row>
    <row r="73" spans="2:48" ht="12.95" customHeight="1" x14ac:dyDescent="0.2">
      <c r="B73" s="14"/>
      <c r="C73" s="372">
        <v>26</v>
      </c>
      <c r="D73" s="372"/>
      <c r="E73" s="372"/>
      <c r="F73" s="253" t="s">
        <v>492</v>
      </c>
      <c r="G73" s="253" t="s">
        <v>395</v>
      </c>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277"/>
      <c r="AF73" s="277"/>
      <c r="AG73" s="277">
        <f t="shared" ref="AG73:AV73" si="26">HLOOKUP(AG32,t_growth,3)</f>
        <v>0</v>
      </c>
      <c r="AH73" s="277">
        <f t="shared" si="26"/>
        <v>0</v>
      </c>
      <c r="AI73" s="277">
        <f t="shared" si="26"/>
        <v>0</v>
      </c>
      <c r="AJ73" s="277">
        <f t="shared" si="26"/>
        <v>0</v>
      </c>
      <c r="AK73" s="277">
        <f t="shared" si="26"/>
        <v>0</v>
      </c>
      <c r="AL73" s="277">
        <f t="shared" si="26"/>
        <v>0</v>
      </c>
      <c r="AM73" s="277">
        <f t="shared" si="26"/>
        <v>0</v>
      </c>
      <c r="AN73" s="277">
        <f t="shared" si="26"/>
        <v>0</v>
      </c>
      <c r="AO73" s="277">
        <f t="shared" si="26"/>
        <v>0</v>
      </c>
      <c r="AP73" s="277">
        <f t="shared" si="26"/>
        <v>0</v>
      </c>
      <c r="AQ73" s="277">
        <f t="shared" si="26"/>
        <v>0</v>
      </c>
      <c r="AR73" s="277">
        <f t="shared" si="26"/>
        <v>0</v>
      </c>
      <c r="AS73" s="277">
        <f t="shared" si="26"/>
        <v>0</v>
      </c>
      <c r="AT73" s="277">
        <f t="shared" si="26"/>
        <v>0</v>
      </c>
      <c r="AU73" s="277">
        <f t="shared" si="26"/>
        <v>0</v>
      </c>
      <c r="AV73" s="277">
        <f t="shared" si="26"/>
        <v>0</v>
      </c>
    </row>
    <row r="74" spans="2:48" ht="12.95" customHeight="1" x14ac:dyDescent="0.2">
      <c r="B74" s="14"/>
      <c r="C74" s="372">
        <v>27</v>
      </c>
      <c r="D74" s="372"/>
      <c r="E74" s="372"/>
      <c r="F74" s="253" t="s">
        <v>492</v>
      </c>
      <c r="G74" s="253" t="s">
        <v>395</v>
      </c>
      <c r="H74" s="277"/>
      <c r="I74" s="277"/>
      <c r="J74" s="277"/>
      <c r="K74" s="277"/>
      <c r="L74" s="277"/>
      <c r="M74" s="277"/>
      <c r="N74" s="277"/>
      <c r="O74" s="277"/>
      <c r="P74" s="277"/>
      <c r="Q74" s="277"/>
      <c r="R74" s="277"/>
      <c r="S74" s="277"/>
      <c r="T74" s="277"/>
      <c r="U74" s="277"/>
      <c r="V74" s="277"/>
      <c r="W74" s="277"/>
      <c r="X74" s="277"/>
      <c r="Y74" s="277"/>
      <c r="Z74" s="277"/>
      <c r="AA74" s="277"/>
      <c r="AB74" s="277"/>
      <c r="AC74" s="277"/>
      <c r="AD74" s="277"/>
      <c r="AE74" s="277"/>
      <c r="AF74" s="277"/>
      <c r="AG74" s="277"/>
      <c r="AH74" s="277">
        <f t="shared" ref="AH74:AV74" si="27">HLOOKUP(AH33,t_growth,3)</f>
        <v>0</v>
      </c>
      <c r="AI74" s="277">
        <f t="shared" si="27"/>
        <v>0</v>
      </c>
      <c r="AJ74" s="277">
        <f t="shared" si="27"/>
        <v>0</v>
      </c>
      <c r="AK74" s="277">
        <f t="shared" si="27"/>
        <v>0</v>
      </c>
      <c r="AL74" s="277">
        <f t="shared" si="27"/>
        <v>0</v>
      </c>
      <c r="AM74" s="277">
        <f t="shared" si="27"/>
        <v>0</v>
      </c>
      <c r="AN74" s="277">
        <f t="shared" si="27"/>
        <v>0</v>
      </c>
      <c r="AO74" s="277">
        <f t="shared" si="27"/>
        <v>0</v>
      </c>
      <c r="AP74" s="277">
        <f t="shared" si="27"/>
        <v>0</v>
      </c>
      <c r="AQ74" s="277">
        <f t="shared" si="27"/>
        <v>0</v>
      </c>
      <c r="AR74" s="277">
        <f t="shared" si="27"/>
        <v>0</v>
      </c>
      <c r="AS74" s="277">
        <f t="shared" si="27"/>
        <v>0</v>
      </c>
      <c r="AT74" s="277">
        <f t="shared" si="27"/>
        <v>0</v>
      </c>
      <c r="AU74" s="277">
        <f t="shared" si="27"/>
        <v>0</v>
      </c>
      <c r="AV74" s="277">
        <f t="shared" si="27"/>
        <v>0</v>
      </c>
    </row>
    <row r="75" spans="2:48" ht="12.95" customHeight="1" x14ac:dyDescent="0.2">
      <c r="B75" s="14"/>
      <c r="C75" s="372">
        <v>28</v>
      </c>
      <c r="D75" s="372"/>
      <c r="E75" s="372"/>
      <c r="F75" s="253" t="s">
        <v>492</v>
      </c>
      <c r="G75" s="253" t="s">
        <v>395</v>
      </c>
      <c r="H75" s="277"/>
      <c r="I75" s="277"/>
      <c r="J75" s="277"/>
      <c r="K75" s="277"/>
      <c r="L75" s="277"/>
      <c r="M75" s="277"/>
      <c r="N75" s="277"/>
      <c r="O75" s="277"/>
      <c r="P75" s="277"/>
      <c r="Q75" s="277"/>
      <c r="R75" s="277"/>
      <c r="S75" s="277"/>
      <c r="T75" s="277"/>
      <c r="U75" s="277"/>
      <c r="V75" s="277"/>
      <c r="W75" s="277"/>
      <c r="X75" s="277"/>
      <c r="Y75" s="277"/>
      <c r="Z75" s="277"/>
      <c r="AA75" s="277"/>
      <c r="AB75" s="277"/>
      <c r="AC75" s="277"/>
      <c r="AD75" s="277"/>
      <c r="AE75" s="277"/>
      <c r="AF75" s="277"/>
      <c r="AG75" s="277"/>
      <c r="AH75" s="277"/>
      <c r="AI75" s="277">
        <f t="shared" ref="AI75:AV75" si="28">HLOOKUP(AI34,t_growth,3)</f>
        <v>0</v>
      </c>
      <c r="AJ75" s="277">
        <f t="shared" si="28"/>
        <v>0</v>
      </c>
      <c r="AK75" s="277">
        <f t="shared" si="28"/>
        <v>0</v>
      </c>
      <c r="AL75" s="277">
        <f t="shared" si="28"/>
        <v>0</v>
      </c>
      <c r="AM75" s="277">
        <f t="shared" si="28"/>
        <v>0</v>
      </c>
      <c r="AN75" s="277">
        <f t="shared" si="28"/>
        <v>0</v>
      </c>
      <c r="AO75" s="277">
        <f t="shared" si="28"/>
        <v>0</v>
      </c>
      <c r="AP75" s="277">
        <f t="shared" si="28"/>
        <v>0</v>
      </c>
      <c r="AQ75" s="277">
        <f t="shared" si="28"/>
        <v>0</v>
      </c>
      <c r="AR75" s="277">
        <f t="shared" si="28"/>
        <v>0</v>
      </c>
      <c r="AS75" s="277">
        <f t="shared" si="28"/>
        <v>0</v>
      </c>
      <c r="AT75" s="277">
        <f t="shared" si="28"/>
        <v>0</v>
      </c>
      <c r="AU75" s="277">
        <f t="shared" si="28"/>
        <v>0</v>
      </c>
      <c r="AV75" s="277">
        <f t="shared" si="28"/>
        <v>0</v>
      </c>
    </row>
    <row r="76" spans="2:48" ht="12.95" customHeight="1" x14ac:dyDescent="0.2">
      <c r="B76" s="14"/>
      <c r="C76" s="372">
        <v>29</v>
      </c>
      <c r="D76" s="372"/>
      <c r="E76" s="372"/>
      <c r="F76" s="253" t="s">
        <v>492</v>
      </c>
      <c r="G76" s="253" t="s">
        <v>395</v>
      </c>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c r="AF76" s="277"/>
      <c r="AG76" s="277"/>
      <c r="AH76" s="277"/>
      <c r="AI76" s="277"/>
      <c r="AJ76" s="277">
        <f t="shared" ref="AJ76:AV76" si="29">HLOOKUP(AJ35,t_growth,3)</f>
        <v>0</v>
      </c>
      <c r="AK76" s="277">
        <f t="shared" si="29"/>
        <v>0</v>
      </c>
      <c r="AL76" s="277">
        <f t="shared" si="29"/>
        <v>0</v>
      </c>
      <c r="AM76" s="277">
        <f t="shared" si="29"/>
        <v>0</v>
      </c>
      <c r="AN76" s="277">
        <f t="shared" si="29"/>
        <v>0</v>
      </c>
      <c r="AO76" s="277">
        <f t="shared" si="29"/>
        <v>0</v>
      </c>
      <c r="AP76" s="277">
        <f t="shared" si="29"/>
        <v>0</v>
      </c>
      <c r="AQ76" s="277">
        <f t="shared" si="29"/>
        <v>0</v>
      </c>
      <c r="AR76" s="277">
        <f t="shared" si="29"/>
        <v>0</v>
      </c>
      <c r="AS76" s="277">
        <f t="shared" si="29"/>
        <v>0</v>
      </c>
      <c r="AT76" s="277">
        <f t="shared" si="29"/>
        <v>0</v>
      </c>
      <c r="AU76" s="277">
        <f t="shared" si="29"/>
        <v>0</v>
      </c>
      <c r="AV76" s="277">
        <f t="shared" si="29"/>
        <v>0</v>
      </c>
    </row>
    <row r="77" spans="2:48" ht="12.95" customHeight="1" x14ac:dyDescent="0.2">
      <c r="B77" s="14"/>
      <c r="C77" s="372">
        <v>30</v>
      </c>
      <c r="D77" s="372"/>
      <c r="E77" s="372"/>
      <c r="F77" s="253" t="s">
        <v>492</v>
      </c>
      <c r="G77" s="253" t="s">
        <v>395</v>
      </c>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277"/>
      <c r="AF77" s="277"/>
      <c r="AG77" s="277"/>
      <c r="AH77" s="277"/>
      <c r="AI77" s="277"/>
      <c r="AJ77" s="277"/>
      <c r="AK77" s="277">
        <f t="shared" ref="AK77:AV77" si="30">HLOOKUP(AK36,t_growth,3)</f>
        <v>0</v>
      </c>
      <c r="AL77" s="277">
        <f t="shared" si="30"/>
        <v>0</v>
      </c>
      <c r="AM77" s="277">
        <f t="shared" si="30"/>
        <v>0</v>
      </c>
      <c r="AN77" s="277">
        <f t="shared" si="30"/>
        <v>0</v>
      </c>
      <c r="AO77" s="277">
        <f t="shared" si="30"/>
        <v>0</v>
      </c>
      <c r="AP77" s="277">
        <f t="shared" si="30"/>
        <v>0</v>
      </c>
      <c r="AQ77" s="277">
        <f t="shared" si="30"/>
        <v>0</v>
      </c>
      <c r="AR77" s="277">
        <f t="shared" si="30"/>
        <v>0</v>
      </c>
      <c r="AS77" s="277">
        <f t="shared" si="30"/>
        <v>0</v>
      </c>
      <c r="AT77" s="277">
        <f t="shared" si="30"/>
        <v>0</v>
      </c>
      <c r="AU77" s="277">
        <f t="shared" si="30"/>
        <v>0</v>
      </c>
      <c r="AV77" s="277">
        <f t="shared" si="30"/>
        <v>0</v>
      </c>
    </row>
    <row r="78" spans="2:48" ht="12.95" customHeight="1" x14ac:dyDescent="0.2">
      <c r="B78" s="14"/>
      <c r="C78" s="372">
        <v>31</v>
      </c>
      <c r="D78" s="372"/>
      <c r="E78" s="372"/>
      <c r="F78" s="253" t="s">
        <v>492</v>
      </c>
      <c r="G78" s="253" t="s">
        <v>395</v>
      </c>
      <c r="H78" s="277"/>
      <c r="I78" s="277"/>
      <c r="J78" s="277"/>
      <c r="K78" s="277"/>
      <c r="L78" s="277"/>
      <c r="M78" s="277"/>
      <c r="N78" s="277"/>
      <c r="O78" s="277"/>
      <c r="P78" s="277"/>
      <c r="Q78" s="277"/>
      <c r="R78" s="277"/>
      <c r="S78" s="277"/>
      <c r="T78" s="277"/>
      <c r="U78" s="277"/>
      <c r="V78" s="277"/>
      <c r="W78" s="277"/>
      <c r="X78" s="277"/>
      <c r="Y78" s="277"/>
      <c r="Z78" s="277"/>
      <c r="AA78" s="277"/>
      <c r="AB78" s="277"/>
      <c r="AC78" s="277"/>
      <c r="AD78" s="277"/>
      <c r="AE78" s="277"/>
      <c r="AF78" s="277"/>
      <c r="AG78" s="277"/>
      <c r="AH78" s="277"/>
      <c r="AI78" s="277"/>
      <c r="AJ78" s="277"/>
      <c r="AK78" s="277"/>
      <c r="AL78" s="277">
        <f t="shared" ref="AL78:AV78" si="31">HLOOKUP(AL37,t_growth,3)</f>
        <v>0</v>
      </c>
      <c r="AM78" s="277">
        <f t="shared" si="31"/>
        <v>0</v>
      </c>
      <c r="AN78" s="277">
        <f t="shared" si="31"/>
        <v>0</v>
      </c>
      <c r="AO78" s="277">
        <f t="shared" si="31"/>
        <v>0</v>
      </c>
      <c r="AP78" s="277">
        <f t="shared" si="31"/>
        <v>0</v>
      </c>
      <c r="AQ78" s="277">
        <f t="shared" si="31"/>
        <v>0</v>
      </c>
      <c r="AR78" s="277">
        <f t="shared" si="31"/>
        <v>0</v>
      </c>
      <c r="AS78" s="277">
        <f t="shared" si="31"/>
        <v>0</v>
      </c>
      <c r="AT78" s="277">
        <f t="shared" si="31"/>
        <v>0</v>
      </c>
      <c r="AU78" s="277">
        <f t="shared" si="31"/>
        <v>0</v>
      </c>
      <c r="AV78" s="277">
        <f t="shared" si="31"/>
        <v>0</v>
      </c>
    </row>
    <row r="79" spans="2:48" ht="12.95" customHeight="1" x14ac:dyDescent="0.2">
      <c r="B79" s="14"/>
      <c r="C79" s="372">
        <v>32</v>
      </c>
      <c r="D79" s="372"/>
      <c r="E79" s="372"/>
      <c r="F79" s="253" t="s">
        <v>492</v>
      </c>
      <c r="G79" s="253" t="s">
        <v>395</v>
      </c>
      <c r="H79" s="277"/>
      <c r="I79" s="277"/>
      <c r="J79" s="277"/>
      <c r="K79" s="277"/>
      <c r="L79" s="277"/>
      <c r="M79" s="277"/>
      <c r="N79" s="277"/>
      <c r="O79" s="277"/>
      <c r="P79" s="277"/>
      <c r="Q79" s="277"/>
      <c r="R79" s="277"/>
      <c r="S79" s="277"/>
      <c r="T79" s="277"/>
      <c r="U79" s="277"/>
      <c r="V79" s="277"/>
      <c r="W79" s="277"/>
      <c r="X79" s="277"/>
      <c r="Y79" s="277"/>
      <c r="Z79" s="277"/>
      <c r="AA79" s="277"/>
      <c r="AB79" s="277"/>
      <c r="AC79" s="277"/>
      <c r="AD79" s="277"/>
      <c r="AE79" s="277"/>
      <c r="AF79" s="277"/>
      <c r="AG79" s="277"/>
      <c r="AH79" s="277"/>
      <c r="AI79" s="277"/>
      <c r="AJ79" s="277"/>
      <c r="AK79" s="277"/>
      <c r="AL79" s="277"/>
      <c r="AM79" s="277">
        <f t="shared" ref="AM79:AV79" si="32">HLOOKUP(AM38,t_growth,3)</f>
        <v>0</v>
      </c>
      <c r="AN79" s="277">
        <f t="shared" si="32"/>
        <v>0</v>
      </c>
      <c r="AO79" s="277">
        <f t="shared" si="32"/>
        <v>0</v>
      </c>
      <c r="AP79" s="277">
        <f t="shared" si="32"/>
        <v>0</v>
      </c>
      <c r="AQ79" s="277">
        <f t="shared" si="32"/>
        <v>0</v>
      </c>
      <c r="AR79" s="277">
        <f t="shared" si="32"/>
        <v>0</v>
      </c>
      <c r="AS79" s="277">
        <f t="shared" si="32"/>
        <v>0</v>
      </c>
      <c r="AT79" s="277">
        <f t="shared" si="32"/>
        <v>0</v>
      </c>
      <c r="AU79" s="277">
        <f t="shared" si="32"/>
        <v>0</v>
      </c>
      <c r="AV79" s="277">
        <f t="shared" si="32"/>
        <v>0</v>
      </c>
    </row>
    <row r="80" spans="2:48" ht="12.95" customHeight="1" x14ac:dyDescent="0.2">
      <c r="B80" s="14"/>
      <c r="C80" s="372">
        <v>33</v>
      </c>
      <c r="D80" s="372"/>
      <c r="E80" s="372"/>
      <c r="F80" s="253" t="s">
        <v>492</v>
      </c>
      <c r="G80" s="253" t="s">
        <v>395</v>
      </c>
      <c r="H80" s="277"/>
      <c r="I80" s="277"/>
      <c r="J80" s="277"/>
      <c r="K80" s="277"/>
      <c r="L80" s="277"/>
      <c r="M80" s="277"/>
      <c r="N80" s="277"/>
      <c r="O80" s="277"/>
      <c r="P80" s="277"/>
      <c r="Q80" s="277"/>
      <c r="R80" s="277"/>
      <c r="S80" s="277"/>
      <c r="T80" s="277"/>
      <c r="U80" s="277"/>
      <c r="V80" s="277"/>
      <c r="W80" s="277"/>
      <c r="X80" s="277"/>
      <c r="Y80" s="277"/>
      <c r="Z80" s="277"/>
      <c r="AA80" s="277"/>
      <c r="AB80" s="277"/>
      <c r="AC80" s="277"/>
      <c r="AD80" s="277"/>
      <c r="AE80" s="277"/>
      <c r="AF80" s="277"/>
      <c r="AG80" s="277"/>
      <c r="AH80" s="277"/>
      <c r="AI80" s="277"/>
      <c r="AJ80" s="277"/>
      <c r="AK80" s="277"/>
      <c r="AL80" s="277"/>
      <c r="AM80" s="277"/>
      <c r="AN80" s="277">
        <f t="shared" ref="AN80:AV80" si="33">HLOOKUP(AN39,t_growth,3)</f>
        <v>0</v>
      </c>
      <c r="AO80" s="277">
        <f t="shared" si="33"/>
        <v>0</v>
      </c>
      <c r="AP80" s="277">
        <f t="shared" si="33"/>
        <v>0</v>
      </c>
      <c r="AQ80" s="277">
        <f t="shared" si="33"/>
        <v>0</v>
      </c>
      <c r="AR80" s="277">
        <f t="shared" si="33"/>
        <v>0</v>
      </c>
      <c r="AS80" s="277">
        <f t="shared" si="33"/>
        <v>0</v>
      </c>
      <c r="AT80" s="277">
        <f t="shared" si="33"/>
        <v>0</v>
      </c>
      <c r="AU80" s="277">
        <f t="shared" si="33"/>
        <v>0</v>
      </c>
      <c r="AV80" s="277">
        <f t="shared" si="33"/>
        <v>0</v>
      </c>
    </row>
    <row r="81" spans="2:48" ht="12.95" customHeight="1" x14ac:dyDescent="0.2">
      <c r="B81" s="14"/>
      <c r="C81" s="372">
        <v>34</v>
      </c>
      <c r="D81" s="372"/>
      <c r="E81" s="372"/>
      <c r="F81" s="253" t="s">
        <v>492</v>
      </c>
      <c r="G81" s="253" t="s">
        <v>395</v>
      </c>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277"/>
      <c r="AF81" s="277"/>
      <c r="AG81" s="277"/>
      <c r="AH81" s="277"/>
      <c r="AI81" s="277"/>
      <c r="AJ81" s="277"/>
      <c r="AK81" s="277"/>
      <c r="AL81" s="277"/>
      <c r="AM81" s="277"/>
      <c r="AN81" s="277"/>
      <c r="AO81" s="277">
        <f t="shared" ref="AO81:AV81" si="34">HLOOKUP(AO40,t_growth,3)</f>
        <v>0</v>
      </c>
      <c r="AP81" s="277">
        <f t="shared" si="34"/>
        <v>0</v>
      </c>
      <c r="AQ81" s="277">
        <f t="shared" si="34"/>
        <v>0</v>
      </c>
      <c r="AR81" s="277">
        <f t="shared" si="34"/>
        <v>0</v>
      </c>
      <c r="AS81" s="277">
        <f t="shared" si="34"/>
        <v>0</v>
      </c>
      <c r="AT81" s="277">
        <f t="shared" si="34"/>
        <v>0</v>
      </c>
      <c r="AU81" s="277">
        <f t="shared" si="34"/>
        <v>0</v>
      </c>
      <c r="AV81" s="277">
        <f t="shared" si="34"/>
        <v>0</v>
      </c>
    </row>
    <row r="82" spans="2:48" ht="12.95" customHeight="1" x14ac:dyDescent="0.2">
      <c r="B82" s="14"/>
      <c r="C82" s="372">
        <v>35</v>
      </c>
      <c r="D82" s="372"/>
      <c r="E82" s="372"/>
      <c r="F82" s="253" t="s">
        <v>492</v>
      </c>
      <c r="G82" s="253" t="s">
        <v>395</v>
      </c>
      <c r="H82" s="277"/>
      <c r="I82" s="277"/>
      <c r="J82" s="277"/>
      <c r="K82" s="277"/>
      <c r="L82" s="277"/>
      <c r="M82" s="277"/>
      <c r="N82" s="277"/>
      <c r="O82" s="277"/>
      <c r="P82" s="277"/>
      <c r="Q82" s="277"/>
      <c r="R82" s="277"/>
      <c r="S82" s="277"/>
      <c r="T82" s="277"/>
      <c r="U82" s="277"/>
      <c r="V82" s="277"/>
      <c r="W82" s="277"/>
      <c r="X82" s="277"/>
      <c r="Y82" s="277"/>
      <c r="Z82" s="277"/>
      <c r="AA82" s="277"/>
      <c r="AB82" s="277"/>
      <c r="AC82" s="277"/>
      <c r="AD82" s="277"/>
      <c r="AE82" s="277"/>
      <c r="AF82" s="277"/>
      <c r="AG82" s="277"/>
      <c r="AH82" s="277"/>
      <c r="AI82" s="277"/>
      <c r="AJ82" s="277"/>
      <c r="AK82" s="277"/>
      <c r="AL82" s="277"/>
      <c r="AM82" s="277"/>
      <c r="AN82" s="277"/>
      <c r="AO82" s="277"/>
      <c r="AP82" s="277">
        <f t="shared" ref="AP82:AV82" si="35">HLOOKUP(AP41,t_growth,3)</f>
        <v>0</v>
      </c>
      <c r="AQ82" s="277">
        <f t="shared" si="35"/>
        <v>0</v>
      </c>
      <c r="AR82" s="277">
        <f t="shared" si="35"/>
        <v>0</v>
      </c>
      <c r="AS82" s="277">
        <f t="shared" si="35"/>
        <v>0</v>
      </c>
      <c r="AT82" s="277">
        <f t="shared" si="35"/>
        <v>0</v>
      </c>
      <c r="AU82" s="277">
        <f t="shared" si="35"/>
        <v>0</v>
      </c>
      <c r="AV82" s="277">
        <f t="shared" si="35"/>
        <v>0</v>
      </c>
    </row>
    <row r="83" spans="2:48" ht="12.95" customHeight="1" x14ac:dyDescent="0.2">
      <c r="B83" s="14"/>
      <c r="C83" s="372">
        <v>36</v>
      </c>
      <c r="D83" s="372"/>
      <c r="E83" s="372"/>
      <c r="F83" s="253" t="s">
        <v>492</v>
      </c>
      <c r="G83" s="253" t="s">
        <v>395</v>
      </c>
      <c r="H83" s="277"/>
      <c r="I83" s="277"/>
      <c r="J83" s="277"/>
      <c r="K83" s="277"/>
      <c r="L83" s="277"/>
      <c r="M83" s="277"/>
      <c r="N83" s="277"/>
      <c r="O83" s="277"/>
      <c r="P83" s="277"/>
      <c r="Q83" s="277"/>
      <c r="R83" s="277"/>
      <c r="S83" s="277"/>
      <c r="T83" s="277"/>
      <c r="U83" s="277"/>
      <c r="V83" s="277"/>
      <c r="W83" s="277"/>
      <c r="X83" s="277"/>
      <c r="Y83" s="277"/>
      <c r="Z83" s="277"/>
      <c r="AA83" s="277"/>
      <c r="AB83" s="277"/>
      <c r="AC83" s="277"/>
      <c r="AD83" s="277"/>
      <c r="AE83" s="277"/>
      <c r="AF83" s="277"/>
      <c r="AG83" s="277"/>
      <c r="AH83" s="277"/>
      <c r="AI83" s="277"/>
      <c r="AJ83" s="277"/>
      <c r="AK83" s="277"/>
      <c r="AL83" s="277"/>
      <c r="AM83" s="277"/>
      <c r="AN83" s="277"/>
      <c r="AO83" s="277"/>
      <c r="AP83" s="277"/>
      <c r="AQ83" s="277">
        <f t="shared" ref="AQ83:AV83" si="36">HLOOKUP(AQ42,t_growth,3)</f>
        <v>0</v>
      </c>
      <c r="AR83" s="277">
        <f t="shared" si="36"/>
        <v>0</v>
      </c>
      <c r="AS83" s="277">
        <f t="shared" si="36"/>
        <v>0</v>
      </c>
      <c r="AT83" s="277">
        <f t="shared" si="36"/>
        <v>0</v>
      </c>
      <c r="AU83" s="277">
        <f t="shared" si="36"/>
        <v>0</v>
      </c>
      <c r="AV83" s="277">
        <f t="shared" si="36"/>
        <v>0</v>
      </c>
    </row>
    <row r="84" spans="2:48" ht="12.95" customHeight="1" x14ac:dyDescent="0.2">
      <c r="B84" s="14"/>
      <c r="C84" s="372">
        <v>37</v>
      </c>
      <c r="D84" s="372"/>
      <c r="E84" s="372"/>
      <c r="F84" s="253" t="s">
        <v>492</v>
      </c>
      <c r="G84" s="253" t="s">
        <v>395</v>
      </c>
      <c r="H84" s="277"/>
      <c r="I84" s="277"/>
      <c r="J84" s="277"/>
      <c r="K84" s="277"/>
      <c r="L84" s="277"/>
      <c r="M84" s="277"/>
      <c r="N84" s="277"/>
      <c r="O84" s="277"/>
      <c r="P84" s="277"/>
      <c r="Q84" s="277"/>
      <c r="R84" s="277"/>
      <c r="S84" s="277"/>
      <c r="T84" s="277"/>
      <c r="U84" s="277"/>
      <c r="V84" s="277"/>
      <c r="W84" s="277"/>
      <c r="X84" s="277"/>
      <c r="Y84" s="277"/>
      <c r="Z84" s="277"/>
      <c r="AA84" s="277"/>
      <c r="AB84" s="277"/>
      <c r="AC84" s="277"/>
      <c r="AD84" s="277"/>
      <c r="AE84" s="277"/>
      <c r="AF84" s="277"/>
      <c r="AG84" s="277"/>
      <c r="AH84" s="277"/>
      <c r="AI84" s="277"/>
      <c r="AJ84" s="277"/>
      <c r="AK84" s="277"/>
      <c r="AL84" s="277"/>
      <c r="AM84" s="277"/>
      <c r="AN84" s="277"/>
      <c r="AO84" s="277"/>
      <c r="AP84" s="277"/>
      <c r="AQ84" s="277"/>
      <c r="AR84" s="277">
        <f>HLOOKUP(AR43,t_growth,3)</f>
        <v>0</v>
      </c>
      <c r="AS84" s="277">
        <f>HLOOKUP(AS43,t_growth,3)</f>
        <v>0</v>
      </c>
      <c r="AT84" s="277">
        <f>HLOOKUP(AT43,t_growth,3)</f>
        <v>0</v>
      </c>
      <c r="AU84" s="277">
        <f>HLOOKUP(AU43,t_growth,3)</f>
        <v>0</v>
      </c>
      <c r="AV84" s="277">
        <f>HLOOKUP(AV43,t_growth,3)</f>
        <v>0</v>
      </c>
    </row>
    <row r="85" spans="2:48" ht="12.95" customHeight="1" x14ac:dyDescent="0.2">
      <c r="B85" s="14"/>
      <c r="C85" s="372">
        <v>38</v>
      </c>
      <c r="D85" s="372"/>
      <c r="E85" s="372"/>
      <c r="F85" s="253" t="s">
        <v>492</v>
      </c>
      <c r="G85" s="253" t="s">
        <v>395</v>
      </c>
      <c r="H85" s="277"/>
      <c r="I85" s="277"/>
      <c r="J85" s="277"/>
      <c r="K85" s="277"/>
      <c r="L85" s="277"/>
      <c r="M85" s="277"/>
      <c r="N85" s="277"/>
      <c r="O85" s="277"/>
      <c r="P85" s="277"/>
      <c r="Q85" s="277"/>
      <c r="R85" s="277"/>
      <c r="S85" s="277"/>
      <c r="T85" s="277"/>
      <c r="U85" s="277"/>
      <c r="V85" s="277"/>
      <c r="W85" s="277"/>
      <c r="X85" s="277"/>
      <c r="Y85" s="277"/>
      <c r="Z85" s="277"/>
      <c r="AA85" s="277"/>
      <c r="AB85" s="277"/>
      <c r="AC85" s="277"/>
      <c r="AD85" s="277"/>
      <c r="AE85" s="277"/>
      <c r="AF85" s="277"/>
      <c r="AG85" s="277"/>
      <c r="AH85" s="277"/>
      <c r="AI85" s="277"/>
      <c r="AJ85" s="277"/>
      <c r="AK85" s="277"/>
      <c r="AL85" s="277"/>
      <c r="AM85" s="277"/>
      <c r="AN85" s="277"/>
      <c r="AO85" s="277"/>
      <c r="AP85" s="277"/>
      <c r="AQ85" s="277"/>
      <c r="AR85" s="277"/>
      <c r="AS85" s="277">
        <f>HLOOKUP(AS44,t_growth,3)</f>
        <v>0</v>
      </c>
      <c r="AT85" s="277">
        <f>HLOOKUP(AT44,t_growth,3)</f>
        <v>0</v>
      </c>
      <c r="AU85" s="277">
        <f>HLOOKUP(AU44,t_growth,3)</f>
        <v>0</v>
      </c>
      <c r="AV85" s="277">
        <f>HLOOKUP(AV44,t_growth,3)</f>
        <v>0</v>
      </c>
    </row>
    <row r="86" spans="2:48" ht="12.95" customHeight="1" x14ac:dyDescent="0.2">
      <c r="B86" s="14"/>
      <c r="C86" s="372">
        <v>39</v>
      </c>
      <c r="D86" s="372"/>
      <c r="E86" s="372"/>
      <c r="F86" s="253" t="s">
        <v>492</v>
      </c>
      <c r="G86" s="253" t="s">
        <v>395</v>
      </c>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277"/>
      <c r="AF86" s="277"/>
      <c r="AG86" s="277"/>
      <c r="AH86" s="277"/>
      <c r="AI86" s="277"/>
      <c r="AJ86" s="277"/>
      <c r="AK86" s="277"/>
      <c r="AL86" s="277"/>
      <c r="AM86" s="277"/>
      <c r="AN86" s="277"/>
      <c r="AO86" s="277"/>
      <c r="AP86" s="277"/>
      <c r="AQ86" s="277"/>
      <c r="AR86" s="277"/>
      <c r="AS86" s="277"/>
      <c r="AT86" s="277">
        <f>HLOOKUP(AT45,t_growth,3)</f>
        <v>0</v>
      </c>
      <c r="AU86" s="277">
        <f>HLOOKUP(AU45,t_growth,3)</f>
        <v>0</v>
      </c>
      <c r="AV86" s="277">
        <f>HLOOKUP(AV45,t_growth,3)</f>
        <v>0</v>
      </c>
    </row>
    <row r="87" spans="2:48" ht="12.95" customHeight="1" x14ac:dyDescent="0.2">
      <c r="B87" s="14"/>
      <c r="C87" s="372">
        <v>40</v>
      </c>
      <c r="D87" s="372"/>
      <c r="E87" s="372"/>
      <c r="F87" s="253" t="s">
        <v>492</v>
      </c>
      <c r="G87" s="253" t="s">
        <v>395</v>
      </c>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277"/>
      <c r="AF87" s="277"/>
      <c r="AG87" s="277"/>
      <c r="AH87" s="277"/>
      <c r="AI87" s="277"/>
      <c r="AJ87" s="277"/>
      <c r="AK87" s="277"/>
      <c r="AL87" s="277"/>
      <c r="AM87" s="277"/>
      <c r="AN87" s="277"/>
      <c r="AO87" s="277"/>
      <c r="AP87" s="277"/>
      <c r="AQ87" s="277"/>
      <c r="AR87" s="277"/>
      <c r="AS87" s="277"/>
      <c r="AT87" s="277"/>
      <c r="AU87" s="277">
        <f>HLOOKUP(AU46,t_growth,3)</f>
        <v>0</v>
      </c>
      <c r="AV87" s="277">
        <f>HLOOKUP(AV46,t_growth,3)</f>
        <v>0</v>
      </c>
    </row>
    <row r="88" spans="2:48" ht="12.95" customHeight="1" x14ac:dyDescent="0.2">
      <c r="B88" s="14" t="s">
        <v>496</v>
      </c>
      <c r="H88" s="171"/>
      <c r="I88" s="171"/>
      <c r="J88" s="171"/>
      <c r="K88" s="171"/>
      <c r="L88" s="171"/>
      <c r="M88" s="171"/>
      <c r="N88" s="171"/>
      <c r="O88" s="171"/>
      <c r="P88" s="171"/>
      <c r="Q88" s="171"/>
      <c r="R88" s="171"/>
      <c r="S88" s="171"/>
      <c r="T88" s="171"/>
      <c r="U88" s="171"/>
      <c r="V88" s="171"/>
      <c r="W88" s="171"/>
      <c r="X88" s="171"/>
      <c r="Y88" s="171"/>
      <c r="Z88" s="171"/>
      <c r="AA88" s="171"/>
      <c r="AB88" s="171"/>
      <c r="AC88" s="171"/>
      <c r="AD88" s="171"/>
      <c r="AE88" s="171"/>
      <c r="AF88" s="171"/>
      <c r="AG88" s="171"/>
      <c r="AH88" s="171"/>
      <c r="AI88" s="171"/>
      <c r="AJ88" s="171"/>
      <c r="AK88" s="171"/>
      <c r="AL88" s="171"/>
      <c r="AM88" s="171"/>
      <c r="AN88" s="171"/>
      <c r="AO88" s="171"/>
      <c r="AP88" s="171"/>
      <c r="AQ88" s="171"/>
      <c r="AR88" s="171"/>
      <c r="AS88" s="171"/>
      <c r="AT88" s="171"/>
      <c r="AU88" s="171"/>
      <c r="AV88" s="171"/>
    </row>
    <row r="89" spans="2:48" ht="12.95" customHeight="1" x14ac:dyDescent="0.2">
      <c r="B89" s="14"/>
      <c r="C89" s="253" t="s">
        <v>858</v>
      </c>
      <c r="F89" s="253" t="s">
        <v>493</v>
      </c>
      <c r="G89" s="253" t="s">
        <v>395</v>
      </c>
      <c r="H89" s="147"/>
      <c r="I89" s="147">
        <f t="shared" ref="I89:AV89" si="37">IF(I7=1,I48,I48-H48)</f>
        <v>2.5722016505436329</v>
      </c>
      <c r="J89" s="147">
        <f t="shared" si="37"/>
        <v>2.5396177711523222</v>
      </c>
      <c r="K89" s="147">
        <f t="shared" si="37"/>
        <v>2.5012703270672532</v>
      </c>
      <c r="L89" s="147">
        <f t="shared" si="37"/>
        <v>2.4579283729931376</v>
      </c>
      <c r="M89" s="147">
        <f t="shared" si="37"/>
        <v>2.4103068799643594</v>
      </c>
      <c r="N89" s="147">
        <f t="shared" si="37"/>
        <v>2.3590667593578303</v>
      </c>
      <c r="O89" s="147">
        <f t="shared" si="37"/>
        <v>2.3048157214873015</v>
      </c>
      <c r="P89" s="147">
        <f t="shared" si="37"/>
        <v>2.248109766412</v>
      </c>
      <c r="Q89" s="147">
        <f t="shared" si="37"/>
        <v>2.1894551413296242</v>
      </c>
      <c r="R89" s="147">
        <f t="shared" si="37"/>
        <v>2.1293106297086268</v>
      </c>
      <c r="S89" s="147">
        <f t="shared" si="37"/>
        <v>2.0680900630561467</v>
      </c>
      <c r="T89" s="147">
        <f t="shared" si="37"/>
        <v>2.0061649676923565</v>
      </c>
      <c r="U89" s="147">
        <f t="shared" si="37"/>
        <v>1.9438672767686711</v>
      </c>
      <c r="V89" s="147">
        <f t="shared" si="37"/>
        <v>1.881492052593245</v>
      </c>
      <c r="W89" s="147">
        <f t="shared" si="37"/>
        <v>1.8193001765820753</v>
      </c>
      <c r="X89" s="147">
        <f t="shared" si="37"/>
        <v>1.757520974254021</v>
      </c>
      <c r="Y89" s="147">
        <f t="shared" si="37"/>
        <v>1.6963547509695189</v>
      </c>
      <c r="Z89" s="147">
        <f t="shared" si="37"/>
        <v>1.635975220874073</v>
      </c>
      <c r="AA89" s="147">
        <f t="shared" si="37"/>
        <v>1.5765318169926985</v>
      </c>
      <c r="AB89" s="147">
        <f t="shared" si="37"/>
        <v>1.5181518748443068</v>
      </c>
      <c r="AC89" s="147">
        <f t="shared" si="37"/>
        <v>1.4609426854786278</v>
      </c>
      <c r="AD89" s="147">
        <f t="shared" si="37"/>
        <v>1.4049934166372537</v>
      </c>
      <c r="AE89" s="147">
        <f t="shared" si="37"/>
        <v>1.3503769029256318</v>
      </c>
      <c r="AF89" s="147">
        <f t="shared" si="37"/>
        <v>1.2971513075696635</v>
      </c>
      <c r="AG89" s="147">
        <f t="shared" si="37"/>
        <v>1.245361659595801</v>
      </c>
      <c r="AH89" s="147">
        <f t="shared" si="37"/>
        <v>1.195041271207657</v>
      </c>
      <c r="AI89" s="147">
        <f t="shared" si="37"/>
        <v>1.1462130407838771</v>
      </c>
      <c r="AJ89" s="147">
        <f t="shared" si="37"/>
        <v>1.0988906473547644</v>
      </c>
      <c r="AK89" s="147">
        <f t="shared" si="37"/>
        <v>1.0530796426674556</v>
      </c>
      <c r="AL89" s="147">
        <f t="shared" si="37"/>
        <v>1.0087784470575087</v>
      </c>
      <c r="AM89" s="147">
        <f t="shared" si="37"/>
        <v>0.96597925534526041</v>
      </c>
      <c r="AN89" s="147">
        <f t="shared" si="37"/>
        <v>0.92466885888327965</v>
      </c>
      <c r="AO89" s="147">
        <f t="shared" si="37"/>
        <v>0.88482938972674674</v>
      </c>
      <c r="AP89" s="147">
        <f t="shared" si="37"/>
        <v>0.84643899269478595</v>
      </c>
      <c r="AQ89" s="147">
        <f t="shared" si="37"/>
        <v>0.80947243084757758</v>
      </c>
      <c r="AR89" s="147">
        <f t="shared" si="37"/>
        <v>0.77390162964358922</v>
      </c>
      <c r="AS89" s="147">
        <f t="shared" si="37"/>
        <v>0.7396961647579019</v>
      </c>
      <c r="AT89" s="147">
        <f t="shared" si="37"/>
        <v>0.70682369825709657</v>
      </c>
      <c r="AU89" s="147">
        <f t="shared" si="37"/>
        <v>0.67525036753805523</v>
      </c>
      <c r="AV89" s="147">
        <f t="shared" si="37"/>
        <v>0.64494113114660934</v>
      </c>
    </row>
    <row r="90" spans="2:48" ht="12.95" customHeight="1" x14ac:dyDescent="0.2">
      <c r="B90" s="14"/>
      <c r="C90" s="253" t="s">
        <v>859</v>
      </c>
      <c r="F90" s="253" t="s">
        <v>493</v>
      </c>
      <c r="G90" s="253" t="s">
        <v>395</v>
      </c>
      <c r="H90" s="147"/>
      <c r="I90" s="147"/>
      <c r="J90" s="147">
        <f t="shared" ref="J90:AV90" si="38">IF(J8=1,J49,J49-I49)</f>
        <v>2.5722016505436329</v>
      </c>
      <c r="K90" s="147">
        <f t="shared" si="38"/>
        <v>2.5396177711523222</v>
      </c>
      <c r="L90" s="147">
        <f t="shared" si="38"/>
        <v>2.5012703270672532</v>
      </c>
      <c r="M90" s="147">
        <f t="shared" si="38"/>
        <v>2.4579283729931376</v>
      </c>
      <c r="N90" s="147">
        <f t="shared" si="38"/>
        <v>2.4103068799643594</v>
      </c>
      <c r="O90" s="147">
        <f t="shared" si="38"/>
        <v>2.3590667593578303</v>
      </c>
      <c r="P90" s="147">
        <f t="shared" si="38"/>
        <v>2.3048157214873015</v>
      </c>
      <c r="Q90" s="147">
        <f t="shared" si="38"/>
        <v>2.248109766412</v>
      </c>
      <c r="R90" s="147">
        <f t="shared" si="38"/>
        <v>2.1894551413296242</v>
      </c>
      <c r="S90" s="147">
        <f t="shared" si="38"/>
        <v>2.1293106297086268</v>
      </c>
      <c r="T90" s="147">
        <f t="shared" si="38"/>
        <v>2.0680900630561467</v>
      </c>
      <c r="U90" s="147">
        <f t="shared" si="38"/>
        <v>2.0061649676923565</v>
      </c>
      <c r="V90" s="147">
        <f t="shared" si="38"/>
        <v>1.9438672767686711</v>
      </c>
      <c r="W90" s="147">
        <f t="shared" si="38"/>
        <v>1.881492052593245</v>
      </c>
      <c r="X90" s="147">
        <f t="shared" si="38"/>
        <v>1.8193001765820753</v>
      </c>
      <c r="Y90" s="147">
        <f t="shared" si="38"/>
        <v>1.757520974254021</v>
      </c>
      <c r="Z90" s="147">
        <f t="shared" si="38"/>
        <v>1.6963547509695189</v>
      </c>
      <c r="AA90" s="147">
        <f t="shared" si="38"/>
        <v>1.635975220874073</v>
      </c>
      <c r="AB90" s="147">
        <f t="shared" si="38"/>
        <v>1.5765318169926985</v>
      </c>
      <c r="AC90" s="147">
        <f t="shared" si="38"/>
        <v>1.5181518748443068</v>
      </c>
      <c r="AD90" s="147">
        <f t="shared" si="38"/>
        <v>1.4609426854786278</v>
      </c>
      <c r="AE90" s="147">
        <f t="shared" si="38"/>
        <v>1.4049934166372537</v>
      </c>
      <c r="AF90" s="147">
        <f t="shared" si="38"/>
        <v>1.3503769029256318</v>
      </c>
      <c r="AG90" s="147">
        <f t="shared" si="38"/>
        <v>1.2971513075696635</v>
      </c>
      <c r="AH90" s="147">
        <f t="shared" si="38"/>
        <v>1.245361659595801</v>
      </c>
      <c r="AI90" s="147">
        <f t="shared" si="38"/>
        <v>1.195041271207657</v>
      </c>
      <c r="AJ90" s="147">
        <f t="shared" si="38"/>
        <v>1.1462130407838771</v>
      </c>
      <c r="AK90" s="147">
        <f t="shared" si="38"/>
        <v>1.0988906473547644</v>
      </c>
      <c r="AL90" s="147">
        <f t="shared" si="38"/>
        <v>1.0530796426674556</v>
      </c>
      <c r="AM90" s="147">
        <f t="shared" si="38"/>
        <v>1.0087784470575087</v>
      </c>
      <c r="AN90" s="147">
        <f t="shared" si="38"/>
        <v>0.96597925534526041</v>
      </c>
      <c r="AO90" s="147">
        <f t="shared" si="38"/>
        <v>0.92466885888327965</v>
      </c>
      <c r="AP90" s="147">
        <f t="shared" si="38"/>
        <v>0.88482938972674674</v>
      </c>
      <c r="AQ90" s="147">
        <f t="shared" si="38"/>
        <v>0.84643899269478595</v>
      </c>
      <c r="AR90" s="147">
        <f t="shared" si="38"/>
        <v>0.80947243084757758</v>
      </c>
      <c r="AS90" s="147">
        <f t="shared" si="38"/>
        <v>0.77390162964358922</v>
      </c>
      <c r="AT90" s="147">
        <f t="shared" si="38"/>
        <v>0.7396961647579019</v>
      </c>
      <c r="AU90" s="147">
        <f t="shared" si="38"/>
        <v>0.70682369825709657</v>
      </c>
      <c r="AV90" s="147">
        <f t="shared" si="38"/>
        <v>0.67525036753805523</v>
      </c>
    </row>
    <row r="91" spans="2:48" ht="12.95" customHeight="1" x14ac:dyDescent="0.2">
      <c r="B91" s="14"/>
      <c r="C91" s="253" t="s">
        <v>860</v>
      </c>
      <c r="F91" s="253" t="s">
        <v>493</v>
      </c>
      <c r="G91" s="253" t="s">
        <v>395</v>
      </c>
      <c r="H91" s="277"/>
      <c r="I91" s="147"/>
      <c r="J91" s="147"/>
      <c r="K91" s="147">
        <f t="shared" ref="K91:AV91" si="39">IF(K9=1,K50,K50-J50)</f>
        <v>2.5722016505436329</v>
      </c>
      <c r="L91" s="147">
        <f t="shared" si="39"/>
        <v>2.5396177711523222</v>
      </c>
      <c r="M91" s="147">
        <f t="shared" si="39"/>
        <v>2.5012703270672532</v>
      </c>
      <c r="N91" s="147">
        <f t="shared" si="39"/>
        <v>2.4579283729931376</v>
      </c>
      <c r="O91" s="147">
        <f t="shared" si="39"/>
        <v>2.4103068799643594</v>
      </c>
      <c r="P91" s="147">
        <f t="shared" si="39"/>
        <v>2.3590667593578303</v>
      </c>
      <c r="Q91" s="147">
        <f t="shared" si="39"/>
        <v>2.3048157214873015</v>
      </c>
      <c r="R91" s="147">
        <f t="shared" si="39"/>
        <v>2.248109766412</v>
      </c>
      <c r="S91" s="147">
        <f t="shared" si="39"/>
        <v>2.1894551413296242</v>
      </c>
      <c r="T91" s="147">
        <f t="shared" si="39"/>
        <v>2.1293106297086268</v>
      </c>
      <c r="U91" s="147">
        <f t="shared" si="39"/>
        <v>2.0680900630561467</v>
      </c>
      <c r="V91" s="147">
        <f t="shared" si="39"/>
        <v>2.0061649676923565</v>
      </c>
      <c r="W91" s="147">
        <f t="shared" si="39"/>
        <v>1.9438672767686711</v>
      </c>
      <c r="X91" s="147">
        <f t="shared" si="39"/>
        <v>1.881492052593245</v>
      </c>
      <c r="Y91" s="147">
        <f t="shared" si="39"/>
        <v>1.8193001765820753</v>
      </c>
      <c r="Z91" s="147">
        <f t="shared" si="39"/>
        <v>1.757520974254021</v>
      </c>
      <c r="AA91" s="147">
        <f t="shared" si="39"/>
        <v>1.6963547509695189</v>
      </c>
      <c r="AB91" s="147">
        <f t="shared" si="39"/>
        <v>1.635975220874073</v>
      </c>
      <c r="AC91" s="147">
        <f t="shared" si="39"/>
        <v>1.5765318169926985</v>
      </c>
      <c r="AD91" s="147">
        <f t="shared" si="39"/>
        <v>1.5181518748443068</v>
      </c>
      <c r="AE91" s="147">
        <f t="shared" si="39"/>
        <v>1.4609426854786278</v>
      </c>
      <c r="AF91" s="147">
        <f t="shared" si="39"/>
        <v>1.4049934166372537</v>
      </c>
      <c r="AG91" s="147">
        <f t="shared" si="39"/>
        <v>1.3503769029256318</v>
      </c>
      <c r="AH91" s="147">
        <f t="shared" si="39"/>
        <v>1.2971513075696635</v>
      </c>
      <c r="AI91" s="147">
        <f t="shared" si="39"/>
        <v>1.245361659595801</v>
      </c>
      <c r="AJ91" s="147">
        <f t="shared" si="39"/>
        <v>1.195041271207657</v>
      </c>
      <c r="AK91" s="147">
        <f t="shared" si="39"/>
        <v>1.1462130407838771</v>
      </c>
      <c r="AL91" s="147">
        <f t="shared" si="39"/>
        <v>1.0988906473547644</v>
      </c>
      <c r="AM91" s="147">
        <f t="shared" si="39"/>
        <v>1.0530796426674556</v>
      </c>
      <c r="AN91" s="147">
        <f t="shared" si="39"/>
        <v>1.0087784470575087</v>
      </c>
      <c r="AO91" s="147">
        <f t="shared" si="39"/>
        <v>0.96597925534526041</v>
      </c>
      <c r="AP91" s="147">
        <f t="shared" si="39"/>
        <v>0.92466885888327965</v>
      </c>
      <c r="AQ91" s="147">
        <f t="shared" si="39"/>
        <v>0.88482938972674674</v>
      </c>
      <c r="AR91" s="147">
        <f t="shared" si="39"/>
        <v>0.84643899269478595</v>
      </c>
      <c r="AS91" s="147">
        <f t="shared" si="39"/>
        <v>0.80947243084757758</v>
      </c>
      <c r="AT91" s="147">
        <f t="shared" si="39"/>
        <v>0.77390162964358922</v>
      </c>
      <c r="AU91" s="147">
        <f t="shared" si="39"/>
        <v>0.7396961647579019</v>
      </c>
      <c r="AV91" s="147">
        <f t="shared" si="39"/>
        <v>0.70682369825709657</v>
      </c>
    </row>
    <row r="92" spans="2:48" ht="12.95" customHeight="1" x14ac:dyDescent="0.2">
      <c r="B92" s="14"/>
      <c r="C92" s="253" t="s">
        <v>861</v>
      </c>
      <c r="F92" s="253" t="s">
        <v>493</v>
      </c>
      <c r="G92" s="253" t="s">
        <v>395</v>
      </c>
      <c r="H92" s="277"/>
      <c r="I92" s="147"/>
      <c r="J92" s="147"/>
      <c r="K92" s="147"/>
      <c r="L92" s="147">
        <f t="shared" ref="L92:AV92" si="40">IF(L10=1,L51,L51-K51)</f>
        <v>2.5722016505436329</v>
      </c>
      <c r="M92" s="147">
        <f t="shared" si="40"/>
        <v>2.5396177711523222</v>
      </c>
      <c r="N92" s="147">
        <f t="shared" si="40"/>
        <v>2.5012703270672532</v>
      </c>
      <c r="O92" s="147">
        <f t="shared" si="40"/>
        <v>2.4579283729931376</v>
      </c>
      <c r="P92" s="147">
        <f t="shared" si="40"/>
        <v>2.4103068799643594</v>
      </c>
      <c r="Q92" s="147">
        <f t="shared" si="40"/>
        <v>2.3590667593578303</v>
      </c>
      <c r="R92" s="147">
        <f t="shared" si="40"/>
        <v>2.3048157214873015</v>
      </c>
      <c r="S92" s="147">
        <f t="shared" si="40"/>
        <v>2.248109766412</v>
      </c>
      <c r="T92" s="147">
        <f t="shared" si="40"/>
        <v>2.1894551413296242</v>
      </c>
      <c r="U92" s="147">
        <f t="shared" si="40"/>
        <v>2.1293106297086268</v>
      </c>
      <c r="V92" s="147">
        <f t="shared" si="40"/>
        <v>2.0680900630561467</v>
      </c>
      <c r="W92" s="147">
        <f t="shared" si="40"/>
        <v>2.0061649676923565</v>
      </c>
      <c r="X92" s="147">
        <f t="shared" si="40"/>
        <v>1.9438672767686711</v>
      </c>
      <c r="Y92" s="147">
        <f t="shared" si="40"/>
        <v>1.881492052593245</v>
      </c>
      <c r="Z92" s="147">
        <f t="shared" si="40"/>
        <v>1.8193001765820753</v>
      </c>
      <c r="AA92" s="147">
        <f t="shared" si="40"/>
        <v>1.757520974254021</v>
      </c>
      <c r="AB92" s="147">
        <f t="shared" si="40"/>
        <v>1.6963547509695189</v>
      </c>
      <c r="AC92" s="147">
        <f t="shared" si="40"/>
        <v>1.635975220874073</v>
      </c>
      <c r="AD92" s="147">
        <f t="shared" si="40"/>
        <v>1.5765318169926985</v>
      </c>
      <c r="AE92" s="147">
        <f t="shared" si="40"/>
        <v>1.5181518748443068</v>
      </c>
      <c r="AF92" s="147">
        <f t="shared" si="40"/>
        <v>1.4609426854786278</v>
      </c>
      <c r="AG92" s="147">
        <f t="shared" si="40"/>
        <v>1.4049934166372537</v>
      </c>
      <c r="AH92" s="147">
        <f t="shared" si="40"/>
        <v>1.3503769029256318</v>
      </c>
      <c r="AI92" s="147">
        <f t="shared" si="40"/>
        <v>1.2971513075696635</v>
      </c>
      <c r="AJ92" s="147">
        <f t="shared" si="40"/>
        <v>1.245361659595801</v>
      </c>
      <c r="AK92" s="147">
        <f t="shared" si="40"/>
        <v>1.195041271207657</v>
      </c>
      <c r="AL92" s="147">
        <f t="shared" si="40"/>
        <v>1.1462130407838771</v>
      </c>
      <c r="AM92" s="147">
        <f t="shared" si="40"/>
        <v>1.0988906473547644</v>
      </c>
      <c r="AN92" s="147">
        <f t="shared" si="40"/>
        <v>1.0530796426674556</v>
      </c>
      <c r="AO92" s="147">
        <f t="shared" si="40"/>
        <v>1.0087784470575087</v>
      </c>
      <c r="AP92" s="147">
        <f t="shared" si="40"/>
        <v>0.96597925534526041</v>
      </c>
      <c r="AQ92" s="147">
        <f t="shared" si="40"/>
        <v>0.92466885888327965</v>
      </c>
      <c r="AR92" s="147">
        <f t="shared" si="40"/>
        <v>0.88482938972674674</v>
      </c>
      <c r="AS92" s="147">
        <f t="shared" si="40"/>
        <v>0.84643899269478595</v>
      </c>
      <c r="AT92" s="147">
        <f t="shared" si="40"/>
        <v>0.80947243084757758</v>
      </c>
      <c r="AU92" s="147">
        <f t="shared" si="40"/>
        <v>0.77390162964358922</v>
      </c>
      <c r="AV92" s="147">
        <f t="shared" si="40"/>
        <v>0.7396961647579019</v>
      </c>
    </row>
    <row r="93" spans="2:48" ht="12.95" customHeight="1" x14ac:dyDescent="0.2">
      <c r="B93" s="14"/>
      <c r="C93" s="253" t="s">
        <v>862</v>
      </c>
      <c r="F93" s="253" t="s">
        <v>493</v>
      </c>
      <c r="G93" s="253" t="s">
        <v>395</v>
      </c>
      <c r="H93" s="277"/>
      <c r="I93" s="147"/>
      <c r="J93" s="147"/>
      <c r="K93" s="147"/>
      <c r="L93" s="147"/>
      <c r="M93" s="147">
        <f t="shared" ref="M93:AV93" si="41">IF(M11=1,M52,M52-L52)</f>
        <v>2.5722016505436329</v>
      </c>
      <c r="N93" s="147">
        <f t="shared" si="41"/>
        <v>2.5396177711523222</v>
      </c>
      <c r="O93" s="147">
        <f t="shared" si="41"/>
        <v>2.5012703270672532</v>
      </c>
      <c r="P93" s="147">
        <f t="shared" si="41"/>
        <v>2.4579283729931376</v>
      </c>
      <c r="Q93" s="147">
        <f t="shared" si="41"/>
        <v>2.4103068799643594</v>
      </c>
      <c r="R93" s="147">
        <f t="shared" si="41"/>
        <v>2.3590667593578303</v>
      </c>
      <c r="S93" s="147">
        <f t="shared" si="41"/>
        <v>2.3048157214873015</v>
      </c>
      <c r="T93" s="147">
        <f t="shared" si="41"/>
        <v>2.248109766412</v>
      </c>
      <c r="U93" s="147">
        <f t="shared" si="41"/>
        <v>2.1894551413296242</v>
      </c>
      <c r="V93" s="147">
        <f t="shared" si="41"/>
        <v>2.1293106297086268</v>
      </c>
      <c r="W93" s="147">
        <f t="shared" si="41"/>
        <v>2.0680900630561467</v>
      </c>
      <c r="X93" s="147">
        <f t="shared" si="41"/>
        <v>2.0061649676923565</v>
      </c>
      <c r="Y93" s="147">
        <f t="shared" si="41"/>
        <v>1.9438672767686711</v>
      </c>
      <c r="Z93" s="147">
        <f t="shared" si="41"/>
        <v>1.881492052593245</v>
      </c>
      <c r="AA93" s="147">
        <f t="shared" si="41"/>
        <v>1.8193001765820753</v>
      </c>
      <c r="AB93" s="147">
        <f t="shared" si="41"/>
        <v>1.757520974254021</v>
      </c>
      <c r="AC93" s="147">
        <f t="shared" si="41"/>
        <v>1.6963547509695189</v>
      </c>
      <c r="AD93" s="147">
        <f t="shared" si="41"/>
        <v>1.635975220874073</v>
      </c>
      <c r="AE93" s="147">
        <f t="shared" si="41"/>
        <v>1.5765318169926985</v>
      </c>
      <c r="AF93" s="147">
        <f t="shared" si="41"/>
        <v>1.5181518748443068</v>
      </c>
      <c r="AG93" s="147">
        <f t="shared" si="41"/>
        <v>1.4609426854786278</v>
      </c>
      <c r="AH93" s="147">
        <f t="shared" si="41"/>
        <v>1.4049934166372537</v>
      </c>
      <c r="AI93" s="147">
        <f t="shared" si="41"/>
        <v>1.3503769029256318</v>
      </c>
      <c r="AJ93" s="147">
        <f t="shared" si="41"/>
        <v>1.2971513075696635</v>
      </c>
      <c r="AK93" s="147">
        <f t="shared" si="41"/>
        <v>1.245361659595801</v>
      </c>
      <c r="AL93" s="147">
        <f t="shared" si="41"/>
        <v>1.195041271207657</v>
      </c>
      <c r="AM93" s="147">
        <f t="shared" si="41"/>
        <v>1.1462130407838771</v>
      </c>
      <c r="AN93" s="147">
        <f t="shared" si="41"/>
        <v>1.0988906473547644</v>
      </c>
      <c r="AO93" s="147">
        <f t="shared" si="41"/>
        <v>1.0530796426674556</v>
      </c>
      <c r="AP93" s="147">
        <f t="shared" si="41"/>
        <v>1.0087784470575087</v>
      </c>
      <c r="AQ93" s="147">
        <f t="shared" si="41"/>
        <v>0.96597925534526041</v>
      </c>
      <c r="AR93" s="147">
        <f t="shared" si="41"/>
        <v>0.92466885888327965</v>
      </c>
      <c r="AS93" s="147">
        <f t="shared" si="41"/>
        <v>0.88482938972674674</v>
      </c>
      <c r="AT93" s="147">
        <f t="shared" si="41"/>
        <v>0.84643899269478595</v>
      </c>
      <c r="AU93" s="147">
        <f t="shared" si="41"/>
        <v>0.80947243084757758</v>
      </c>
      <c r="AV93" s="147">
        <f t="shared" si="41"/>
        <v>0.77390162964358922</v>
      </c>
    </row>
    <row r="94" spans="2:48" ht="12.95" customHeight="1" x14ac:dyDescent="0.2">
      <c r="B94" s="14"/>
      <c r="C94" s="253" t="s">
        <v>863</v>
      </c>
      <c r="F94" s="253" t="s">
        <v>493</v>
      </c>
      <c r="G94" s="253" t="s">
        <v>395</v>
      </c>
      <c r="H94" s="277"/>
      <c r="I94" s="147"/>
      <c r="J94" s="147"/>
      <c r="K94" s="147"/>
      <c r="L94" s="147"/>
      <c r="M94" s="147"/>
      <c r="N94" s="147">
        <f t="shared" ref="N94:AV94" si="42">IF(N12=1,N53,N53-M53)</f>
        <v>2.5722016505436329</v>
      </c>
      <c r="O94" s="147">
        <f t="shared" si="42"/>
        <v>2.5396177711523222</v>
      </c>
      <c r="P94" s="147">
        <f t="shared" si="42"/>
        <v>2.5012703270672532</v>
      </c>
      <c r="Q94" s="147">
        <f t="shared" si="42"/>
        <v>2.4579283729931376</v>
      </c>
      <c r="R94" s="147">
        <f t="shared" si="42"/>
        <v>2.4103068799643594</v>
      </c>
      <c r="S94" s="147">
        <f t="shared" si="42"/>
        <v>2.3590667593578303</v>
      </c>
      <c r="T94" s="147">
        <f t="shared" si="42"/>
        <v>2.3048157214873015</v>
      </c>
      <c r="U94" s="147">
        <f t="shared" si="42"/>
        <v>2.248109766412</v>
      </c>
      <c r="V94" s="147">
        <f t="shared" si="42"/>
        <v>2.1894551413296242</v>
      </c>
      <c r="W94" s="147">
        <f t="shared" si="42"/>
        <v>2.1293106297086268</v>
      </c>
      <c r="X94" s="147">
        <f t="shared" si="42"/>
        <v>2.0680900630561467</v>
      </c>
      <c r="Y94" s="147">
        <f t="shared" si="42"/>
        <v>2.0061649676923565</v>
      </c>
      <c r="Z94" s="147">
        <f t="shared" si="42"/>
        <v>1.9438672767686711</v>
      </c>
      <c r="AA94" s="147">
        <f t="shared" si="42"/>
        <v>1.881492052593245</v>
      </c>
      <c r="AB94" s="147">
        <f t="shared" si="42"/>
        <v>1.8193001765820753</v>
      </c>
      <c r="AC94" s="147">
        <f t="shared" si="42"/>
        <v>1.757520974254021</v>
      </c>
      <c r="AD94" s="147">
        <f t="shared" si="42"/>
        <v>1.6963547509695189</v>
      </c>
      <c r="AE94" s="147">
        <f t="shared" si="42"/>
        <v>1.635975220874073</v>
      </c>
      <c r="AF94" s="147">
        <f t="shared" si="42"/>
        <v>1.5765318169926985</v>
      </c>
      <c r="AG94" s="147">
        <f t="shared" si="42"/>
        <v>1.5181518748443068</v>
      </c>
      <c r="AH94" s="147">
        <f t="shared" si="42"/>
        <v>1.4609426854786278</v>
      </c>
      <c r="AI94" s="147">
        <f t="shared" si="42"/>
        <v>1.4049934166372537</v>
      </c>
      <c r="AJ94" s="147">
        <f t="shared" si="42"/>
        <v>1.3503769029256318</v>
      </c>
      <c r="AK94" s="147">
        <f t="shared" si="42"/>
        <v>1.2971513075696635</v>
      </c>
      <c r="AL94" s="147">
        <f t="shared" si="42"/>
        <v>1.245361659595801</v>
      </c>
      <c r="AM94" s="147">
        <f t="shared" si="42"/>
        <v>1.195041271207657</v>
      </c>
      <c r="AN94" s="147">
        <f t="shared" si="42"/>
        <v>1.1462130407838771</v>
      </c>
      <c r="AO94" s="147">
        <f t="shared" si="42"/>
        <v>1.0988906473547644</v>
      </c>
      <c r="AP94" s="147">
        <f t="shared" si="42"/>
        <v>1.0530796426674556</v>
      </c>
      <c r="AQ94" s="147">
        <f t="shared" si="42"/>
        <v>1.0087784470575087</v>
      </c>
      <c r="AR94" s="147">
        <f t="shared" si="42"/>
        <v>0.96597925534526041</v>
      </c>
      <c r="AS94" s="147">
        <f t="shared" si="42"/>
        <v>0.92466885888327965</v>
      </c>
      <c r="AT94" s="147">
        <f t="shared" si="42"/>
        <v>0.88482938972674674</v>
      </c>
      <c r="AU94" s="147">
        <f t="shared" si="42"/>
        <v>0.84643899269478595</v>
      </c>
      <c r="AV94" s="147">
        <f t="shared" si="42"/>
        <v>0.80947243084757758</v>
      </c>
    </row>
    <row r="95" spans="2:48" ht="12.95" customHeight="1" x14ac:dyDescent="0.2">
      <c r="B95" s="14"/>
      <c r="C95" s="253" t="s">
        <v>864</v>
      </c>
      <c r="F95" s="253" t="s">
        <v>493</v>
      </c>
      <c r="G95" s="253" t="s">
        <v>395</v>
      </c>
      <c r="H95" s="277"/>
      <c r="I95" s="147"/>
      <c r="J95" s="147"/>
      <c r="K95" s="147"/>
      <c r="L95" s="147"/>
      <c r="M95" s="147"/>
      <c r="N95" s="147"/>
      <c r="O95" s="147">
        <f t="shared" ref="O95:AV95" si="43">IF(O13=1,O54,O54-N54)</f>
        <v>2.5722016505436329</v>
      </c>
      <c r="P95" s="147">
        <f t="shared" si="43"/>
        <v>2.5396177711523222</v>
      </c>
      <c r="Q95" s="147">
        <f t="shared" si="43"/>
        <v>2.5012703270672532</v>
      </c>
      <c r="R95" s="147">
        <f t="shared" si="43"/>
        <v>2.4579283729931376</v>
      </c>
      <c r="S95" s="147">
        <f t="shared" si="43"/>
        <v>2.4103068799643594</v>
      </c>
      <c r="T95" s="147">
        <f t="shared" si="43"/>
        <v>2.3590667593578303</v>
      </c>
      <c r="U95" s="147">
        <f t="shared" si="43"/>
        <v>2.3048157214873015</v>
      </c>
      <c r="V95" s="147">
        <f t="shared" si="43"/>
        <v>2.248109766412</v>
      </c>
      <c r="W95" s="147">
        <f t="shared" si="43"/>
        <v>2.1894551413296242</v>
      </c>
      <c r="X95" s="147">
        <f t="shared" si="43"/>
        <v>2.1293106297086268</v>
      </c>
      <c r="Y95" s="147">
        <f t="shared" si="43"/>
        <v>2.0680900630561467</v>
      </c>
      <c r="Z95" s="147">
        <f t="shared" si="43"/>
        <v>2.0061649676923565</v>
      </c>
      <c r="AA95" s="147">
        <f t="shared" si="43"/>
        <v>1.9438672767686711</v>
      </c>
      <c r="AB95" s="147">
        <f t="shared" si="43"/>
        <v>1.881492052593245</v>
      </c>
      <c r="AC95" s="147">
        <f t="shared" si="43"/>
        <v>1.8193001765820753</v>
      </c>
      <c r="AD95" s="147">
        <f t="shared" si="43"/>
        <v>1.757520974254021</v>
      </c>
      <c r="AE95" s="147">
        <f t="shared" si="43"/>
        <v>1.6963547509695189</v>
      </c>
      <c r="AF95" s="147">
        <f t="shared" si="43"/>
        <v>1.635975220874073</v>
      </c>
      <c r="AG95" s="147">
        <f t="shared" si="43"/>
        <v>1.5765318169926985</v>
      </c>
      <c r="AH95" s="147">
        <f t="shared" si="43"/>
        <v>1.5181518748443068</v>
      </c>
      <c r="AI95" s="147">
        <f t="shared" si="43"/>
        <v>1.4609426854786278</v>
      </c>
      <c r="AJ95" s="147">
        <f t="shared" si="43"/>
        <v>1.4049934166372537</v>
      </c>
      <c r="AK95" s="147">
        <f t="shared" si="43"/>
        <v>1.3503769029256318</v>
      </c>
      <c r="AL95" s="147">
        <f t="shared" si="43"/>
        <v>1.2971513075696635</v>
      </c>
      <c r="AM95" s="147">
        <f t="shared" si="43"/>
        <v>1.245361659595801</v>
      </c>
      <c r="AN95" s="147">
        <f t="shared" si="43"/>
        <v>1.195041271207657</v>
      </c>
      <c r="AO95" s="147">
        <f t="shared" si="43"/>
        <v>1.1462130407838771</v>
      </c>
      <c r="AP95" s="147">
        <f t="shared" si="43"/>
        <v>1.0988906473547644</v>
      </c>
      <c r="AQ95" s="147">
        <f t="shared" si="43"/>
        <v>1.0530796426674556</v>
      </c>
      <c r="AR95" s="147">
        <f t="shared" si="43"/>
        <v>1.0087784470575087</v>
      </c>
      <c r="AS95" s="147">
        <f t="shared" si="43"/>
        <v>0.96597925534526041</v>
      </c>
      <c r="AT95" s="147">
        <f t="shared" si="43"/>
        <v>0.92466885888327965</v>
      </c>
      <c r="AU95" s="147">
        <f t="shared" si="43"/>
        <v>0.88482938972674674</v>
      </c>
      <c r="AV95" s="147">
        <f t="shared" si="43"/>
        <v>0.84643899269478595</v>
      </c>
    </row>
    <row r="96" spans="2:48" ht="12.95" customHeight="1" x14ac:dyDescent="0.2">
      <c r="B96" s="14"/>
      <c r="C96" s="253" t="s">
        <v>865</v>
      </c>
      <c r="F96" s="253" t="s">
        <v>493</v>
      </c>
      <c r="G96" s="253" t="s">
        <v>395</v>
      </c>
      <c r="H96" s="277"/>
      <c r="I96" s="147"/>
      <c r="J96" s="147"/>
      <c r="K96" s="147"/>
      <c r="L96" s="147"/>
      <c r="M96" s="147"/>
      <c r="N96" s="147"/>
      <c r="O96" s="147"/>
      <c r="P96" s="147">
        <f t="shared" ref="P96:AV96" si="44">IF(P14=1,P55,P55-O55)</f>
        <v>2.5722016505436329</v>
      </c>
      <c r="Q96" s="147">
        <f t="shared" si="44"/>
        <v>2.5396177711523222</v>
      </c>
      <c r="R96" s="147">
        <f t="shared" si="44"/>
        <v>2.5012703270672532</v>
      </c>
      <c r="S96" s="147">
        <f t="shared" si="44"/>
        <v>2.4579283729931376</v>
      </c>
      <c r="T96" s="147">
        <f t="shared" si="44"/>
        <v>2.4103068799643594</v>
      </c>
      <c r="U96" s="147">
        <f t="shared" si="44"/>
        <v>2.3590667593578303</v>
      </c>
      <c r="V96" s="147">
        <f t="shared" si="44"/>
        <v>2.3048157214873015</v>
      </c>
      <c r="W96" s="147">
        <f t="shared" si="44"/>
        <v>2.248109766412</v>
      </c>
      <c r="X96" s="147">
        <f t="shared" si="44"/>
        <v>2.1894551413296242</v>
      </c>
      <c r="Y96" s="147">
        <f t="shared" si="44"/>
        <v>2.1293106297086268</v>
      </c>
      <c r="Z96" s="147">
        <f t="shared" si="44"/>
        <v>2.0680900630561467</v>
      </c>
      <c r="AA96" s="147">
        <f t="shared" si="44"/>
        <v>2.0061649676923565</v>
      </c>
      <c r="AB96" s="147">
        <f t="shared" si="44"/>
        <v>1.9438672767686711</v>
      </c>
      <c r="AC96" s="147">
        <f t="shared" si="44"/>
        <v>1.881492052593245</v>
      </c>
      <c r="AD96" s="147">
        <f t="shared" si="44"/>
        <v>1.8193001765820753</v>
      </c>
      <c r="AE96" s="147">
        <f t="shared" si="44"/>
        <v>1.757520974254021</v>
      </c>
      <c r="AF96" s="147">
        <f t="shared" si="44"/>
        <v>1.6963547509695189</v>
      </c>
      <c r="AG96" s="147">
        <f t="shared" si="44"/>
        <v>1.635975220874073</v>
      </c>
      <c r="AH96" s="147">
        <f t="shared" si="44"/>
        <v>1.5765318169926985</v>
      </c>
      <c r="AI96" s="147">
        <f t="shared" si="44"/>
        <v>1.5181518748443068</v>
      </c>
      <c r="AJ96" s="147">
        <f t="shared" si="44"/>
        <v>1.4609426854786278</v>
      </c>
      <c r="AK96" s="147">
        <f t="shared" si="44"/>
        <v>1.4049934166372537</v>
      </c>
      <c r="AL96" s="147">
        <f t="shared" si="44"/>
        <v>1.3503769029256318</v>
      </c>
      <c r="AM96" s="147">
        <f t="shared" si="44"/>
        <v>1.2971513075696635</v>
      </c>
      <c r="AN96" s="147">
        <f t="shared" si="44"/>
        <v>1.245361659595801</v>
      </c>
      <c r="AO96" s="147">
        <f t="shared" si="44"/>
        <v>1.195041271207657</v>
      </c>
      <c r="AP96" s="147">
        <f t="shared" si="44"/>
        <v>1.1462130407838771</v>
      </c>
      <c r="AQ96" s="147">
        <f t="shared" si="44"/>
        <v>1.0988906473547644</v>
      </c>
      <c r="AR96" s="147">
        <f t="shared" si="44"/>
        <v>1.0530796426674556</v>
      </c>
      <c r="AS96" s="147">
        <f t="shared" si="44"/>
        <v>1.0087784470575087</v>
      </c>
      <c r="AT96" s="147">
        <f t="shared" si="44"/>
        <v>0.96597925534526041</v>
      </c>
      <c r="AU96" s="147">
        <f t="shared" si="44"/>
        <v>0.92466885888327965</v>
      </c>
      <c r="AV96" s="147">
        <f t="shared" si="44"/>
        <v>0.88482938972674674</v>
      </c>
    </row>
    <row r="97" spans="2:48" ht="12.95" customHeight="1" x14ac:dyDescent="0.2">
      <c r="B97" s="14"/>
      <c r="C97" s="253" t="s">
        <v>866</v>
      </c>
      <c r="F97" s="253" t="s">
        <v>493</v>
      </c>
      <c r="G97" s="253" t="s">
        <v>395</v>
      </c>
      <c r="H97" s="277"/>
      <c r="I97" s="147"/>
      <c r="J97" s="147"/>
      <c r="K97" s="147"/>
      <c r="L97" s="147"/>
      <c r="M97" s="147"/>
      <c r="N97" s="147"/>
      <c r="O97" s="147"/>
      <c r="P97" s="147"/>
      <c r="Q97" s="147">
        <f t="shared" ref="Q97:AV97" si="45">IF(Q15=1,Q56,Q56-P56)</f>
        <v>2.5722016505436329</v>
      </c>
      <c r="R97" s="147">
        <f t="shared" si="45"/>
        <v>2.5396177711523222</v>
      </c>
      <c r="S97" s="147">
        <f t="shared" si="45"/>
        <v>2.5012703270672532</v>
      </c>
      <c r="T97" s="147">
        <f t="shared" si="45"/>
        <v>2.4579283729931376</v>
      </c>
      <c r="U97" s="147">
        <f t="shared" si="45"/>
        <v>2.4103068799643594</v>
      </c>
      <c r="V97" s="147">
        <f t="shared" si="45"/>
        <v>2.3590667593578303</v>
      </c>
      <c r="W97" s="147">
        <f t="shared" si="45"/>
        <v>2.3048157214873015</v>
      </c>
      <c r="X97" s="147">
        <f t="shared" si="45"/>
        <v>2.248109766412</v>
      </c>
      <c r="Y97" s="147">
        <f t="shared" si="45"/>
        <v>2.1894551413296242</v>
      </c>
      <c r="Z97" s="147">
        <f t="shared" si="45"/>
        <v>2.1293106297086268</v>
      </c>
      <c r="AA97" s="147">
        <f t="shared" si="45"/>
        <v>2.0680900630561467</v>
      </c>
      <c r="AB97" s="147">
        <f t="shared" si="45"/>
        <v>2.0061649676923565</v>
      </c>
      <c r="AC97" s="147">
        <f t="shared" si="45"/>
        <v>1.9438672767686711</v>
      </c>
      <c r="AD97" s="147">
        <f t="shared" si="45"/>
        <v>1.881492052593245</v>
      </c>
      <c r="AE97" s="147">
        <f t="shared" si="45"/>
        <v>1.8193001765820753</v>
      </c>
      <c r="AF97" s="147">
        <f t="shared" si="45"/>
        <v>1.757520974254021</v>
      </c>
      <c r="AG97" s="147">
        <f t="shared" si="45"/>
        <v>1.6963547509695189</v>
      </c>
      <c r="AH97" s="147">
        <f t="shared" si="45"/>
        <v>1.635975220874073</v>
      </c>
      <c r="AI97" s="147">
        <f t="shared" si="45"/>
        <v>1.5765318169926985</v>
      </c>
      <c r="AJ97" s="147">
        <f t="shared" si="45"/>
        <v>1.5181518748443068</v>
      </c>
      <c r="AK97" s="147">
        <f t="shared" si="45"/>
        <v>1.4609426854786278</v>
      </c>
      <c r="AL97" s="147">
        <f t="shared" si="45"/>
        <v>1.4049934166372537</v>
      </c>
      <c r="AM97" s="147">
        <f t="shared" si="45"/>
        <v>1.3503769029256318</v>
      </c>
      <c r="AN97" s="147">
        <f t="shared" si="45"/>
        <v>1.2971513075696635</v>
      </c>
      <c r="AO97" s="147">
        <f t="shared" si="45"/>
        <v>1.245361659595801</v>
      </c>
      <c r="AP97" s="147">
        <f t="shared" si="45"/>
        <v>1.195041271207657</v>
      </c>
      <c r="AQ97" s="147">
        <f t="shared" si="45"/>
        <v>1.1462130407838771</v>
      </c>
      <c r="AR97" s="147">
        <f t="shared" si="45"/>
        <v>1.0988906473547644</v>
      </c>
      <c r="AS97" s="147">
        <f t="shared" si="45"/>
        <v>1.0530796426674556</v>
      </c>
      <c r="AT97" s="147">
        <f t="shared" si="45"/>
        <v>1.0087784470575087</v>
      </c>
      <c r="AU97" s="147">
        <f t="shared" si="45"/>
        <v>0.96597925534526041</v>
      </c>
      <c r="AV97" s="147">
        <f t="shared" si="45"/>
        <v>0.92466885888327965</v>
      </c>
    </row>
    <row r="98" spans="2:48" ht="12.95" customHeight="1" x14ac:dyDescent="0.2">
      <c r="B98" s="14"/>
      <c r="C98" s="253" t="s">
        <v>867</v>
      </c>
      <c r="F98" s="253" t="s">
        <v>493</v>
      </c>
      <c r="G98" s="253" t="s">
        <v>395</v>
      </c>
      <c r="H98" s="277"/>
      <c r="I98" s="147"/>
      <c r="J98" s="147"/>
      <c r="K98" s="147"/>
      <c r="L98" s="147"/>
      <c r="M98" s="147"/>
      <c r="N98" s="147"/>
      <c r="O98" s="147"/>
      <c r="P98" s="147"/>
      <c r="Q98" s="147"/>
      <c r="R98" s="147">
        <f t="shared" ref="R98:AV98" si="46">IF(R16=1,R57,R57-Q57)</f>
        <v>2.5722016505436329</v>
      </c>
      <c r="S98" s="147">
        <f t="shared" si="46"/>
        <v>2.5396177711523222</v>
      </c>
      <c r="T98" s="147">
        <f t="shared" si="46"/>
        <v>2.5012703270672532</v>
      </c>
      <c r="U98" s="147">
        <f t="shared" si="46"/>
        <v>2.4579283729931376</v>
      </c>
      <c r="V98" s="147">
        <f t="shared" si="46"/>
        <v>2.4103068799643594</v>
      </c>
      <c r="W98" s="147">
        <f t="shared" si="46"/>
        <v>2.3590667593578303</v>
      </c>
      <c r="X98" s="147">
        <f t="shared" si="46"/>
        <v>2.3048157214873015</v>
      </c>
      <c r="Y98" s="147">
        <f t="shared" si="46"/>
        <v>2.248109766412</v>
      </c>
      <c r="Z98" s="147">
        <f t="shared" si="46"/>
        <v>2.1894551413296242</v>
      </c>
      <c r="AA98" s="147">
        <f t="shared" si="46"/>
        <v>2.1293106297086268</v>
      </c>
      <c r="AB98" s="147">
        <f t="shared" si="46"/>
        <v>2.0680900630561467</v>
      </c>
      <c r="AC98" s="147">
        <f t="shared" si="46"/>
        <v>2.0061649676923565</v>
      </c>
      <c r="AD98" s="147">
        <f t="shared" si="46"/>
        <v>1.9438672767686711</v>
      </c>
      <c r="AE98" s="147">
        <f t="shared" si="46"/>
        <v>1.881492052593245</v>
      </c>
      <c r="AF98" s="147">
        <f t="shared" si="46"/>
        <v>1.8193001765820753</v>
      </c>
      <c r="AG98" s="147">
        <f t="shared" si="46"/>
        <v>1.757520974254021</v>
      </c>
      <c r="AH98" s="147">
        <f t="shared" si="46"/>
        <v>1.6963547509695189</v>
      </c>
      <c r="AI98" s="147">
        <f t="shared" si="46"/>
        <v>1.635975220874073</v>
      </c>
      <c r="AJ98" s="147">
        <f t="shared" si="46"/>
        <v>1.5765318169926985</v>
      </c>
      <c r="AK98" s="147">
        <f t="shared" si="46"/>
        <v>1.5181518748443068</v>
      </c>
      <c r="AL98" s="147">
        <f t="shared" si="46"/>
        <v>1.4609426854786278</v>
      </c>
      <c r="AM98" s="147">
        <f t="shared" si="46"/>
        <v>1.4049934166372537</v>
      </c>
      <c r="AN98" s="147">
        <f t="shared" si="46"/>
        <v>1.3503769029256318</v>
      </c>
      <c r="AO98" s="147">
        <f t="shared" si="46"/>
        <v>1.2971513075696635</v>
      </c>
      <c r="AP98" s="147">
        <f t="shared" si="46"/>
        <v>1.245361659595801</v>
      </c>
      <c r="AQ98" s="147">
        <f t="shared" si="46"/>
        <v>1.195041271207657</v>
      </c>
      <c r="AR98" s="147">
        <f t="shared" si="46"/>
        <v>1.1462130407838771</v>
      </c>
      <c r="AS98" s="147">
        <f t="shared" si="46"/>
        <v>1.0988906473547644</v>
      </c>
      <c r="AT98" s="147">
        <f t="shared" si="46"/>
        <v>1.0530796426674556</v>
      </c>
      <c r="AU98" s="147">
        <f t="shared" si="46"/>
        <v>1.0087784470575087</v>
      </c>
      <c r="AV98" s="147">
        <f t="shared" si="46"/>
        <v>0.96597925534526041</v>
      </c>
    </row>
    <row r="99" spans="2:48" ht="12.95" customHeight="1" x14ac:dyDescent="0.2">
      <c r="B99" s="14"/>
      <c r="C99" s="253" t="s">
        <v>868</v>
      </c>
      <c r="F99" s="253" t="s">
        <v>493</v>
      </c>
      <c r="G99" s="253" t="s">
        <v>395</v>
      </c>
      <c r="H99" s="277"/>
      <c r="I99" s="147"/>
      <c r="J99" s="147"/>
      <c r="K99" s="147"/>
      <c r="L99" s="147"/>
      <c r="M99" s="147"/>
      <c r="N99" s="147"/>
      <c r="O99" s="147"/>
      <c r="P99" s="147"/>
      <c r="Q99" s="147"/>
      <c r="R99" s="147"/>
      <c r="S99" s="147">
        <f t="shared" ref="S99:AV99" si="47">IF(S17=1,S58,S58-R58)</f>
        <v>2.5722016505436329</v>
      </c>
      <c r="T99" s="147">
        <f t="shared" si="47"/>
        <v>2.5396177711523222</v>
      </c>
      <c r="U99" s="147">
        <f t="shared" si="47"/>
        <v>2.5012703270672532</v>
      </c>
      <c r="V99" s="147">
        <f t="shared" si="47"/>
        <v>2.4579283729931376</v>
      </c>
      <c r="W99" s="147">
        <f t="shared" si="47"/>
        <v>2.4103068799643594</v>
      </c>
      <c r="X99" s="147">
        <f t="shared" si="47"/>
        <v>2.3590667593578303</v>
      </c>
      <c r="Y99" s="147">
        <f t="shared" si="47"/>
        <v>2.3048157214873015</v>
      </c>
      <c r="Z99" s="147">
        <f t="shared" si="47"/>
        <v>2.248109766412</v>
      </c>
      <c r="AA99" s="147">
        <f t="shared" si="47"/>
        <v>2.1894551413296242</v>
      </c>
      <c r="AB99" s="147">
        <f t="shared" si="47"/>
        <v>2.1293106297086268</v>
      </c>
      <c r="AC99" s="147">
        <f t="shared" si="47"/>
        <v>2.0680900630561467</v>
      </c>
      <c r="AD99" s="147">
        <f t="shared" si="47"/>
        <v>2.0061649676923565</v>
      </c>
      <c r="AE99" s="147">
        <f t="shared" si="47"/>
        <v>1.9438672767686711</v>
      </c>
      <c r="AF99" s="147">
        <f t="shared" si="47"/>
        <v>1.881492052593245</v>
      </c>
      <c r="AG99" s="147">
        <f t="shared" si="47"/>
        <v>1.8193001765820753</v>
      </c>
      <c r="AH99" s="147">
        <f t="shared" si="47"/>
        <v>1.757520974254021</v>
      </c>
      <c r="AI99" s="147">
        <f t="shared" si="47"/>
        <v>1.6963547509695189</v>
      </c>
      <c r="AJ99" s="147">
        <f t="shared" si="47"/>
        <v>1.635975220874073</v>
      </c>
      <c r="AK99" s="147">
        <f t="shared" si="47"/>
        <v>1.5765318169926985</v>
      </c>
      <c r="AL99" s="147">
        <f t="shared" si="47"/>
        <v>1.5181518748443068</v>
      </c>
      <c r="AM99" s="147">
        <f t="shared" si="47"/>
        <v>1.4609426854786278</v>
      </c>
      <c r="AN99" s="147">
        <f t="shared" si="47"/>
        <v>1.4049934166372537</v>
      </c>
      <c r="AO99" s="147">
        <f t="shared" si="47"/>
        <v>1.3503769029256318</v>
      </c>
      <c r="AP99" s="147">
        <f t="shared" si="47"/>
        <v>1.2971513075696635</v>
      </c>
      <c r="AQ99" s="147">
        <f t="shared" si="47"/>
        <v>1.245361659595801</v>
      </c>
      <c r="AR99" s="147">
        <f t="shared" si="47"/>
        <v>1.195041271207657</v>
      </c>
      <c r="AS99" s="147">
        <f t="shared" si="47"/>
        <v>1.1462130407838771</v>
      </c>
      <c r="AT99" s="147">
        <f t="shared" si="47"/>
        <v>1.0988906473547644</v>
      </c>
      <c r="AU99" s="147">
        <f t="shared" si="47"/>
        <v>1.0530796426674556</v>
      </c>
      <c r="AV99" s="147">
        <f t="shared" si="47"/>
        <v>1.0087784470575087</v>
      </c>
    </row>
    <row r="100" spans="2:48" ht="12.95" customHeight="1" x14ac:dyDescent="0.2">
      <c r="B100" s="14"/>
      <c r="C100" s="253" t="s">
        <v>869</v>
      </c>
      <c r="F100" s="253" t="s">
        <v>493</v>
      </c>
      <c r="G100" s="253" t="s">
        <v>395</v>
      </c>
      <c r="H100" s="277"/>
      <c r="I100" s="147"/>
      <c r="J100" s="147"/>
      <c r="K100" s="147"/>
      <c r="L100" s="147"/>
      <c r="M100" s="147"/>
      <c r="N100" s="147"/>
      <c r="O100" s="147"/>
      <c r="P100" s="147"/>
      <c r="Q100" s="147"/>
      <c r="R100" s="147"/>
      <c r="S100" s="147"/>
      <c r="T100" s="147">
        <f t="shared" ref="T100:AV100" si="48">IF(T18=1,T59,T59-S59)</f>
        <v>2.5722016505436329</v>
      </c>
      <c r="U100" s="147">
        <f t="shared" si="48"/>
        <v>2.5396177711523222</v>
      </c>
      <c r="V100" s="147">
        <f t="shared" si="48"/>
        <v>2.5012703270672532</v>
      </c>
      <c r="W100" s="147">
        <f t="shared" si="48"/>
        <v>2.4579283729931376</v>
      </c>
      <c r="X100" s="147">
        <f t="shared" si="48"/>
        <v>2.4103068799643594</v>
      </c>
      <c r="Y100" s="147">
        <f t="shared" si="48"/>
        <v>2.3590667593578303</v>
      </c>
      <c r="Z100" s="147">
        <f t="shared" si="48"/>
        <v>2.3048157214873015</v>
      </c>
      <c r="AA100" s="147">
        <f t="shared" si="48"/>
        <v>2.248109766412</v>
      </c>
      <c r="AB100" s="147">
        <f t="shared" si="48"/>
        <v>2.1894551413296242</v>
      </c>
      <c r="AC100" s="147">
        <f t="shared" si="48"/>
        <v>2.1293106297086268</v>
      </c>
      <c r="AD100" s="147">
        <f t="shared" si="48"/>
        <v>2.0680900630561467</v>
      </c>
      <c r="AE100" s="147">
        <f t="shared" si="48"/>
        <v>2.0061649676923565</v>
      </c>
      <c r="AF100" s="147">
        <f t="shared" si="48"/>
        <v>1.9438672767686711</v>
      </c>
      <c r="AG100" s="147">
        <f t="shared" si="48"/>
        <v>1.881492052593245</v>
      </c>
      <c r="AH100" s="147">
        <f t="shared" si="48"/>
        <v>1.8193001765820753</v>
      </c>
      <c r="AI100" s="147">
        <f t="shared" si="48"/>
        <v>1.757520974254021</v>
      </c>
      <c r="AJ100" s="147">
        <f t="shared" si="48"/>
        <v>1.6963547509695189</v>
      </c>
      <c r="AK100" s="147">
        <f t="shared" si="48"/>
        <v>1.635975220874073</v>
      </c>
      <c r="AL100" s="147">
        <f t="shared" si="48"/>
        <v>1.5765318169926985</v>
      </c>
      <c r="AM100" s="147">
        <f t="shared" si="48"/>
        <v>1.5181518748443068</v>
      </c>
      <c r="AN100" s="147">
        <f t="shared" si="48"/>
        <v>1.4609426854786278</v>
      </c>
      <c r="AO100" s="147">
        <f t="shared" si="48"/>
        <v>1.4049934166372537</v>
      </c>
      <c r="AP100" s="147">
        <f t="shared" si="48"/>
        <v>1.3503769029256318</v>
      </c>
      <c r="AQ100" s="147">
        <f t="shared" si="48"/>
        <v>1.2971513075696635</v>
      </c>
      <c r="AR100" s="147">
        <f t="shared" si="48"/>
        <v>1.245361659595801</v>
      </c>
      <c r="AS100" s="147">
        <f t="shared" si="48"/>
        <v>1.195041271207657</v>
      </c>
      <c r="AT100" s="147">
        <f t="shared" si="48"/>
        <v>1.1462130407838771</v>
      </c>
      <c r="AU100" s="147">
        <f t="shared" si="48"/>
        <v>1.0988906473547644</v>
      </c>
      <c r="AV100" s="147">
        <f t="shared" si="48"/>
        <v>1.0530796426674556</v>
      </c>
    </row>
    <row r="101" spans="2:48" ht="12.95" customHeight="1" x14ac:dyDescent="0.2">
      <c r="B101" s="14"/>
      <c r="C101" s="253" t="s">
        <v>870</v>
      </c>
      <c r="F101" s="253" t="s">
        <v>493</v>
      </c>
      <c r="G101" s="253" t="s">
        <v>395</v>
      </c>
      <c r="H101" s="277"/>
      <c r="I101" s="147"/>
      <c r="J101" s="147"/>
      <c r="K101" s="147"/>
      <c r="L101" s="147"/>
      <c r="M101" s="147"/>
      <c r="N101" s="147"/>
      <c r="O101" s="147"/>
      <c r="P101" s="147"/>
      <c r="Q101" s="147"/>
      <c r="R101" s="147"/>
      <c r="S101" s="147"/>
      <c r="T101" s="147"/>
      <c r="U101" s="147">
        <f t="shared" ref="U101:AV101" si="49">IF(U19=1,U60,U60-T60)</f>
        <v>2.5722016505436329</v>
      </c>
      <c r="V101" s="147">
        <f t="shared" si="49"/>
        <v>2.5396177711523222</v>
      </c>
      <c r="W101" s="147">
        <f t="shared" si="49"/>
        <v>2.5012703270672532</v>
      </c>
      <c r="X101" s="147">
        <f t="shared" si="49"/>
        <v>2.4579283729931376</v>
      </c>
      <c r="Y101" s="147">
        <f t="shared" si="49"/>
        <v>2.4103068799643594</v>
      </c>
      <c r="Z101" s="147">
        <f t="shared" si="49"/>
        <v>2.3590667593578303</v>
      </c>
      <c r="AA101" s="147">
        <f t="shared" si="49"/>
        <v>2.3048157214873015</v>
      </c>
      <c r="AB101" s="147">
        <f t="shared" si="49"/>
        <v>2.248109766412</v>
      </c>
      <c r="AC101" s="147">
        <f t="shared" si="49"/>
        <v>2.1894551413296242</v>
      </c>
      <c r="AD101" s="147">
        <f t="shared" si="49"/>
        <v>2.1293106297086268</v>
      </c>
      <c r="AE101" s="147">
        <f t="shared" si="49"/>
        <v>2.0680900630561467</v>
      </c>
      <c r="AF101" s="147">
        <f t="shared" si="49"/>
        <v>2.0061649676923565</v>
      </c>
      <c r="AG101" s="147">
        <f t="shared" si="49"/>
        <v>1.9438672767686711</v>
      </c>
      <c r="AH101" s="147">
        <f t="shared" si="49"/>
        <v>1.881492052593245</v>
      </c>
      <c r="AI101" s="147">
        <f t="shared" si="49"/>
        <v>1.8193001765820753</v>
      </c>
      <c r="AJ101" s="147">
        <f t="shared" si="49"/>
        <v>1.757520974254021</v>
      </c>
      <c r="AK101" s="147">
        <f t="shared" si="49"/>
        <v>1.6963547509695189</v>
      </c>
      <c r="AL101" s="147">
        <f t="shared" si="49"/>
        <v>1.635975220874073</v>
      </c>
      <c r="AM101" s="147">
        <f t="shared" si="49"/>
        <v>1.5765318169926985</v>
      </c>
      <c r="AN101" s="147">
        <f t="shared" si="49"/>
        <v>1.5181518748443068</v>
      </c>
      <c r="AO101" s="147">
        <f t="shared" si="49"/>
        <v>1.4609426854786278</v>
      </c>
      <c r="AP101" s="147">
        <f t="shared" si="49"/>
        <v>1.4049934166372537</v>
      </c>
      <c r="AQ101" s="147">
        <f t="shared" si="49"/>
        <v>1.3503769029256318</v>
      </c>
      <c r="AR101" s="147">
        <f t="shared" si="49"/>
        <v>1.2971513075696635</v>
      </c>
      <c r="AS101" s="147">
        <f t="shared" si="49"/>
        <v>1.245361659595801</v>
      </c>
      <c r="AT101" s="147">
        <f t="shared" si="49"/>
        <v>1.195041271207657</v>
      </c>
      <c r="AU101" s="147">
        <f t="shared" si="49"/>
        <v>1.1462130407838771</v>
      </c>
      <c r="AV101" s="147">
        <f t="shared" si="49"/>
        <v>1.0988906473547644</v>
      </c>
    </row>
    <row r="102" spans="2:48" ht="12.95" customHeight="1" x14ac:dyDescent="0.2">
      <c r="B102" s="14"/>
      <c r="C102" s="253" t="s">
        <v>871</v>
      </c>
      <c r="F102" s="253" t="s">
        <v>493</v>
      </c>
      <c r="G102" s="253" t="s">
        <v>395</v>
      </c>
      <c r="H102" s="277"/>
      <c r="I102" s="147"/>
      <c r="J102" s="147"/>
      <c r="K102" s="147"/>
      <c r="L102" s="147"/>
      <c r="M102" s="147"/>
      <c r="N102" s="147"/>
      <c r="O102" s="147"/>
      <c r="P102" s="147"/>
      <c r="Q102" s="147"/>
      <c r="R102" s="147"/>
      <c r="S102" s="147"/>
      <c r="T102" s="147"/>
      <c r="U102" s="147"/>
      <c r="V102" s="147">
        <f t="shared" ref="V102:AV102" si="50">IF(V20=1,V61,V61-U61)</f>
        <v>2.5722016505436329</v>
      </c>
      <c r="W102" s="147">
        <f t="shared" si="50"/>
        <v>2.5396177711523222</v>
      </c>
      <c r="X102" s="147">
        <f t="shared" si="50"/>
        <v>2.5012703270672532</v>
      </c>
      <c r="Y102" s="147">
        <f t="shared" si="50"/>
        <v>2.4579283729931376</v>
      </c>
      <c r="Z102" s="147">
        <f t="shared" si="50"/>
        <v>2.4103068799643594</v>
      </c>
      <c r="AA102" s="147">
        <f t="shared" si="50"/>
        <v>2.3590667593578303</v>
      </c>
      <c r="AB102" s="147">
        <f t="shared" si="50"/>
        <v>2.3048157214873015</v>
      </c>
      <c r="AC102" s="147">
        <f t="shared" si="50"/>
        <v>2.248109766412</v>
      </c>
      <c r="AD102" s="147">
        <f t="shared" si="50"/>
        <v>2.1894551413296242</v>
      </c>
      <c r="AE102" s="147">
        <f t="shared" si="50"/>
        <v>2.1293106297086268</v>
      </c>
      <c r="AF102" s="147">
        <f t="shared" si="50"/>
        <v>2.0680900630561467</v>
      </c>
      <c r="AG102" s="147">
        <f t="shared" si="50"/>
        <v>2.0061649676923565</v>
      </c>
      <c r="AH102" s="147">
        <f t="shared" si="50"/>
        <v>1.9438672767686711</v>
      </c>
      <c r="AI102" s="147">
        <f t="shared" si="50"/>
        <v>1.881492052593245</v>
      </c>
      <c r="AJ102" s="147">
        <f t="shared" si="50"/>
        <v>1.8193001765820753</v>
      </c>
      <c r="AK102" s="147">
        <f t="shared" si="50"/>
        <v>1.757520974254021</v>
      </c>
      <c r="AL102" s="147">
        <f t="shared" si="50"/>
        <v>1.6963547509695189</v>
      </c>
      <c r="AM102" s="147">
        <f t="shared" si="50"/>
        <v>1.635975220874073</v>
      </c>
      <c r="AN102" s="147">
        <f t="shared" si="50"/>
        <v>1.5765318169926985</v>
      </c>
      <c r="AO102" s="147">
        <f t="shared" si="50"/>
        <v>1.5181518748443068</v>
      </c>
      <c r="AP102" s="147">
        <f t="shared" si="50"/>
        <v>1.4609426854786278</v>
      </c>
      <c r="AQ102" s="147">
        <f t="shared" si="50"/>
        <v>1.4049934166372537</v>
      </c>
      <c r="AR102" s="147">
        <f t="shared" si="50"/>
        <v>1.3503769029256318</v>
      </c>
      <c r="AS102" s="147">
        <f t="shared" si="50"/>
        <v>1.2971513075696635</v>
      </c>
      <c r="AT102" s="147">
        <f t="shared" si="50"/>
        <v>1.245361659595801</v>
      </c>
      <c r="AU102" s="147">
        <f t="shared" si="50"/>
        <v>1.195041271207657</v>
      </c>
      <c r="AV102" s="147">
        <f t="shared" si="50"/>
        <v>1.1462130407838771</v>
      </c>
    </row>
    <row r="103" spans="2:48" ht="12.95" customHeight="1" x14ac:dyDescent="0.2">
      <c r="B103" s="14"/>
      <c r="C103" s="253" t="s">
        <v>872</v>
      </c>
      <c r="F103" s="253" t="s">
        <v>493</v>
      </c>
      <c r="G103" s="253" t="s">
        <v>395</v>
      </c>
      <c r="H103" s="277"/>
      <c r="I103" s="147"/>
      <c r="J103" s="147"/>
      <c r="K103" s="147"/>
      <c r="L103" s="147"/>
      <c r="M103" s="147"/>
      <c r="N103" s="147"/>
      <c r="O103" s="147"/>
      <c r="P103" s="147"/>
      <c r="Q103" s="147"/>
      <c r="R103" s="147"/>
      <c r="S103" s="147"/>
      <c r="T103" s="147"/>
      <c r="U103" s="147"/>
      <c r="V103" s="147"/>
      <c r="W103" s="147">
        <f t="shared" ref="W103:AV103" si="51">IF(W21=1,W62,W62-V62)</f>
        <v>2.5722016505436329</v>
      </c>
      <c r="X103" s="147">
        <f t="shared" si="51"/>
        <v>2.5396177711523222</v>
      </c>
      <c r="Y103" s="147">
        <f t="shared" si="51"/>
        <v>2.5012703270672532</v>
      </c>
      <c r="Z103" s="147">
        <f t="shared" si="51"/>
        <v>2.4579283729931376</v>
      </c>
      <c r="AA103" s="147">
        <f t="shared" si="51"/>
        <v>2.4103068799643594</v>
      </c>
      <c r="AB103" s="147">
        <f t="shared" si="51"/>
        <v>2.3590667593578303</v>
      </c>
      <c r="AC103" s="147">
        <f t="shared" si="51"/>
        <v>2.3048157214873015</v>
      </c>
      <c r="AD103" s="147">
        <f t="shared" si="51"/>
        <v>2.248109766412</v>
      </c>
      <c r="AE103" s="147">
        <f t="shared" si="51"/>
        <v>2.1894551413296242</v>
      </c>
      <c r="AF103" s="147">
        <f t="shared" si="51"/>
        <v>2.1293106297086268</v>
      </c>
      <c r="AG103" s="147">
        <f t="shared" si="51"/>
        <v>2.0680900630561467</v>
      </c>
      <c r="AH103" s="147">
        <f t="shared" si="51"/>
        <v>2.0061649676923565</v>
      </c>
      <c r="AI103" s="147">
        <f t="shared" si="51"/>
        <v>1.9438672767686711</v>
      </c>
      <c r="AJ103" s="147">
        <f t="shared" si="51"/>
        <v>1.881492052593245</v>
      </c>
      <c r="AK103" s="147">
        <f t="shared" si="51"/>
        <v>1.8193001765820753</v>
      </c>
      <c r="AL103" s="147">
        <f t="shared" si="51"/>
        <v>1.757520974254021</v>
      </c>
      <c r="AM103" s="147">
        <f t="shared" si="51"/>
        <v>1.6963547509695189</v>
      </c>
      <c r="AN103" s="147">
        <f t="shared" si="51"/>
        <v>1.635975220874073</v>
      </c>
      <c r="AO103" s="147">
        <f t="shared" si="51"/>
        <v>1.5765318169926985</v>
      </c>
      <c r="AP103" s="147">
        <f t="shared" si="51"/>
        <v>1.5181518748443068</v>
      </c>
      <c r="AQ103" s="147">
        <f t="shared" si="51"/>
        <v>1.4609426854786278</v>
      </c>
      <c r="AR103" s="147">
        <f t="shared" si="51"/>
        <v>1.4049934166372537</v>
      </c>
      <c r="AS103" s="147">
        <f t="shared" si="51"/>
        <v>1.3503769029256318</v>
      </c>
      <c r="AT103" s="147">
        <f t="shared" si="51"/>
        <v>1.2971513075696635</v>
      </c>
      <c r="AU103" s="147">
        <f t="shared" si="51"/>
        <v>1.245361659595801</v>
      </c>
      <c r="AV103" s="147">
        <f t="shared" si="51"/>
        <v>1.195041271207657</v>
      </c>
    </row>
    <row r="104" spans="2:48" ht="12.95" customHeight="1" x14ac:dyDescent="0.2">
      <c r="B104" s="14"/>
      <c r="C104" s="253" t="s">
        <v>873</v>
      </c>
      <c r="F104" s="253" t="s">
        <v>493</v>
      </c>
      <c r="G104" s="253" t="s">
        <v>395</v>
      </c>
      <c r="H104" s="277"/>
      <c r="I104" s="147"/>
      <c r="J104" s="147"/>
      <c r="K104" s="147"/>
      <c r="L104" s="147"/>
      <c r="M104" s="147"/>
      <c r="N104" s="147"/>
      <c r="O104" s="147"/>
      <c r="P104" s="147"/>
      <c r="Q104" s="147"/>
      <c r="R104" s="147"/>
      <c r="S104" s="147"/>
      <c r="T104" s="147"/>
      <c r="U104" s="147"/>
      <c r="V104" s="147"/>
      <c r="W104" s="147"/>
      <c r="X104" s="147">
        <f t="shared" ref="X104:AV104" si="52">IF(X22=1,X63,X63-W63)</f>
        <v>2.5722016505436329</v>
      </c>
      <c r="Y104" s="147">
        <f t="shared" si="52"/>
        <v>2.5396177711523222</v>
      </c>
      <c r="Z104" s="147">
        <f t="shared" si="52"/>
        <v>2.5012703270672532</v>
      </c>
      <c r="AA104" s="147">
        <f t="shared" si="52"/>
        <v>2.4579283729931376</v>
      </c>
      <c r="AB104" s="147">
        <f t="shared" si="52"/>
        <v>2.4103068799643594</v>
      </c>
      <c r="AC104" s="147">
        <f t="shared" si="52"/>
        <v>2.3590667593578303</v>
      </c>
      <c r="AD104" s="147">
        <f t="shared" si="52"/>
        <v>2.3048157214873015</v>
      </c>
      <c r="AE104" s="147">
        <f t="shared" si="52"/>
        <v>2.248109766412</v>
      </c>
      <c r="AF104" s="147">
        <f t="shared" si="52"/>
        <v>2.1894551413296242</v>
      </c>
      <c r="AG104" s="147">
        <f t="shared" si="52"/>
        <v>2.1293106297086268</v>
      </c>
      <c r="AH104" s="147">
        <f t="shared" si="52"/>
        <v>2.0680900630561467</v>
      </c>
      <c r="AI104" s="147">
        <f t="shared" si="52"/>
        <v>2.0061649676923565</v>
      </c>
      <c r="AJ104" s="147">
        <f t="shared" si="52"/>
        <v>1.9438672767686711</v>
      </c>
      <c r="AK104" s="147">
        <f t="shared" si="52"/>
        <v>1.881492052593245</v>
      </c>
      <c r="AL104" s="147">
        <f t="shared" si="52"/>
        <v>1.8193001765820753</v>
      </c>
      <c r="AM104" s="147">
        <f t="shared" si="52"/>
        <v>1.757520974254021</v>
      </c>
      <c r="AN104" s="147">
        <f t="shared" si="52"/>
        <v>1.6963547509695189</v>
      </c>
      <c r="AO104" s="147">
        <f t="shared" si="52"/>
        <v>1.635975220874073</v>
      </c>
      <c r="AP104" s="147">
        <f t="shared" si="52"/>
        <v>1.5765318169926985</v>
      </c>
      <c r="AQ104" s="147">
        <f t="shared" si="52"/>
        <v>1.5181518748443068</v>
      </c>
      <c r="AR104" s="147">
        <f t="shared" si="52"/>
        <v>1.4609426854786278</v>
      </c>
      <c r="AS104" s="147">
        <f t="shared" si="52"/>
        <v>1.4049934166372537</v>
      </c>
      <c r="AT104" s="147">
        <f t="shared" si="52"/>
        <v>1.3503769029256318</v>
      </c>
      <c r="AU104" s="147">
        <f t="shared" si="52"/>
        <v>1.2971513075696635</v>
      </c>
      <c r="AV104" s="147">
        <f t="shared" si="52"/>
        <v>1.245361659595801</v>
      </c>
    </row>
    <row r="105" spans="2:48" ht="12.95" customHeight="1" x14ac:dyDescent="0.2">
      <c r="B105" s="14"/>
      <c r="C105" s="253" t="s">
        <v>874</v>
      </c>
      <c r="F105" s="253" t="s">
        <v>493</v>
      </c>
      <c r="G105" s="253" t="s">
        <v>395</v>
      </c>
      <c r="H105" s="277"/>
      <c r="I105" s="147"/>
      <c r="J105" s="147"/>
      <c r="K105" s="147"/>
      <c r="L105" s="147"/>
      <c r="M105" s="147"/>
      <c r="N105" s="147"/>
      <c r="O105" s="147"/>
      <c r="P105" s="147"/>
      <c r="Q105" s="147"/>
      <c r="R105" s="147"/>
      <c r="S105" s="147"/>
      <c r="T105" s="147"/>
      <c r="U105" s="147"/>
      <c r="V105" s="147"/>
      <c r="W105" s="147"/>
      <c r="X105" s="147"/>
      <c r="Y105" s="147">
        <f t="shared" ref="Y105:AV105" si="53">IF(Y23=1,Y64,Y64-X64)</f>
        <v>2.5722016505436329</v>
      </c>
      <c r="Z105" s="147">
        <f t="shared" si="53"/>
        <v>2.5396177711523222</v>
      </c>
      <c r="AA105" s="147">
        <f t="shared" si="53"/>
        <v>2.5012703270672532</v>
      </c>
      <c r="AB105" s="147">
        <f t="shared" si="53"/>
        <v>2.4579283729931376</v>
      </c>
      <c r="AC105" s="147">
        <f t="shared" si="53"/>
        <v>2.4103068799643594</v>
      </c>
      <c r="AD105" s="147">
        <f t="shared" si="53"/>
        <v>2.3590667593578303</v>
      </c>
      <c r="AE105" s="147">
        <f t="shared" si="53"/>
        <v>2.3048157214873015</v>
      </c>
      <c r="AF105" s="147">
        <f t="shared" si="53"/>
        <v>2.248109766412</v>
      </c>
      <c r="AG105" s="147">
        <f t="shared" si="53"/>
        <v>2.1894551413296242</v>
      </c>
      <c r="AH105" s="147">
        <f t="shared" si="53"/>
        <v>2.1293106297086268</v>
      </c>
      <c r="AI105" s="147">
        <f t="shared" si="53"/>
        <v>2.0680900630561467</v>
      </c>
      <c r="AJ105" s="147">
        <f t="shared" si="53"/>
        <v>2.0061649676923565</v>
      </c>
      <c r="AK105" s="147">
        <f t="shared" si="53"/>
        <v>1.9438672767686711</v>
      </c>
      <c r="AL105" s="147">
        <f t="shared" si="53"/>
        <v>1.881492052593245</v>
      </c>
      <c r="AM105" s="147">
        <f t="shared" si="53"/>
        <v>1.8193001765820753</v>
      </c>
      <c r="AN105" s="147">
        <f t="shared" si="53"/>
        <v>1.757520974254021</v>
      </c>
      <c r="AO105" s="147">
        <f t="shared" si="53"/>
        <v>1.6963547509695189</v>
      </c>
      <c r="AP105" s="147">
        <f t="shared" si="53"/>
        <v>1.635975220874073</v>
      </c>
      <c r="AQ105" s="147">
        <f t="shared" si="53"/>
        <v>1.5765318169926985</v>
      </c>
      <c r="AR105" s="147">
        <f t="shared" si="53"/>
        <v>1.5181518748443068</v>
      </c>
      <c r="AS105" s="147">
        <f t="shared" si="53"/>
        <v>1.4609426854786278</v>
      </c>
      <c r="AT105" s="147">
        <f t="shared" si="53"/>
        <v>1.4049934166372537</v>
      </c>
      <c r="AU105" s="147">
        <f t="shared" si="53"/>
        <v>1.3503769029256318</v>
      </c>
      <c r="AV105" s="147">
        <f t="shared" si="53"/>
        <v>1.2971513075696635</v>
      </c>
    </row>
    <row r="106" spans="2:48" ht="12.95" customHeight="1" x14ac:dyDescent="0.2">
      <c r="B106" s="14"/>
      <c r="C106" s="253" t="s">
        <v>875</v>
      </c>
      <c r="F106" s="253" t="s">
        <v>493</v>
      </c>
      <c r="G106" s="253" t="s">
        <v>395</v>
      </c>
      <c r="H106" s="277"/>
      <c r="I106" s="147"/>
      <c r="J106" s="147"/>
      <c r="K106" s="147"/>
      <c r="L106" s="147"/>
      <c r="M106" s="147"/>
      <c r="N106" s="147"/>
      <c r="O106" s="147"/>
      <c r="P106" s="147"/>
      <c r="Q106" s="147"/>
      <c r="R106" s="147"/>
      <c r="S106" s="147"/>
      <c r="T106" s="147"/>
      <c r="U106" s="147"/>
      <c r="V106" s="147"/>
      <c r="W106" s="147"/>
      <c r="X106" s="147"/>
      <c r="Y106" s="147"/>
      <c r="Z106" s="147">
        <f t="shared" ref="Z106:AV106" si="54">IF(Z24=1,Z65,Z65-Y65)</f>
        <v>2.5722016505436329</v>
      </c>
      <c r="AA106" s="147">
        <f t="shared" si="54"/>
        <v>2.5396177711523222</v>
      </c>
      <c r="AB106" s="147">
        <f t="shared" si="54"/>
        <v>2.5012703270672532</v>
      </c>
      <c r="AC106" s="147">
        <f t="shared" si="54"/>
        <v>2.4579283729931376</v>
      </c>
      <c r="AD106" s="147">
        <f t="shared" si="54"/>
        <v>2.4103068799643594</v>
      </c>
      <c r="AE106" s="147">
        <f t="shared" si="54"/>
        <v>2.3590667593578303</v>
      </c>
      <c r="AF106" s="147">
        <f t="shared" si="54"/>
        <v>2.3048157214873015</v>
      </c>
      <c r="AG106" s="147">
        <f t="shared" si="54"/>
        <v>2.248109766412</v>
      </c>
      <c r="AH106" s="147">
        <f t="shared" si="54"/>
        <v>2.1894551413296242</v>
      </c>
      <c r="AI106" s="147">
        <f t="shared" si="54"/>
        <v>2.1293106297086268</v>
      </c>
      <c r="AJ106" s="147">
        <f t="shared" si="54"/>
        <v>2.0680900630561467</v>
      </c>
      <c r="AK106" s="147">
        <f t="shared" si="54"/>
        <v>2.0061649676923565</v>
      </c>
      <c r="AL106" s="147">
        <f t="shared" si="54"/>
        <v>1.9438672767686711</v>
      </c>
      <c r="AM106" s="147">
        <f t="shared" si="54"/>
        <v>1.881492052593245</v>
      </c>
      <c r="AN106" s="147">
        <f t="shared" si="54"/>
        <v>1.8193001765820753</v>
      </c>
      <c r="AO106" s="147">
        <f t="shared" si="54"/>
        <v>1.757520974254021</v>
      </c>
      <c r="AP106" s="147">
        <f t="shared" si="54"/>
        <v>1.6963547509695189</v>
      </c>
      <c r="AQ106" s="147">
        <f t="shared" si="54"/>
        <v>1.635975220874073</v>
      </c>
      <c r="AR106" s="147">
        <f t="shared" si="54"/>
        <v>1.5765318169926985</v>
      </c>
      <c r="AS106" s="147">
        <f t="shared" si="54"/>
        <v>1.5181518748443068</v>
      </c>
      <c r="AT106" s="147">
        <f t="shared" si="54"/>
        <v>1.4609426854786278</v>
      </c>
      <c r="AU106" s="147">
        <f t="shared" si="54"/>
        <v>1.4049934166372537</v>
      </c>
      <c r="AV106" s="147">
        <f t="shared" si="54"/>
        <v>1.3503769029256318</v>
      </c>
    </row>
    <row r="107" spans="2:48" ht="12.95" customHeight="1" x14ac:dyDescent="0.2">
      <c r="B107" s="14"/>
      <c r="C107" s="253" t="s">
        <v>876</v>
      </c>
      <c r="F107" s="253" t="s">
        <v>493</v>
      </c>
      <c r="G107" s="253" t="s">
        <v>395</v>
      </c>
      <c r="H107" s="277"/>
      <c r="I107" s="147"/>
      <c r="J107" s="147"/>
      <c r="K107" s="147"/>
      <c r="L107" s="147"/>
      <c r="M107" s="147"/>
      <c r="N107" s="147"/>
      <c r="O107" s="147"/>
      <c r="P107" s="147"/>
      <c r="Q107" s="147"/>
      <c r="R107" s="147"/>
      <c r="S107" s="147"/>
      <c r="T107" s="147"/>
      <c r="U107" s="147"/>
      <c r="V107" s="147"/>
      <c r="W107" s="147"/>
      <c r="X107" s="147"/>
      <c r="Y107" s="147"/>
      <c r="Z107" s="147"/>
      <c r="AA107" s="147">
        <f t="shared" ref="AA107:AV107" si="55">IF(AA25=1,AA66,AA66-Z66)</f>
        <v>2.5722016505436329</v>
      </c>
      <c r="AB107" s="147">
        <f t="shared" si="55"/>
        <v>2.5396177711523222</v>
      </c>
      <c r="AC107" s="147">
        <f t="shared" si="55"/>
        <v>2.5012703270672532</v>
      </c>
      <c r="AD107" s="147">
        <f t="shared" si="55"/>
        <v>2.4579283729931376</v>
      </c>
      <c r="AE107" s="147">
        <f t="shared" si="55"/>
        <v>2.4103068799643594</v>
      </c>
      <c r="AF107" s="147">
        <f t="shared" si="55"/>
        <v>2.3590667593578303</v>
      </c>
      <c r="AG107" s="147">
        <f t="shared" si="55"/>
        <v>2.3048157214873015</v>
      </c>
      <c r="AH107" s="147">
        <f t="shared" si="55"/>
        <v>2.248109766412</v>
      </c>
      <c r="AI107" s="147">
        <f t="shared" si="55"/>
        <v>2.1894551413296242</v>
      </c>
      <c r="AJ107" s="147">
        <f t="shared" si="55"/>
        <v>2.1293106297086268</v>
      </c>
      <c r="AK107" s="147">
        <f t="shared" si="55"/>
        <v>2.0680900630561467</v>
      </c>
      <c r="AL107" s="147">
        <f t="shared" si="55"/>
        <v>2.0061649676923565</v>
      </c>
      <c r="AM107" s="147">
        <f t="shared" si="55"/>
        <v>1.9438672767686711</v>
      </c>
      <c r="AN107" s="147">
        <f t="shared" si="55"/>
        <v>1.881492052593245</v>
      </c>
      <c r="AO107" s="147">
        <f t="shared" si="55"/>
        <v>1.8193001765820753</v>
      </c>
      <c r="AP107" s="147">
        <f t="shared" si="55"/>
        <v>1.757520974254021</v>
      </c>
      <c r="AQ107" s="147">
        <f t="shared" si="55"/>
        <v>1.6963547509695189</v>
      </c>
      <c r="AR107" s="147">
        <f t="shared" si="55"/>
        <v>1.635975220874073</v>
      </c>
      <c r="AS107" s="147">
        <f t="shared" si="55"/>
        <v>1.5765318169926985</v>
      </c>
      <c r="AT107" s="147">
        <f t="shared" si="55"/>
        <v>1.5181518748443068</v>
      </c>
      <c r="AU107" s="147">
        <f t="shared" si="55"/>
        <v>1.4609426854786278</v>
      </c>
      <c r="AV107" s="147">
        <f t="shared" si="55"/>
        <v>1.4049934166372537</v>
      </c>
    </row>
    <row r="108" spans="2:48" ht="12.95" customHeight="1" x14ac:dyDescent="0.2">
      <c r="B108" s="14"/>
      <c r="C108" s="253" t="s">
        <v>877</v>
      </c>
      <c r="F108" s="253" t="s">
        <v>493</v>
      </c>
      <c r="G108" s="253" t="s">
        <v>395</v>
      </c>
      <c r="H108" s="277"/>
      <c r="I108" s="147"/>
      <c r="J108" s="147"/>
      <c r="K108" s="147"/>
      <c r="L108" s="147"/>
      <c r="M108" s="147"/>
      <c r="N108" s="281"/>
      <c r="O108" s="147"/>
      <c r="P108" s="147"/>
      <c r="Q108" s="147"/>
      <c r="R108" s="147"/>
      <c r="S108" s="147"/>
      <c r="T108" s="147"/>
      <c r="U108" s="147"/>
      <c r="V108" s="147"/>
      <c r="W108" s="147"/>
      <c r="X108" s="147"/>
      <c r="Y108" s="147"/>
      <c r="Z108" s="147"/>
      <c r="AA108" s="147"/>
      <c r="AB108" s="147">
        <f t="shared" ref="AB108:AV108" si="56">IF(AB26=1,AB67,AB67-AA67)</f>
        <v>2.5722016505436329</v>
      </c>
      <c r="AC108" s="147">
        <f t="shared" si="56"/>
        <v>2.5396177711523222</v>
      </c>
      <c r="AD108" s="147">
        <f t="shared" si="56"/>
        <v>2.5012703270672532</v>
      </c>
      <c r="AE108" s="147">
        <f t="shared" si="56"/>
        <v>2.4579283729931376</v>
      </c>
      <c r="AF108" s="147">
        <f t="shared" si="56"/>
        <v>2.4103068799643594</v>
      </c>
      <c r="AG108" s="147">
        <f t="shared" si="56"/>
        <v>2.3590667593578303</v>
      </c>
      <c r="AH108" s="147">
        <f t="shared" si="56"/>
        <v>2.3048157214873015</v>
      </c>
      <c r="AI108" s="147">
        <f t="shared" si="56"/>
        <v>2.248109766412</v>
      </c>
      <c r="AJ108" s="147">
        <f t="shared" si="56"/>
        <v>2.1894551413296242</v>
      </c>
      <c r="AK108" s="147">
        <f t="shared" si="56"/>
        <v>2.1293106297086268</v>
      </c>
      <c r="AL108" s="147">
        <f t="shared" si="56"/>
        <v>2.0680900630561467</v>
      </c>
      <c r="AM108" s="147">
        <f t="shared" si="56"/>
        <v>2.0061649676923565</v>
      </c>
      <c r="AN108" s="147">
        <f t="shared" si="56"/>
        <v>1.9438672767686711</v>
      </c>
      <c r="AO108" s="147">
        <f t="shared" si="56"/>
        <v>1.881492052593245</v>
      </c>
      <c r="AP108" s="147">
        <f t="shared" si="56"/>
        <v>1.8193001765820753</v>
      </c>
      <c r="AQ108" s="147">
        <f t="shared" si="56"/>
        <v>1.757520974254021</v>
      </c>
      <c r="AR108" s="147">
        <f t="shared" si="56"/>
        <v>1.6963547509695189</v>
      </c>
      <c r="AS108" s="147">
        <f t="shared" si="56"/>
        <v>1.635975220874073</v>
      </c>
      <c r="AT108" s="147">
        <f t="shared" si="56"/>
        <v>1.5765318169926985</v>
      </c>
      <c r="AU108" s="147">
        <f t="shared" si="56"/>
        <v>1.5181518748443068</v>
      </c>
      <c r="AV108" s="147">
        <f t="shared" si="56"/>
        <v>1.4609426854786278</v>
      </c>
    </row>
    <row r="109" spans="2:48" ht="12.95" customHeight="1" x14ac:dyDescent="0.2">
      <c r="B109" s="14"/>
      <c r="C109" s="253" t="s">
        <v>878</v>
      </c>
      <c r="F109" s="253" t="s">
        <v>493</v>
      </c>
      <c r="G109" s="253" t="s">
        <v>395</v>
      </c>
      <c r="H109" s="277"/>
      <c r="I109" s="147"/>
      <c r="J109" s="147"/>
      <c r="K109" s="147"/>
      <c r="L109" s="147"/>
      <c r="M109" s="147"/>
      <c r="N109" s="147"/>
      <c r="O109" s="147"/>
      <c r="P109" s="147"/>
      <c r="Q109" s="147"/>
      <c r="R109" s="147"/>
      <c r="S109" s="147"/>
      <c r="T109" s="147"/>
      <c r="U109" s="147"/>
      <c r="V109" s="147"/>
      <c r="W109" s="147"/>
      <c r="X109" s="147"/>
      <c r="Y109" s="147"/>
      <c r="Z109" s="147"/>
      <c r="AA109" s="147"/>
      <c r="AB109" s="147"/>
      <c r="AC109" s="147">
        <f t="shared" ref="AC109:AV109" si="57">IF(AC27=1,AC68,AC68-AB68)</f>
        <v>2.5722016505436329</v>
      </c>
      <c r="AD109" s="147">
        <f t="shared" si="57"/>
        <v>2.5396177711523222</v>
      </c>
      <c r="AE109" s="147">
        <f t="shared" si="57"/>
        <v>2.5012703270672532</v>
      </c>
      <c r="AF109" s="147">
        <f t="shared" si="57"/>
        <v>2.4579283729931376</v>
      </c>
      <c r="AG109" s="147">
        <f t="shared" si="57"/>
        <v>2.4103068799643594</v>
      </c>
      <c r="AH109" s="147">
        <f t="shared" si="57"/>
        <v>2.3590667593578303</v>
      </c>
      <c r="AI109" s="147">
        <f t="shared" si="57"/>
        <v>2.3048157214873015</v>
      </c>
      <c r="AJ109" s="147">
        <f t="shared" si="57"/>
        <v>2.248109766412</v>
      </c>
      <c r="AK109" s="147">
        <f t="shared" si="57"/>
        <v>2.1894551413296242</v>
      </c>
      <c r="AL109" s="147">
        <f t="shared" si="57"/>
        <v>2.1293106297086268</v>
      </c>
      <c r="AM109" s="147">
        <f t="shared" si="57"/>
        <v>2.0680900630561467</v>
      </c>
      <c r="AN109" s="147">
        <f t="shared" si="57"/>
        <v>2.0061649676923565</v>
      </c>
      <c r="AO109" s="147">
        <f t="shared" si="57"/>
        <v>1.9438672767686711</v>
      </c>
      <c r="AP109" s="147">
        <f t="shared" si="57"/>
        <v>1.881492052593245</v>
      </c>
      <c r="AQ109" s="147">
        <f t="shared" si="57"/>
        <v>1.8193001765820753</v>
      </c>
      <c r="AR109" s="147">
        <f t="shared" si="57"/>
        <v>1.757520974254021</v>
      </c>
      <c r="AS109" s="147">
        <f t="shared" si="57"/>
        <v>1.6963547509695189</v>
      </c>
      <c r="AT109" s="147">
        <f t="shared" si="57"/>
        <v>1.635975220874073</v>
      </c>
      <c r="AU109" s="147">
        <f t="shared" si="57"/>
        <v>1.5765318169926985</v>
      </c>
      <c r="AV109" s="147">
        <f t="shared" si="57"/>
        <v>1.5181518748443068</v>
      </c>
    </row>
    <row r="110" spans="2:48" ht="12.95" customHeight="1" x14ac:dyDescent="0.2">
      <c r="B110" s="14"/>
      <c r="C110" s="253" t="s">
        <v>879</v>
      </c>
      <c r="F110" s="253" t="s">
        <v>493</v>
      </c>
      <c r="G110" s="253" t="s">
        <v>395</v>
      </c>
      <c r="H110" s="27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f t="shared" ref="AD110:AV110" si="58">IF(AD28=1,AD69,AD69-AC69)</f>
        <v>2.5722016505436329</v>
      </c>
      <c r="AE110" s="147">
        <f t="shared" si="58"/>
        <v>2.5396177711523222</v>
      </c>
      <c r="AF110" s="147">
        <f t="shared" si="58"/>
        <v>2.5012703270672532</v>
      </c>
      <c r="AG110" s="147">
        <f t="shared" si="58"/>
        <v>2.4579283729931376</v>
      </c>
      <c r="AH110" s="147">
        <f t="shared" si="58"/>
        <v>2.4103068799643594</v>
      </c>
      <c r="AI110" s="147">
        <f t="shared" si="58"/>
        <v>2.3590667593578303</v>
      </c>
      <c r="AJ110" s="147">
        <f t="shared" si="58"/>
        <v>2.3048157214873015</v>
      </c>
      <c r="AK110" s="147">
        <f t="shared" si="58"/>
        <v>2.248109766412</v>
      </c>
      <c r="AL110" s="147">
        <f t="shared" si="58"/>
        <v>2.1894551413296242</v>
      </c>
      <c r="AM110" s="147">
        <f t="shared" si="58"/>
        <v>2.1293106297086268</v>
      </c>
      <c r="AN110" s="147">
        <f t="shared" si="58"/>
        <v>2.0680900630561467</v>
      </c>
      <c r="AO110" s="147">
        <f t="shared" si="58"/>
        <v>2.0061649676923565</v>
      </c>
      <c r="AP110" s="147">
        <f t="shared" si="58"/>
        <v>1.9438672767686711</v>
      </c>
      <c r="AQ110" s="147">
        <f t="shared" si="58"/>
        <v>1.881492052593245</v>
      </c>
      <c r="AR110" s="147">
        <f t="shared" si="58"/>
        <v>1.8193001765820753</v>
      </c>
      <c r="AS110" s="147">
        <f t="shared" si="58"/>
        <v>1.757520974254021</v>
      </c>
      <c r="AT110" s="147">
        <f t="shared" si="58"/>
        <v>1.6963547509695189</v>
      </c>
      <c r="AU110" s="147">
        <f t="shared" si="58"/>
        <v>1.635975220874073</v>
      </c>
      <c r="AV110" s="147">
        <f t="shared" si="58"/>
        <v>1.5765318169926985</v>
      </c>
    </row>
    <row r="111" spans="2:48" ht="12.95" customHeight="1" x14ac:dyDescent="0.2">
      <c r="B111" s="14"/>
      <c r="C111" s="253" t="s">
        <v>880</v>
      </c>
      <c r="F111" s="253" t="s">
        <v>493</v>
      </c>
      <c r="G111" s="253" t="s">
        <v>395</v>
      </c>
      <c r="H111" s="277"/>
      <c r="I111" s="147"/>
      <c r="J111" s="147"/>
      <c r="K111" s="147"/>
      <c r="L111" s="147"/>
      <c r="M111" s="147"/>
      <c r="N111" s="147"/>
      <c r="O111" s="147"/>
      <c r="P111" s="147"/>
      <c r="Q111" s="147"/>
      <c r="R111" s="147"/>
      <c r="S111" s="147"/>
      <c r="T111" s="147"/>
      <c r="U111" s="147"/>
      <c r="V111" s="147"/>
      <c r="W111" s="147"/>
      <c r="X111" s="147"/>
      <c r="Y111" s="147"/>
      <c r="Z111" s="147"/>
      <c r="AA111" s="147"/>
      <c r="AB111" s="147"/>
      <c r="AC111" s="147"/>
      <c r="AD111" s="147"/>
      <c r="AE111" s="147">
        <f t="shared" ref="AE111:AV111" si="59">IF(AE29=1,AE70,AE70-AD70)</f>
        <v>2.5722016505436329</v>
      </c>
      <c r="AF111" s="147">
        <f t="shared" si="59"/>
        <v>2.5396177711523222</v>
      </c>
      <c r="AG111" s="147">
        <f t="shared" si="59"/>
        <v>2.5012703270672532</v>
      </c>
      <c r="AH111" s="147">
        <f t="shared" si="59"/>
        <v>2.4579283729931376</v>
      </c>
      <c r="AI111" s="147">
        <f t="shared" si="59"/>
        <v>2.4103068799643594</v>
      </c>
      <c r="AJ111" s="147">
        <f t="shared" si="59"/>
        <v>2.3590667593578303</v>
      </c>
      <c r="AK111" s="147">
        <f t="shared" si="59"/>
        <v>2.3048157214873015</v>
      </c>
      <c r="AL111" s="147">
        <f t="shared" si="59"/>
        <v>2.248109766412</v>
      </c>
      <c r="AM111" s="147">
        <f t="shared" si="59"/>
        <v>2.1894551413296242</v>
      </c>
      <c r="AN111" s="147">
        <f t="shared" si="59"/>
        <v>2.1293106297086268</v>
      </c>
      <c r="AO111" s="147">
        <f t="shared" si="59"/>
        <v>2.0680900630561467</v>
      </c>
      <c r="AP111" s="147">
        <f t="shared" si="59"/>
        <v>2.0061649676923565</v>
      </c>
      <c r="AQ111" s="147">
        <f t="shared" si="59"/>
        <v>1.9438672767686711</v>
      </c>
      <c r="AR111" s="147">
        <f t="shared" si="59"/>
        <v>1.881492052593245</v>
      </c>
      <c r="AS111" s="147">
        <f t="shared" si="59"/>
        <v>1.8193001765820753</v>
      </c>
      <c r="AT111" s="147">
        <f t="shared" si="59"/>
        <v>1.757520974254021</v>
      </c>
      <c r="AU111" s="147">
        <f t="shared" si="59"/>
        <v>1.6963547509695189</v>
      </c>
      <c r="AV111" s="147">
        <f t="shared" si="59"/>
        <v>1.635975220874073</v>
      </c>
    </row>
    <row r="112" spans="2:48" ht="12.95" customHeight="1" x14ac:dyDescent="0.2">
      <c r="B112" s="14"/>
      <c r="C112" s="253" t="s">
        <v>881</v>
      </c>
      <c r="F112" s="253" t="s">
        <v>493</v>
      </c>
      <c r="G112" s="253" t="s">
        <v>395</v>
      </c>
      <c r="H112" s="277"/>
      <c r="I112" s="147"/>
      <c r="J112" s="147"/>
      <c r="K112" s="147"/>
      <c r="L112" s="147"/>
      <c r="M112" s="147"/>
      <c r="N112" s="147"/>
      <c r="O112" s="147"/>
      <c r="P112" s="147"/>
      <c r="Q112" s="147"/>
      <c r="R112" s="147"/>
      <c r="S112" s="147"/>
      <c r="T112" s="147"/>
      <c r="U112" s="147"/>
      <c r="V112" s="147"/>
      <c r="W112" s="147"/>
      <c r="X112" s="147"/>
      <c r="Y112" s="147"/>
      <c r="Z112" s="147"/>
      <c r="AA112" s="147"/>
      <c r="AB112" s="147"/>
      <c r="AC112" s="147"/>
      <c r="AD112" s="147"/>
      <c r="AE112" s="147"/>
      <c r="AF112" s="147">
        <f t="shared" ref="AF112:AV112" si="60">IF(AF30=1,AF71,AF71-AE71)</f>
        <v>2.5722016505436329</v>
      </c>
      <c r="AG112" s="147">
        <f t="shared" si="60"/>
        <v>2.5396177711523222</v>
      </c>
      <c r="AH112" s="147">
        <f t="shared" si="60"/>
        <v>2.5012703270672532</v>
      </c>
      <c r="AI112" s="147">
        <f t="shared" si="60"/>
        <v>2.4579283729931376</v>
      </c>
      <c r="AJ112" s="147">
        <f t="shared" si="60"/>
        <v>2.4103068799643594</v>
      </c>
      <c r="AK112" s="147">
        <f t="shared" si="60"/>
        <v>2.3590667593578303</v>
      </c>
      <c r="AL112" s="147">
        <f t="shared" si="60"/>
        <v>2.3048157214873015</v>
      </c>
      <c r="AM112" s="147">
        <f t="shared" si="60"/>
        <v>2.248109766412</v>
      </c>
      <c r="AN112" s="147">
        <f t="shared" si="60"/>
        <v>2.1894551413296242</v>
      </c>
      <c r="AO112" s="147">
        <f t="shared" si="60"/>
        <v>2.1293106297086268</v>
      </c>
      <c r="AP112" s="147">
        <f t="shared" si="60"/>
        <v>2.0680900630561467</v>
      </c>
      <c r="AQ112" s="147">
        <f t="shared" si="60"/>
        <v>2.0061649676923565</v>
      </c>
      <c r="AR112" s="147">
        <f t="shared" si="60"/>
        <v>1.9438672767686711</v>
      </c>
      <c r="AS112" s="147">
        <f t="shared" si="60"/>
        <v>1.881492052593245</v>
      </c>
      <c r="AT112" s="147">
        <f t="shared" si="60"/>
        <v>1.8193001765820753</v>
      </c>
      <c r="AU112" s="147">
        <f t="shared" si="60"/>
        <v>1.757520974254021</v>
      </c>
      <c r="AV112" s="147">
        <f t="shared" si="60"/>
        <v>1.6963547509695189</v>
      </c>
    </row>
    <row r="113" spans="2:48" ht="12.95" customHeight="1" x14ac:dyDescent="0.2">
      <c r="B113" s="14"/>
      <c r="C113" s="253" t="s">
        <v>882</v>
      </c>
      <c r="F113" s="253" t="s">
        <v>493</v>
      </c>
      <c r="G113" s="253" t="s">
        <v>395</v>
      </c>
      <c r="H113" s="277"/>
      <c r="I113" s="147"/>
      <c r="J113" s="147"/>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f t="shared" ref="AG113:AV113" si="61">IF(AG31=1,AG72,AG72-AF72)</f>
        <v>2.5722016505436329</v>
      </c>
      <c r="AH113" s="147">
        <f t="shared" si="61"/>
        <v>2.5396177711523222</v>
      </c>
      <c r="AI113" s="147">
        <f t="shared" si="61"/>
        <v>2.5012703270672532</v>
      </c>
      <c r="AJ113" s="147">
        <f t="shared" si="61"/>
        <v>2.4579283729931376</v>
      </c>
      <c r="AK113" s="147">
        <f t="shared" si="61"/>
        <v>2.4103068799643594</v>
      </c>
      <c r="AL113" s="147">
        <f t="shared" si="61"/>
        <v>2.3590667593578303</v>
      </c>
      <c r="AM113" s="147">
        <f t="shared" si="61"/>
        <v>2.3048157214873015</v>
      </c>
      <c r="AN113" s="147">
        <f t="shared" si="61"/>
        <v>2.248109766412</v>
      </c>
      <c r="AO113" s="147">
        <f t="shared" si="61"/>
        <v>2.1894551413296242</v>
      </c>
      <c r="AP113" s="147">
        <f t="shared" si="61"/>
        <v>2.1293106297086268</v>
      </c>
      <c r="AQ113" s="147">
        <f t="shared" si="61"/>
        <v>2.0680900630561467</v>
      </c>
      <c r="AR113" s="147">
        <f t="shared" si="61"/>
        <v>2.0061649676923565</v>
      </c>
      <c r="AS113" s="147">
        <f t="shared" si="61"/>
        <v>1.9438672767686711</v>
      </c>
      <c r="AT113" s="147">
        <f t="shared" si="61"/>
        <v>1.881492052593245</v>
      </c>
      <c r="AU113" s="147">
        <f t="shared" si="61"/>
        <v>1.8193001765820753</v>
      </c>
      <c r="AV113" s="147">
        <f t="shared" si="61"/>
        <v>1.757520974254021</v>
      </c>
    </row>
    <row r="114" spans="2:48" ht="12.95" customHeight="1" x14ac:dyDescent="0.2">
      <c r="B114" s="14"/>
      <c r="C114" s="253" t="s">
        <v>883</v>
      </c>
      <c r="F114" s="253" t="s">
        <v>493</v>
      </c>
      <c r="G114" s="253" t="s">
        <v>395</v>
      </c>
      <c r="H114" s="277"/>
      <c r="I114" s="147"/>
      <c r="J114" s="147"/>
      <c r="K114" s="147"/>
      <c r="L114" s="147"/>
      <c r="M114" s="147"/>
      <c r="N114" s="147"/>
      <c r="O114" s="147"/>
      <c r="P114" s="147"/>
      <c r="Q114" s="147"/>
      <c r="R114" s="147"/>
      <c r="S114" s="147"/>
      <c r="T114" s="147"/>
      <c r="U114" s="147"/>
      <c r="V114" s="147"/>
      <c r="W114" s="147"/>
      <c r="X114" s="147"/>
      <c r="Y114" s="147"/>
      <c r="Z114" s="147"/>
      <c r="AA114" s="147"/>
      <c r="AB114" s="147"/>
      <c r="AC114" s="147"/>
      <c r="AD114" s="147"/>
      <c r="AE114" s="147"/>
      <c r="AF114" s="147"/>
      <c r="AG114" s="147"/>
      <c r="AH114" s="147">
        <f t="shared" ref="AH114:AV114" si="62">IF(AH32=1,AH73,AH73-AG73)</f>
        <v>0</v>
      </c>
      <c r="AI114" s="147">
        <f t="shared" si="62"/>
        <v>0</v>
      </c>
      <c r="AJ114" s="147">
        <f t="shared" si="62"/>
        <v>0</v>
      </c>
      <c r="AK114" s="147">
        <f t="shared" si="62"/>
        <v>0</v>
      </c>
      <c r="AL114" s="147">
        <f t="shared" si="62"/>
        <v>0</v>
      </c>
      <c r="AM114" s="147">
        <f t="shared" si="62"/>
        <v>0</v>
      </c>
      <c r="AN114" s="147">
        <f t="shared" si="62"/>
        <v>0</v>
      </c>
      <c r="AO114" s="147">
        <f t="shared" si="62"/>
        <v>0</v>
      </c>
      <c r="AP114" s="147">
        <f t="shared" si="62"/>
        <v>0</v>
      </c>
      <c r="AQ114" s="147">
        <f t="shared" si="62"/>
        <v>0</v>
      </c>
      <c r="AR114" s="147">
        <f t="shared" si="62"/>
        <v>0</v>
      </c>
      <c r="AS114" s="147">
        <f t="shared" si="62"/>
        <v>0</v>
      </c>
      <c r="AT114" s="147">
        <f t="shared" si="62"/>
        <v>0</v>
      </c>
      <c r="AU114" s="147">
        <f t="shared" si="62"/>
        <v>0</v>
      </c>
      <c r="AV114" s="147">
        <f t="shared" si="62"/>
        <v>0</v>
      </c>
    </row>
    <row r="115" spans="2:48" ht="12.95" customHeight="1" x14ac:dyDescent="0.2">
      <c r="B115" s="14"/>
      <c r="C115" s="253" t="s">
        <v>884</v>
      </c>
      <c r="F115" s="253" t="s">
        <v>493</v>
      </c>
      <c r="G115" s="253" t="s">
        <v>395</v>
      </c>
      <c r="H115" s="277"/>
      <c r="I115" s="147"/>
      <c r="J115" s="147"/>
      <c r="K115" s="147"/>
      <c r="L115" s="147"/>
      <c r="M115" s="147"/>
      <c r="N115" s="147"/>
      <c r="O115" s="147"/>
      <c r="P115" s="147"/>
      <c r="Q115" s="147"/>
      <c r="R115" s="147"/>
      <c r="S115" s="147"/>
      <c r="T115" s="147"/>
      <c r="U115" s="147"/>
      <c r="V115" s="147"/>
      <c r="W115" s="147"/>
      <c r="X115" s="147"/>
      <c r="Y115" s="147"/>
      <c r="Z115" s="147"/>
      <c r="AA115" s="147"/>
      <c r="AB115" s="147"/>
      <c r="AC115" s="147"/>
      <c r="AD115" s="147"/>
      <c r="AE115" s="147"/>
      <c r="AF115" s="147"/>
      <c r="AG115" s="147"/>
      <c r="AH115" s="147"/>
      <c r="AI115" s="147">
        <f t="shared" ref="AI115:AV115" si="63">IF(AI33=1,AI74,AI74-AH74)</f>
        <v>0</v>
      </c>
      <c r="AJ115" s="147">
        <f t="shared" si="63"/>
        <v>0</v>
      </c>
      <c r="AK115" s="147">
        <f t="shared" si="63"/>
        <v>0</v>
      </c>
      <c r="AL115" s="147">
        <f t="shared" si="63"/>
        <v>0</v>
      </c>
      <c r="AM115" s="147">
        <f t="shared" si="63"/>
        <v>0</v>
      </c>
      <c r="AN115" s="147">
        <f t="shared" si="63"/>
        <v>0</v>
      </c>
      <c r="AO115" s="147">
        <f t="shared" si="63"/>
        <v>0</v>
      </c>
      <c r="AP115" s="147">
        <f t="shared" si="63"/>
        <v>0</v>
      </c>
      <c r="AQ115" s="147">
        <f t="shared" si="63"/>
        <v>0</v>
      </c>
      <c r="AR115" s="147">
        <f t="shared" si="63"/>
        <v>0</v>
      </c>
      <c r="AS115" s="147">
        <f t="shared" si="63"/>
        <v>0</v>
      </c>
      <c r="AT115" s="147">
        <f t="shared" si="63"/>
        <v>0</v>
      </c>
      <c r="AU115" s="147">
        <f t="shared" si="63"/>
        <v>0</v>
      </c>
      <c r="AV115" s="147">
        <f t="shared" si="63"/>
        <v>0</v>
      </c>
    </row>
    <row r="116" spans="2:48" ht="12.95" customHeight="1" x14ac:dyDescent="0.2">
      <c r="B116" s="14"/>
      <c r="C116" s="253" t="s">
        <v>885</v>
      </c>
      <c r="F116" s="253" t="s">
        <v>493</v>
      </c>
      <c r="G116" s="253" t="s">
        <v>395</v>
      </c>
      <c r="H116" s="277"/>
      <c r="I116" s="147"/>
      <c r="J116" s="147"/>
      <c r="K116" s="147"/>
      <c r="L116" s="147"/>
      <c r="M116" s="147"/>
      <c r="N116" s="147"/>
      <c r="O116" s="147"/>
      <c r="P116" s="147"/>
      <c r="Q116" s="147"/>
      <c r="R116" s="147"/>
      <c r="S116" s="147"/>
      <c r="T116" s="147"/>
      <c r="U116" s="147"/>
      <c r="V116" s="147"/>
      <c r="W116" s="147"/>
      <c r="X116" s="147"/>
      <c r="Y116" s="147"/>
      <c r="Z116" s="147"/>
      <c r="AA116" s="147"/>
      <c r="AB116" s="147"/>
      <c r="AC116" s="147"/>
      <c r="AD116" s="147"/>
      <c r="AE116" s="147"/>
      <c r="AF116" s="147"/>
      <c r="AG116" s="147"/>
      <c r="AH116" s="147"/>
      <c r="AI116" s="147"/>
      <c r="AJ116" s="147">
        <f t="shared" ref="AJ116:AV116" si="64">IF(AJ34=1,AJ75,AJ75-AI75)</f>
        <v>0</v>
      </c>
      <c r="AK116" s="147">
        <f t="shared" si="64"/>
        <v>0</v>
      </c>
      <c r="AL116" s="147">
        <f t="shared" si="64"/>
        <v>0</v>
      </c>
      <c r="AM116" s="147">
        <f t="shared" si="64"/>
        <v>0</v>
      </c>
      <c r="AN116" s="147">
        <f t="shared" si="64"/>
        <v>0</v>
      </c>
      <c r="AO116" s="147">
        <f t="shared" si="64"/>
        <v>0</v>
      </c>
      <c r="AP116" s="147">
        <f t="shared" si="64"/>
        <v>0</v>
      </c>
      <c r="AQ116" s="147">
        <f t="shared" si="64"/>
        <v>0</v>
      </c>
      <c r="AR116" s="147">
        <f t="shared" si="64"/>
        <v>0</v>
      </c>
      <c r="AS116" s="147">
        <f t="shared" si="64"/>
        <v>0</v>
      </c>
      <c r="AT116" s="147">
        <f t="shared" si="64"/>
        <v>0</v>
      </c>
      <c r="AU116" s="147">
        <f t="shared" si="64"/>
        <v>0</v>
      </c>
      <c r="AV116" s="147">
        <f t="shared" si="64"/>
        <v>0</v>
      </c>
    </row>
    <row r="117" spans="2:48" ht="12.95" customHeight="1" x14ac:dyDescent="0.2">
      <c r="B117" s="14"/>
      <c r="C117" s="253" t="s">
        <v>886</v>
      </c>
      <c r="F117" s="253" t="s">
        <v>493</v>
      </c>
      <c r="G117" s="253" t="s">
        <v>395</v>
      </c>
      <c r="H117" s="277"/>
      <c r="I117" s="147"/>
      <c r="J117" s="147"/>
      <c r="K117" s="147"/>
      <c r="L117" s="147"/>
      <c r="M117" s="147"/>
      <c r="N117" s="147"/>
      <c r="O117" s="147"/>
      <c r="P117" s="147"/>
      <c r="Q117" s="147"/>
      <c r="R117" s="147"/>
      <c r="S117" s="147"/>
      <c r="T117" s="147"/>
      <c r="U117" s="147"/>
      <c r="V117" s="147"/>
      <c r="W117" s="147"/>
      <c r="X117" s="147"/>
      <c r="Y117" s="147"/>
      <c r="Z117" s="147"/>
      <c r="AA117" s="147"/>
      <c r="AB117" s="147"/>
      <c r="AC117" s="147"/>
      <c r="AD117" s="147"/>
      <c r="AE117" s="147"/>
      <c r="AF117" s="147"/>
      <c r="AG117" s="147"/>
      <c r="AH117" s="147"/>
      <c r="AI117" s="147"/>
      <c r="AJ117" s="147"/>
      <c r="AK117" s="147">
        <f t="shared" ref="AK117:AV117" si="65">IF(AK35=1,AK76,AK76-AJ76)</f>
        <v>0</v>
      </c>
      <c r="AL117" s="147">
        <f t="shared" si="65"/>
        <v>0</v>
      </c>
      <c r="AM117" s="147">
        <f t="shared" si="65"/>
        <v>0</v>
      </c>
      <c r="AN117" s="147">
        <f t="shared" si="65"/>
        <v>0</v>
      </c>
      <c r="AO117" s="147">
        <f t="shared" si="65"/>
        <v>0</v>
      </c>
      <c r="AP117" s="147">
        <f t="shared" si="65"/>
        <v>0</v>
      </c>
      <c r="AQ117" s="147">
        <f t="shared" si="65"/>
        <v>0</v>
      </c>
      <c r="AR117" s="147">
        <f t="shared" si="65"/>
        <v>0</v>
      </c>
      <c r="AS117" s="147">
        <f t="shared" si="65"/>
        <v>0</v>
      </c>
      <c r="AT117" s="147">
        <f t="shared" si="65"/>
        <v>0</v>
      </c>
      <c r="AU117" s="147">
        <f t="shared" si="65"/>
        <v>0</v>
      </c>
      <c r="AV117" s="147">
        <f t="shared" si="65"/>
        <v>0</v>
      </c>
    </row>
    <row r="118" spans="2:48" ht="12.95" customHeight="1" x14ac:dyDescent="0.2">
      <c r="B118" s="14"/>
      <c r="C118" s="253" t="s">
        <v>887</v>
      </c>
      <c r="F118" s="253" t="s">
        <v>493</v>
      </c>
      <c r="G118" s="253" t="s">
        <v>395</v>
      </c>
      <c r="H118" s="277"/>
      <c r="I118" s="147"/>
      <c r="J118" s="147"/>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7"/>
      <c r="AI118" s="147"/>
      <c r="AJ118" s="147"/>
      <c r="AK118" s="147"/>
      <c r="AL118" s="147">
        <f t="shared" ref="AL118:AV118" si="66">IF(AL36=1,AL77,AL77-AK77)</f>
        <v>0</v>
      </c>
      <c r="AM118" s="147">
        <f t="shared" si="66"/>
        <v>0</v>
      </c>
      <c r="AN118" s="147">
        <f t="shared" si="66"/>
        <v>0</v>
      </c>
      <c r="AO118" s="147">
        <f t="shared" si="66"/>
        <v>0</v>
      </c>
      <c r="AP118" s="147">
        <f t="shared" si="66"/>
        <v>0</v>
      </c>
      <c r="AQ118" s="147">
        <f t="shared" si="66"/>
        <v>0</v>
      </c>
      <c r="AR118" s="147">
        <f t="shared" si="66"/>
        <v>0</v>
      </c>
      <c r="AS118" s="147">
        <f t="shared" si="66"/>
        <v>0</v>
      </c>
      <c r="AT118" s="147">
        <f t="shared" si="66"/>
        <v>0</v>
      </c>
      <c r="AU118" s="147">
        <f t="shared" si="66"/>
        <v>0</v>
      </c>
      <c r="AV118" s="147">
        <f t="shared" si="66"/>
        <v>0</v>
      </c>
    </row>
    <row r="119" spans="2:48" ht="12.95" customHeight="1" x14ac:dyDescent="0.2">
      <c r="B119" s="14"/>
      <c r="C119" s="253" t="s">
        <v>888</v>
      </c>
      <c r="F119" s="253" t="s">
        <v>493</v>
      </c>
      <c r="G119" s="253" t="s">
        <v>395</v>
      </c>
      <c r="H119" s="277"/>
      <c r="I119" s="147"/>
      <c r="J119" s="147"/>
      <c r="K119" s="147"/>
      <c r="L119" s="147"/>
      <c r="M119" s="147"/>
      <c r="N119" s="147"/>
      <c r="O119" s="147"/>
      <c r="P119" s="147"/>
      <c r="Q119" s="147"/>
      <c r="R119" s="147"/>
      <c r="S119" s="147"/>
      <c r="T119" s="147"/>
      <c r="U119" s="147"/>
      <c r="V119" s="147"/>
      <c r="W119" s="147"/>
      <c r="X119" s="147"/>
      <c r="Y119" s="147"/>
      <c r="Z119" s="147"/>
      <c r="AA119" s="147"/>
      <c r="AB119" s="147"/>
      <c r="AC119" s="147"/>
      <c r="AD119" s="147"/>
      <c r="AE119" s="147"/>
      <c r="AF119" s="147"/>
      <c r="AG119" s="147"/>
      <c r="AH119" s="147"/>
      <c r="AI119" s="147"/>
      <c r="AJ119" s="147"/>
      <c r="AK119" s="147"/>
      <c r="AL119" s="147"/>
      <c r="AM119" s="147">
        <f t="shared" ref="AM119:AV119" si="67">IF(AM37=1,AM78,AM78-AL78)</f>
        <v>0</v>
      </c>
      <c r="AN119" s="147">
        <f t="shared" si="67"/>
        <v>0</v>
      </c>
      <c r="AO119" s="147">
        <f t="shared" si="67"/>
        <v>0</v>
      </c>
      <c r="AP119" s="147">
        <f t="shared" si="67"/>
        <v>0</v>
      </c>
      <c r="AQ119" s="147">
        <f t="shared" si="67"/>
        <v>0</v>
      </c>
      <c r="AR119" s="147">
        <f t="shared" si="67"/>
        <v>0</v>
      </c>
      <c r="AS119" s="147">
        <f t="shared" si="67"/>
        <v>0</v>
      </c>
      <c r="AT119" s="147">
        <f t="shared" si="67"/>
        <v>0</v>
      </c>
      <c r="AU119" s="147">
        <f t="shared" si="67"/>
        <v>0</v>
      </c>
      <c r="AV119" s="147">
        <f t="shared" si="67"/>
        <v>0</v>
      </c>
    </row>
    <row r="120" spans="2:48" ht="12.95" customHeight="1" x14ac:dyDescent="0.2">
      <c r="B120" s="14"/>
      <c r="C120" s="253" t="s">
        <v>889</v>
      </c>
      <c r="F120" s="253" t="s">
        <v>493</v>
      </c>
      <c r="G120" s="253" t="s">
        <v>395</v>
      </c>
      <c r="H120" s="277"/>
      <c r="I120" s="147"/>
      <c r="J120" s="147"/>
      <c r="K120" s="147"/>
      <c r="L120" s="147"/>
      <c r="M120" s="147"/>
      <c r="N120" s="147"/>
      <c r="O120" s="147"/>
      <c r="P120" s="147"/>
      <c r="Q120" s="147"/>
      <c r="R120" s="147"/>
      <c r="S120" s="147"/>
      <c r="T120" s="147"/>
      <c r="U120" s="147"/>
      <c r="V120" s="147"/>
      <c r="W120" s="147"/>
      <c r="X120" s="147"/>
      <c r="Y120" s="147"/>
      <c r="Z120" s="147"/>
      <c r="AA120" s="147"/>
      <c r="AB120" s="147"/>
      <c r="AC120" s="147"/>
      <c r="AD120" s="147"/>
      <c r="AE120" s="147"/>
      <c r="AF120" s="147"/>
      <c r="AG120" s="147"/>
      <c r="AH120" s="147"/>
      <c r="AI120" s="147"/>
      <c r="AJ120" s="147"/>
      <c r="AK120" s="147"/>
      <c r="AL120" s="147"/>
      <c r="AM120" s="147"/>
      <c r="AN120" s="147">
        <f t="shared" ref="AN120:AV120" si="68">IF(AN38=1,AN79,AN79-AM79)</f>
        <v>0</v>
      </c>
      <c r="AO120" s="147">
        <f t="shared" si="68"/>
        <v>0</v>
      </c>
      <c r="AP120" s="147">
        <f t="shared" si="68"/>
        <v>0</v>
      </c>
      <c r="AQ120" s="147">
        <f t="shared" si="68"/>
        <v>0</v>
      </c>
      <c r="AR120" s="147">
        <f t="shared" si="68"/>
        <v>0</v>
      </c>
      <c r="AS120" s="147">
        <f t="shared" si="68"/>
        <v>0</v>
      </c>
      <c r="AT120" s="147">
        <f t="shared" si="68"/>
        <v>0</v>
      </c>
      <c r="AU120" s="147">
        <f t="shared" si="68"/>
        <v>0</v>
      </c>
      <c r="AV120" s="147">
        <f t="shared" si="68"/>
        <v>0</v>
      </c>
    </row>
    <row r="121" spans="2:48" ht="12.95" customHeight="1" x14ac:dyDescent="0.2">
      <c r="B121" s="14"/>
      <c r="C121" s="253" t="s">
        <v>890</v>
      </c>
      <c r="F121" s="253" t="s">
        <v>493</v>
      </c>
      <c r="G121" s="253" t="s">
        <v>395</v>
      </c>
      <c r="H121" s="277"/>
      <c r="I121" s="147"/>
      <c r="J121" s="147"/>
      <c r="K121" s="147"/>
      <c r="L121" s="147"/>
      <c r="M121" s="147"/>
      <c r="N121" s="147"/>
      <c r="O121" s="147"/>
      <c r="P121" s="147"/>
      <c r="Q121" s="147"/>
      <c r="R121" s="147"/>
      <c r="S121" s="147"/>
      <c r="T121" s="147"/>
      <c r="U121" s="147"/>
      <c r="V121" s="147"/>
      <c r="W121" s="147"/>
      <c r="X121" s="147"/>
      <c r="Y121" s="147"/>
      <c r="Z121" s="147"/>
      <c r="AA121" s="147"/>
      <c r="AB121" s="147"/>
      <c r="AC121" s="147"/>
      <c r="AD121" s="147"/>
      <c r="AE121" s="147"/>
      <c r="AF121" s="147"/>
      <c r="AG121" s="147"/>
      <c r="AH121" s="147"/>
      <c r="AI121" s="147"/>
      <c r="AJ121" s="147"/>
      <c r="AK121" s="147"/>
      <c r="AL121" s="147"/>
      <c r="AM121" s="147"/>
      <c r="AN121" s="147"/>
      <c r="AO121" s="147">
        <f t="shared" ref="AO121:AV121" si="69">IF(AO39=1,AO80,AO80-AN80)</f>
        <v>0</v>
      </c>
      <c r="AP121" s="147">
        <f t="shared" si="69"/>
        <v>0</v>
      </c>
      <c r="AQ121" s="147">
        <f t="shared" si="69"/>
        <v>0</v>
      </c>
      <c r="AR121" s="147">
        <f t="shared" si="69"/>
        <v>0</v>
      </c>
      <c r="AS121" s="147">
        <f t="shared" si="69"/>
        <v>0</v>
      </c>
      <c r="AT121" s="147">
        <f t="shared" si="69"/>
        <v>0</v>
      </c>
      <c r="AU121" s="147">
        <f t="shared" si="69"/>
        <v>0</v>
      </c>
      <c r="AV121" s="147">
        <f t="shared" si="69"/>
        <v>0</v>
      </c>
    </row>
    <row r="122" spans="2:48" ht="12.95" customHeight="1" x14ac:dyDescent="0.2">
      <c r="B122" s="14"/>
      <c r="C122" s="253" t="s">
        <v>891</v>
      </c>
      <c r="F122" s="253" t="s">
        <v>493</v>
      </c>
      <c r="G122" s="253" t="s">
        <v>395</v>
      </c>
      <c r="H122" s="277"/>
      <c r="I122" s="147"/>
      <c r="J122" s="147"/>
      <c r="K122" s="147"/>
      <c r="L122" s="147"/>
      <c r="M122" s="147"/>
      <c r="N122" s="147"/>
      <c r="O122" s="147"/>
      <c r="P122" s="147"/>
      <c r="Q122" s="147"/>
      <c r="R122" s="147"/>
      <c r="S122" s="147"/>
      <c r="T122" s="147"/>
      <c r="U122" s="147"/>
      <c r="V122" s="147"/>
      <c r="W122" s="147"/>
      <c r="X122" s="147"/>
      <c r="Y122" s="147"/>
      <c r="Z122" s="147"/>
      <c r="AA122" s="147"/>
      <c r="AB122" s="147"/>
      <c r="AC122" s="147"/>
      <c r="AD122" s="147"/>
      <c r="AE122" s="147"/>
      <c r="AF122" s="147"/>
      <c r="AG122" s="147"/>
      <c r="AH122" s="147"/>
      <c r="AI122" s="147"/>
      <c r="AJ122" s="147"/>
      <c r="AK122" s="147"/>
      <c r="AL122" s="147"/>
      <c r="AM122" s="147"/>
      <c r="AN122" s="147"/>
      <c r="AO122" s="147"/>
      <c r="AP122" s="147">
        <f t="shared" ref="AP122:AV122" si="70">IF(AP40=1,AP81,AP81-AO81)</f>
        <v>0</v>
      </c>
      <c r="AQ122" s="147">
        <f t="shared" si="70"/>
        <v>0</v>
      </c>
      <c r="AR122" s="147">
        <f t="shared" si="70"/>
        <v>0</v>
      </c>
      <c r="AS122" s="147">
        <f t="shared" si="70"/>
        <v>0</v>
      </c>
      <c r="AT122" s="147">
        <f t="shared" si="70"/>
        <v>0</v>
      </c>
      <c r="AU122" s="147">
        <f t="shared" si="70"/>
        <v>0</v>
      </c>
      <c r="AV122" s="147">
        <f t="shared" si="70"/>
        <v>0</v>
      </c>
    </row>
    <row r="123" spans="2:48" ht="12.95" customHeight="1" x14ac:dyDescent="0.2">
      <c r="B123" s="14"/>
      <c r="C123" s="253" t="s">
        <v>892</v>
      </c>
      <c r="F123" s="253" t="s">
        <v>493</v>
      </c>
      <c r="G123" s="253" t="s">
        <v>395</v>
      </c>
      <c r="H123" s="277"/>
      <c r="I123" s="147"/>
      <c r="J123" s="147"/>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7"/>
      <c r="AI123" s="147"/>
      <c r="AJ123" s="147"/>
      <c r="AK123" s="147"/>
      <c r="AL123" s="147"/>
      <c r="AM123" s="147"/>
      <c r="AN123" s="147"/>
      <c r="AO123" s="147"/>
      <c r="AP123" s="147"/>
      <c r="AQ123" s="147">
        <f t="shared" ref="AQ123:AV123" si="71">IF(AQ41=1,AQ82,AQ82-AP82)</f>
        <v>0</v>
      </c>
      <c r="AR123" s="147">
        <f t="shared" si="71"/>
        <v>0</v>
      </c>
      <c r="AS123" s="147">
        <f t="shared" si="71"/>
        <v>0</v>
      </c>
      <c r="AT123" s="147">
        <f t="shared" si="71"/>
        <v>0</v>
      </c>
      <c r="AU123" s="147">
        <f t="shared" si="71"/>
        <v>0</v>
      </c>
      <c r="AV123" s="147">
        <f t="shared" si="71"/>
        <v>0</v>
      </c>
    </row>
    <row r="124" spans="2:48" ht="12.95" customHeight="1" x14ac:dyDescent="0.2">
      <c r="B124" s="14"/>
      <c r="C124" s="253" t="s">
        <v>893</v>
      </c>
      <c r="F124" s="253" t="s">
        <v>493</v>
      </c>
      <c r="G124" s="253" t="s">
        <v>395</v>
      </c>
      <c r="H124" s="277"/>
      <c r="I124" s="147"/>
      <c r="J124" s="147"/>
      <c r="K124" s="147"/>
      <c r="L124" s="147"/>
      <c r="M124" s="147"/>
      <c r="N124" s="147"/>
      <c r="O124" s="147"/>
      <c r="P124" s="147"/>
      <c r="Q124" s="147"/>
      <c r="R124" s="147"/>
      <c r="S124" s="147"/>
      <c r="T124" s="147"/>
      <c r="U124" s="147"/>
      <c r="V124" s="147"/>
      <c r="W124" s="147"/>
      <c r="X124" s="147"/>
      <c r="Y124" s="147"/>
      <c r="Z124" s="147"/>
      <c r="AA124" s="147"/>
      <c r="AB124" s="147"/>
      <c r="AC124" s="147"/>
      <c r="AD124" s="147"/>
      <c r="AE124" s="147"/>
      <c r="AF124" s="147"/>
      <c r="AG124" s="147"/>
      <c r="AH124" s="147"/>
      <c r="AI124" s="147"/>
      <c r="AJ124" s="147"/>
      <c r="AK124" s="147"/>
      <c r="AL124" s="147"/>
      <c r="AM124" s="147"/>
      <c r="AN124" s="147"/>
      <c r="AO124" s="147"/>
      <c r="AP124" s="147"/>
      <c r="AQ124" s="147"/>
      <c r="AR124" s="147">
        <f>IF(AR42=1,AR83,AR83-AQ83)</f>
        <v>0</v>
      </c>
      <c r="AS124" s="147">
        <f>IF(AS42=1,AS83,AS83-AR83)</f>
        <v>0</v>
      </c>
      <c r="AT124" s="147">
        <f>IF(AT42=1,AT83,AT83-AS83)</f>
        <v>0</v>
      </c>
      <c r="AU124" s="147">
        <f>IF(AU42=1,AU83,AU83-AT83)</f>
        <v>0</v>
      </c>
      <c r="AV124" s="147">
        <f>IF(AV42=1,AV83,AV83-AU83)</f>
        <v>0</v>
      </c>
    </row>
    <row r="125" spans="2:48" ht="12.95" customHeight="1" x14ac:dyDescent="0.2">
      <c r="B125" s="14"/>
      <c r="C125" s="253" t="s">
        <v>894</v>
      </c>
      <c r="F125" s="253" t="s">
        <v>493</v>
      </c>
      <c r="G125" s="253" t="s">
        <v>395</v>
      </c>
      <c r="H125" s="277"/>
      <c r="I125" s="147"/>
      <c r="J125" s="147"/>
      <c r="K125" s="147"/>
      <c r="L125" s="147"/>
      <c r="M125" s="147"/>
      <c r="N125" s="147"/>
      <c r="O125" s="147"/>
      <c r="P125" s="147"/>
      <c r="Q125" s="147"/>
      <c r="R125" s="147"/>
      <c r="S125" s="147"/>
      <c r="T125" s="147"/>
      <c r="U125" s="147"/>
      <c r="V125" s="147"/>
      <c r="W125" s="147"/>
      <c r="X125" s="147"/>
      <c r="Y125" s="147"/>
      <c r="Z125" s="147"/>
      <c r="AA125" s="147"/>
      <c r="AB125" s="147"/>
      <c r="AC125" s="147"/>
      <c r="AD125" s="147"/>
      <c r="AE125" s="147"/>
      <c r="AF125" s="147"/>
      <c r="AG125" s="147"/>
      <c r="AH125" s="147"/>
      <c r="AI125" s="147"/>
      <c r="AJ125" s="147"/>
      <c r="AK125" s="147"/>
      <c r="AL125" s="147"/>
      <c r="AM125" s="147"/>
      <c r="AN125" s="147"/>
      <c r="AO125" s="147"/>
      <c r="AP125" s="147"/>
      <c r="AQ125" s="147"/>
      <c r="AR125" s="147"/>
      <c r="AS125" s="147">
        <f>IF(AS43=1,AS84,AS84-AR84)</f>
        <v>0</v>
      </c>
      <c r="AT125" s="147">
        <f>IF(AT43=1,AT84,AT84-AS84)</f>
        <v>0</v>
      </c>
      <c r="AU125" s="147">
        <f>IF(AU43=1,AU84,AU84-AT84)</f>
        <v>0</v>
      </c>
      <c r="AV125" s="147">
        <f>IF(AV43=1,AV84,AV84-AU84)</f>
        <v>0</v>
      </c>
    </row>
    <row r="126" spans="2:48" ht="12.95" customHeight="1" x14ac:dyDescent="0.2">
      <c r="B126" s="14"/>
      <c r="C126" s="253" t="s">
        <v>895</v>
      </c>
      <c r="F126" s="253" t="s">
        <v>493</v>
      </c>
      <c r="G126" s="253" t="s">
        <v>395</v>
      </c>
      <c r="H126" s="277"/>
      <c r="I126" s="147"/>
      <c r="J126" s="147"/>
      <c r="K126" s="147"/>
      <c r="L126" s="147"/>
      <c r="M126" s="147"/>
      <c r="N126" s="147"/>
      <c r="O126" s="147"/>
      <c r="P126" s="147"/>
      <c r="Q126" s="147"/>
      <c r="R126" s="147"/>
      <c r="S126" s="147"/>
      <c r="T126" s="147"/>
      <c r="U126" s="147"/>
      <c r="V126" s="147"/>
      <c r="W126" s="147"/>
      <c r="X126" s="147"/>
      <c r="Y126" s="147"/>
      <c r="Z126" s="147"/>
      <c r="AA126" s="147"/>
      <c r="AB126" s="147"/>
      <c r="AC126" s="147"/>
      <c r="AD126" s="147"/>
      <c r="AE126" s="147"/>
      <c r="AF126" s="147"/>
      <c r="AG126" s="147"/>
      <c r="AH126" s="147"/>
      <c r="AI126" s="147"/>
      <c r="AJ126" s="147"/>
      <c r="AK126" s="147"/>
      <c r="AL126" s="147"/>
      <c r="AM126" s="147"/>
      <c r="AN126" s="147"/>
      <c r="AO126" s="147"/>
      <c r="AP126" s="147"/>
      <c r="AQ126" s="147"/>
      <c r="AR126" s="147"/>
      <c r="AS126" s="147"/>
      <c r="AT126" s="147">
        <f>IF(AT44=1,AT85,AT85-AS85)</f>
        <v>0</v>
      </c>
      <c r="AU126" s="147">
        <f>IF(AU44=1,AU85,AU85-AT85)</f>
        <v>0</v>
      </c>
      <c r="AV126" s="147">
        <f>IF(AV44=1,AV85,AV85-AU85)</f>
        <v>0</v>
      </c>
    </row>
    <row r="127" spans="2:48" ht="12.95" customHeight="1" x14ac:dyDescent="0.2">
      <c r="B127" s="14"/>
      <c r="C127" s="253" t="s">
        <v>896</v>
      </c>
      <c r="F127" s="253" t="s">
        <v>493</v>
      </c>
      <c r="G127" s="253" t="s">
        <v>395</v>
      </c>
      <c r="H127" s="277"/>
      <c r="I127" s="147"/>
      <c r="J127" s="147"/>
      <c r="K127" s="147"/>
      <c r="L127" s="147"/>
      <c r="M127" s="147"/>
      <c r="N127" s="147"/>
      <c r="O127" s="147"/>
      <c r="P127" s="147"/>
      <c r="Q127" s="147"/>
      <c r="R127" s="147"/>
      <c r="S127" s="147"/>
      <c r="T127" s="147"/>
      <c r="U127" s="147"/>
      <c r="V127" s="147"/>
      <c r="W127" s="147"/>
      <c r="X127" s="147"/>
      <c r="Y127" s="147"/>
      <c r="Z127" s="147"/>
      <c r="AA127" s="147"/>
      <c r="AB127" s="147"/>
      <c r="AC127" s="147"/>
      <c r="AD127" s="147"/>
      <c r="AE127" s="147"/>
      <c r="AF127" s="147"/>
      <c r="AG127" s="147"/>
      <c r="AH127" s="147"/>
      <c r="AI127" s="147"/>
      <c r="AJ127" s="147"/>
      <c r="AK127" s="147"/>
      <c r="AL127" s="147"/>
      <c r="AM127" s="147"/>
      <c r="AN127" s="147"/>
      <c r="AO127" s="147"/>
      <c r="AP127" s="147"/>
      <c r="AQ127" s="147"/>
      <c r="AR127" s="147"/>
      <c r="AS127" s="147"/>
      <c r="AT127" s="147"/>
      <c r="AU127" s="147">
        <f>IF(AU45=1,AU86,AU86-AT86)</f>
        <v>0</v>
      </c>
      <c r="AV127" s="147">
        <f>IF(AV45=1,AV86,AV86-AU86)</f>
        <v>0</v>
      </c>
    </row>
    <row r="128" spans="2:48" ht="12.95" customHeight="1" x14ac:dyDescent="0.2">
      <c r="B128" s="14"/>
      <c r="C128" s="253" t="s">
        <v>897</v>
      </c>
      <c r="F128" s="253" t="s">
        <v>493</v>
      </c>
      <c r="G128" s="253" t="s">
        <v>395</v>
      </c>
      <c r="H128" s="277"/>
      <c r="I128" s="147"/>
      <c r="J128" s="147"/>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7"/>
      <c r="AI128" s="147"/>
      <c r="AJ128" s="147"/>
      <c r="AK128" s="147"/>
      <c r="AL128" s="147"/>
      <c r="AM128" s="147"/>
      <c r="AN128" s="147"/>
      <c r="AO128" s="147"/>
      <c r="AP128" s="147"/>
      <c r="AQ128" s="147"/>
      <c r="AR128" s="147"/>
      <c r="AS128" s="147"/>
      <c r="AT128" s="147"/>
      <c r="AU128" s="147"/>
      <c r="AV128" s="147">
        <f>IF(AV46=1,AV87,AV87-AU87)</f>
        <v>0</v>
      </c>
    </row>
    <row r="129" spans="1:50" ht="12.95" customHeight="1" x14ac:dyDescent="0.2">
      <c r="B129" s="253" t="s">
        <v>495</v>
      </c>
      <c r="F129" s="253" t="s">
        <v>493</v>
      </c>
      <c r="G129" s="253" t="s">
        <v>432</v>
      </c>
      <c r="H129" s="124"/>
      <c r="I129" s="124">
        <f>LOG!$F$26*SUM(I89:I128)</f>
        <v>104425.35469020955</v>
      </c>
      <c r="J129" s="124">
        <f>LOG!$F$26*SUM(J89:J128)</f>
        <v>207527.88029277683</v>
      </c>
      <c r="K129" s="124">
        <f>LOG!$F$26*SUM(K89:K128)</f>
        <v>309073.58959783491</v>
      </c>
      <c r="L129" s="124">
        <f>LOG!$F$26*SUM(L89:L128)</f>
        <v>408859.71721294278</v>
      </c>
      <c r="M129" s="124">
        <f>LOG!$F$26*SUM(M89:M128)</f>
        <v>506712.52389290684</v>
      </c>
      <c r="N129" s="124">
        <f>LOG!$F$26*SUM(N89:N128)</f>
        <v>602485.10184446815</v>
      </c>
      <c r="O129" s="124">
        <f>LOG!$F$26*SUM(O89:O128)</f>
        <v>696055.21488790505</v>
      </c>
      <c r="P129" s="124">
        <f>LOG!$F$26*SUM(P89:P128)</f>
        <v>787323.19914197037</v>
      </c>
      <c r="Q129" s="124">
        <f>LOG!$F$26*SUM(Q89:Q128)</f>
        <v>876209.94317439373</v>
      </c>
      <c r="R129" s="124">
        <f>LOG!$F$26*SUM(R89:R128)</f>
        <v>962654.961085786</v>
      </c>
      <c r="S129" s="124">
        <f>LOG!$F$26*SUM(S89:S128)</f>
        <v>1046614.5675654307</v>
      </c>
      <c r="T129" s="124">
        <f>LOG!$F$26*SUM(T89:T128)</f>
        <v>1128060.160399908</v>
      </c>
      <c r="U129" s="124">
        <f>LOG!$F$26*SUM(U89:U128)</f>
        <v>1206976.6130832962</v>
      </c>
      <c r="V129" s="124">
        <f>LOG!$F$26*SUM(V89:V128)</f>
        <v>1283360.7779474061</v>
      </c>
      <c r="W129" s="124">
        <f>LOG!$F$26*SUM(W89:W128)</f>
        <v>1357220.0984977181</v>
      </c>
      <c r="X129" s="124">
        <f>LOG!$F$26*SUM(X89:X128)</f>
        <v>1428571.3283179656</v>
      </c>
      <c r="Y129" s="124">
        <f>LOG!$F$26*SUM(Y89:Y128)</f>
        <v>1497439.3529197597</v>
      </c>
      <c r="Z129" s="124">
        <f>LOG!$F$26*SUM(Z89:Z128)</f>
        <v>1563856.1102016247</v>
      </c>
      <c r="AA129" s="124">
        <f>LOG!$F$26*SUM(AA89:AA128)</f>
        <v>1627859.6046924507</v>
      </c>
      <c r="AB129" s="124">
        <f>LOG!$F$26*SUM(AB89:AB128)</f>
        <v>1689493.0104445687</v>
      </c>
      <c r="AC129" s="124">
        <f>LOG!$F$26*SUM(AC89:AC128)</f>
        <v>1748803.85727531</v>
      </c>
      <c r="AD129" s="124">
        <f>LOG!$F$26*SUM(AD89:AD128)</f>
        <v>1805843.2950031981</v>
      </c>
      <c r="AE129" s="124">
        <f>LOG!$F$26*SUM(AE89:AE128)</f>
        <v>1860665.4303609265</v>
      </c>
      <c r="AF129" s="124">
        <f>LOG!$F$26*SUM(AF89:AF128)</f>
        <v>1913326.7313717562</v>
      </c>
      <c r="AG129" s="124">
        <f>LOG!$F$26*SUM(AG89:AG128)</f>
        <v>1963885.4941318198</v>
      </c>
      <c r="AH129" s="124">
        <f>LOG!$F$26*SUM(AH89:AH128)</f>
        <v>1907976.0124443835</v>
      </c>
      <c r="AI129" s="124">
        <f>LOG!$F$26*SUM(AI89:AI128)</f>
        <v>1851407.0482012464</v>
      </c>
      <c r="AJ129" s="124">
        <f>LOG!$F$26*SUM(AJ89:AJ128)</f>
        <v>1794473.7220627735</v>
      </c>
      <c r="AK129" s="124">
        <f>LOG!$F$26*SUM(AK89:AK128)</f>
        <v>1737440.1582598172</v>
      </c>
      <c r="AL129" s="124">
        <f>LOG!$F$26*SUM(AL89:AL128)</f>
        <v>1680541.390745311</v>
      </c>
      <c r="AM129" s="124">
        <f>LOG!$F$26*SUM(AM89:AM128)</f>
        <v>1623985.3051482639</v>
      </c>
      <c r="AN129" s="124">
        <f>LOG!$F$26*SUM(AN89:AN128)</f>
        <v>1567954.5792440393</v>
      </c>
      <c r="AO129" s="124">
        <f>LOG!$F$26*SUM(AO89:AO128)</f>
        <v>1512608.5931128694</v>
      </c>
      <c r="AP129" s="124">
        <f>LOG!$F$26*SUM(AP89:AP128)</f>
        <v>1458085.2871169217</v>
      </c>
      <c r="AQ129" s="124">
        <f>LOG!$F$26*SUM(AQ89:AQ128)</f>
        <v>1404502.951524911</v>
      </c>
      <c r="AR129" s="124">
        <f>LOG!$F$26*SUM(AR89:AR128)</f>
        <v>1351961.9362563337</v>
      </c>
      <c r="AS129" s="124">
        <f>LOG!$F$26*SUM(AS89:AS128)</f>
        <v>1300546.2729771486</v>
      </c>
      <c r="AT129" s="124">
        <f>LOG!$F$26*SUM(AT89:AT128)</f>
        <v>1250325.2048015585</v>
      </c>
      <c r="AU129" s="124">
        <f>LOG!$F$26*SUM(AU89:AU128)</f>
        <v>1201354.6212637622</v>
      </c>
      <c r="AV129" s="124">
        <f>LOG!$F$26*SUM(AV89:AV128)</f>
        <v>1153678.398123428</v>
      </c>
    </row>
    <row r="130" spans="1:50" ht="12.95" customHeight="1" x14ac:dyDescent="0.2">
      <c r="A130" s="73"/>
      <c r="B130" s="14"/>
      <c r="F130" s="73"/>
      <c r="H130" s="124"/>
      <c r="I130" s="147"/>
      <c r="J130" s="147"/>
      <c r="K130" s="147"/>
      <c r="L130" s="147"/>
      <c r="M130" s="147"/>
      <c r="N130" s="147"/>
      <c r="O130" s="147"/>
      <c r="P130" s="147"/>
      <c r="Q130" s="147"/>
      <c r="R130" s="147"/>
      <c r="S130" s="147"/>
      <c r="T130" s="147"/>
      <c r="U130" s="147"/>
      <c r="V130" s="147"/>
      <c r="W130" s="147"/>
      <c r="X130" s="147"/>
      <c r="Y130" s="147"/>
      <c r="Z130" s="147"/>
      <c r="AA130" s="147"/>
      <c r="AB130" s="147"/>
      <c r="AC130" s="147"/>
      <c r="AD130" s="147"/>
      <c r="AE130" s="147"/>
      <c r="AF130" s="147"/>
      <c r="AG130" s="147"/>
      <c r="AH130" s="147"/>
      <c r="AI130" s="147"/>
      <c r="AJ130" s="147"/>
      <c r="AK130" s="147"/>
      <c r="AL130" s="147"/>
      <c r="AM130" s="147"/>
      <c r="AN130" s="147"/>
      <c r="AO130" s="147"/>
      <c r="AP130" s="147"/>
      <c r="AQ130" s="147"/>
      <c r="AR130" s="147"/>
      <c r="AS130" s="147"/>
      <c r="AT130" s="147"/>
      <c r="AU130" s="147"/>
      <c r="AV130" s="147"/>
    </row>
    <row r="131" spans="1:50" ht="12.95" customHeight="1" x14ac:dyDescent="0.25">
      <c r="B131" s="307" t="s">
        <v>974</v>
      </c>
      <c r="C131" s="106"/>
      <c r="D131" s="106"/>
      <c r="E131" s="106"/>
      <c r="F131" s="106"/>
      <c r="G131" s="106"/>
      <c r="H131" s="106"/>
      <c r="I131" s="106"/>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8"/>
    </row>
    <row r="132" spans="1:50" ht="12.95" customHeight="1" x14ac:dyDescent="0.25">
      <c r="B132" s="19" t="s">
        <v>300</v>
      </c>
      <c r="C132" s="75"/>
      <c r="D132" s="75"/>
      <c r="E132" s="74"/>
      <c r="F132" s="56" t="s">
        <v>491</v>
      </c>
      <c r="G132" s="113" t="s">
        <v>1</v>
      </c>
      <c r="H132" s="114" t="s">
        <v>456</v>
      </c>
      <c r="I132" s="114" t="s">
        <v>381</v>
      </c>
      <c r="J132" s="56" t="s">
        <v>382</v>
      </c>
      <c r="K132" s="56" t="s">
        <v>383</v>
      </c>
      <c r="L132" s="56" t="s">
        <v>384</v>
      </c>
      <c r="M132" s="56" t="s">
        <v>385</v>
      </c>
      <c r="N132" s="56" t="s">
        <v>386</v>
      </c>
      <c r="O132" s="56" t="s">
        <v>387</v>
      </c>
      <c r="P132" s="56" t="s">
        <v>388</v>
      </c>
      <c r="Q132" s="56" t="s">
        <v>389</v>
      </c>
      <c r="R132" s="56" t="s">
        <v>390</v>
      </c>
      <c r="S132" s="56" t="s">
        <v>401</v>
      </c>
      <c r="T132" s="56" t="s">
        <v>402</v>
      </c>
      <c r="U132" s="56" t="s">
        <v>403</v>
      </c>
      <c r="V132" s="56" t="s">
        <v>404</v>
      </c>
      <c r="W132" s="56" t="s">
        <v>405</v>
      </c>
      <c r="X132" s="56" t="s">
        <v>406</v>
      </c>
      <c r="Y132" s="56" t="s">
        <v>407</v>
      </c>
      <c r="Z132" s="56" t="s">
        <v>408</v>
      </c>
      <c r="AA132" s="56" t="s">
        <v>409</v>
      </c>
      <c r="AB132" s="56" t="s">
        <v>410</v>
      </c>
      <c r="AC132" s="56" t="s">
        <v>411</v>
      </c>
      <c r="AD132" s="56" t="s">
        <v>412</v>
      </c>
      <c r="AE132" s="56" t="s">
        <v>413</v>
      </c>
      <c r="AF132" s="56" t="s">
        <v>414</v>
      </c>
      <c r="AG132" s="56" t="s">
        <v>415</v>
      </c>
      <c r="AH132" s="56" t="s">
        <v>416</v>
      </c>
      <c r="AI132" s="56" t="s">
        <v>417</v>
      </c>
      <c r="AJ132" s="56" t="s">
        <v>418</v>
      </c>
      <c r="AK132" s="56" t="s">
        <v>419</v>
      </c>
      <c r="AL132" s="56" t="s">
        <v>420</v>
      </c>
      <c r="AM132" s="56" t="s">
        <v>421</v>
      </c>
      <c r="AN132" s="56" t="s">
        <v>422</v>
      </c>
      <c r="AO132" s="56" t="s">
        <v>423</v>
      </c>
      <c r="AP132" s="56" t="s">
        <v>424</v>
      </c>
      <c r="AQ132" s="56" t="s">
        <v>425</v>
      </c>
      <c r="AR132" s="56" t="s">
        <v>426</v>
      </c>
      <c r="AS132" s="56" t="s">
        <v>427</v>
      </c>
      <c r="AT132" s="56" t="s">
        <v>428</v>
      </c>
      <c r="AU132" s="56" t="s">
        <v>429</v>
      </c>
      <c r="AV132" s="56" t="s">
        <v>430</v>
      </c>
      <c r="AW132" s="5" t="s">
        <v>2</v>
      </c>
      <c r="AX132" s="14"/>
    </row>
    <row r="133" spans="1:50" ht="12.95" customHeight="1" x14ac:dyDescent="0.2">
      <c r="B133" s="14" t="s">
        <v>970</v>
      </c>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1"/>
      <c r="AE133" s="171"/>
      <c r="AF133" s="171"/>
      <c r="AG133" s="171"/>
      <c r="AH133" s="171"/>
      <c r="AI133" s="171"/>
      <c r="AJ133" s="171"/>
      <c r="AK133" s="171"/>
      <c r="AL133" s="171"/>
      <c r="AM133" s="171"/>
      <c r="AN133" s="171"/>
      <c r="AO133" s="171"/>
      <c r="AP133" s="171"/>
      <c r="AQ133" s="171"/>
      <c r="AR133" s="171"/>
      <c r="AS133" s="171"/>
      <c r="AT133" s="171"/>
      <c r="AU133" s="171"/>
      <c r="AV133" s="171"/>
    </row>
    <row r="134" spans="1:50" ht="12.95" customHeight="1" x14ac:dyDescent="0.2">
      <c r="B134" s="14"/>
      <c r="C134" s="372">
        <v>1</v>
      </c>
      <c r="D134" s="372"/>
      <c r="E134" s="372"/>
      <c r="F134" s="253" t="s">
        <v>492</v>
      </c>
      <c r="G134" s="253" t="s">
        <v>4</v>
      </c>
      <c r="H134" s="124">
        <f>LOG!$F$8</f>
        <v>25</v>
      </c>
      <c r="I134" s="124">
        <f>MOD(H134,LOG!$F$8)+1</f>
        <v>1</v>
      </c>
      <c r="J134" s="124">
        <f>MOD(I134,LOG!$F$8)+1</f>
        <v>2</v>
      </c>
      <c r="K134" s="124">
        <f>MOD(J134,LOG!$F$8)+1</f>
        <v>3</v>
      </c>
      <c r="L134" s="124">
        <f>MOD(K134,LOG!$F$8)+1</f>
        <v>4</v>
      </c>
      <c r="M134" s="124">
        <f>MOD(L134,LOG!$F$8)+1</f>
        <v>5</v>
      </c>
      <c r="N134" s="124">
        <f>MOD(M134,LOG!$F$8)+1</f>
        <v>6</v>
      </c>
      <c r="O134" s="124">
        <f>MOD(N134,LOG!$F$8)+1</f>
        <v>7</v>
      </c>
      <c r="P134" s="124">
        <f>MOD(O134,LOG!$F$8)+1</f>
        <v>8</v>
      </c>
      <c r="Q134" s="124">
        <f>MOD(P134,LOG!$F$8)+1</f>
        <v>9</v>
      </c>
      <c r="R134" s="124">
        <f>MOD(Q134,LOG!$F$8)+1</f>
        <v>10</v>
      </c>
      <c r="S134" s="124">
        <f>MOD(R134,LOG!$F$8)+1</f>
        <v>11</v>
      </c>
      <c r="T134" s="124">
        <f>MOD(S134,LOG!$F$8)+1</f>
        <v>12</v>
      </c>
      <c r="U134" s="124">
        <f>MOD(T134,LOG!$F$8)+1</f>
        <v>13</v>
      </c>
      <c r="V134" s="124">
        <f>MOD(U134,LOG!$F$8)+1</f>
        <v>14</v>
      </c>
      <c r="W134" s="124">
        <f>MOD(V134,LOG!$F$8)+1</f>
        <v>15</v>
      </c>
      <c r="X134" s="124">
        <f>MOD(W134,LOG!$F$8)+1</f>
        <v>16</v>
      </c>
      <c r="Y134" s="124">
        <f>MOD(X134,LOG!$F$8)+1</f>
        <v>17</v>
      </c>
      <c r="Z134" s="124">
        <f>MOD(Y134,LOG!$F$8)+1</f>
        <v>18</v>
      </c>
      <c r="AA134" s="124">
        <f>MOD(Z134,LOG!$F$8)+1</f>
        <v>19</v>
      </c>
      <c r="AB134" s="124">
        <f>MOD(AA134,LOG!$F$8)+1</f>
        <v>20</v>
      </c>
      <c r="AC134" s="124">
        <f>MOD(AB134,LOG!$F$8)+1</f>
        <v>21</v>
      </c>
      <c r="AD134" s="124">
        <f>MOD(AC134,LOG!$F$8)+1</f>
        <v>22</v>
      </c>
      <c r="AE134" s="124">
        <f>MOD(AD134,LOG!$F$8)+1</f>
        <v>23</v>
      </c>
      <c r="AF134" s="124">
        <f>MOD(AE134,LOG!$F$8)+1</f>
        <v>24</v>
      </c>
      <c r="AG134" s="124">
        <f>MOD(AF134,LOG!$F$8)+1</f>
        <v>25</v>
      </c>
      <c r="AH134" s="124">
        <f>MOD(AG134,LOG!$F$8)+1</f>
        <v>1</v>
      </c>
      <c r="AI134" s="124">
        <f>MOD(AH134,LOG!$F$8)+1</f>
        <v>2</v>
      </c>
      <c r="AJ134" s="124">
        <f>MOD(AI134,LOG!$F$8)+1</f>
        <v>3</v>
      </c>
      <c r="AK134" s="124">
        <f>MOD(AJ134,LOG!$F$8)+1</f>
        <v>4</v>
      </c>
      <c r="AL134" s="124">
        <f>MOD(AK134,LOG!$F$8)+1</f>
        <v>5</v>
      </c>
      <c r="AM134" s="124">
        <f>MOD(AL134,LOG!$F$8)+1</f>
        <v>6</v>
      </c>
      <c r="AN134" s="124">
        <f>MOD(AM134,LOG!$F$8)+1</f>
        <v>7</v>
      </c>
      <c r="AO134" s="124">
        <f>MOD(AN134,LOG!$F$8)+1</f>
        <v>8</v>
      </c>
      <c r="AP134" s="124">
        <f>MOD(AO134,LOG!$F$8)+1</f>
        <v>9</v>
      </c>
      <c r="AQ134" s="124">
        <f>MOD(AP134,LOG!$F$8)+1</f>
        <v>10</v>
      </c>
      <c r="AR134" s="124">
        <f>MOD(AQ134,LOG!$F$8)+1</f>
        <v>11</v>
      </c>
      <c r="AS134" s="124">
        <f>MOD(AR134,LOG!$F$8)+1</f>
        <v>12</v>
      </c>
      <c r="AT134" s="124">
        <f>MOD(AS134,LOG!$F$8)+1</f>
        <v>13</v>
      </c>
      <c r="AU134" s="124">
        <f>MOD(AT134,LOG!$F$8)+1</f>
        <v>14</v>
      </c>
      <c r="AV134" s="124">
        <f>MOD(AU134,LOG!$F$8)+1</f>
        <v>15</v>
      </c>
    </row>
    <row r="135" spans="1:50" ht="12.95" customHeight="1" x14ac:dyDescent="0.2">
      <c r="B135" s="14"/>
      <c r="C135" s="372">
        <v>2</v>
      </c>
      <c r="D135" s="372"/>
      <c r="E135" s="372"/>
      <c r="F135" s="253" t="s">
        <v>492</v>
      </c>
      <c r="G135" s="253" t="s">
        <v>4</v>
      </c>
      <c r="H135" s="124"/>
      <c r="I135" s="124">
        <f>IF($C135&gt;LOG!$F$8,0,H134)</f>
        <v>25</v>
      </c>
      <c r="J135" s="124">
        <f>IF($C135&gt;LOG!$F$8,0,I134)</f>
        <v>1</v>
      </c>
      <c r="K135" s="124">
        <f>IF($C135&gt;LOG!$F$8,0,J134)</f>
        <v>2</v>
      </c>
      <c r="L135" s="124">
        <f>IF($C135&gt;LOG!$F$8,0,K134)</f>
        <v>3</v>
      </c>
      <c r="M135" s="124">
        <f>IF($C135&gt;LOG!$F$8,0,L134)</f>
        <v>4</v>
      </c>
      <c r="N135" s="124">
        <f>IF($C135&gt;LOG!$F$8,0,M134)</f>
        <v>5</v>
      </c>
      <c r="O135" s="124">
        <f>IF($C135&gt;LOG!$F$8,0,N134)</f>
        <v>6</v>
      </c>
      <c r="P135" s="124">
        <f>IF($C135&gt;LOG!$F$8,0,O134)</f>
        <v>7</v>
      </c>
      <c r="Q135" s="124">
        <f>IF($C135&gt;LOG!$F$8,0,P134)</f>
        <v>8</v>
      </c>
      <c r="R135" s="124">
        <f>IF($C135&gt;LOG!$F$8,0,Q134)</f>
        <v>9</v>
      </c>
      <c r="S135" s="124">
        <f>IF($C135&gt;LOG!$F$8,0,R134)</f>
        <v>10</v>
      </c>
      <c r="T135" s="124">
        <f>IF($C135&gt;LOG!$F$8,0,S134)</f>
        <v>11</v>
      </c>
      <c r="U135" s="124">
        <f>IF($C135&gt;LOG!$F$8,0,T134)</f>
        <v>12</v>
      </c>
      <c r="V135" s="124">
        <f>IF($C135&gt;LOG!$F$8,0,U134)</f>
        <v>13</v>
      </c>
      <c r="W135" s="124">
        <f>IF($C135&gt;LOG!$F$8,0,V134)</f>
        <v>14</v>
      </c>
      <c r="X135" s="124">
        <f>IF($C135&gt;LOG!$F$8,0,W134)</f>
        <v>15</v>
      </c>
      <c r="Y135" s="124">
        <f>IF($C135&gt;LOG!$F$8,0,X134)</f>
        <v>16</v>
      </c>
      <c r="Z135" s="124">
        <f>IF($C135&gt;LOG!$F$8,0,Y134)</f>
        <v>17</v>
      </c>
      <c r="AA135" s="124">
        <f>IF($C135&gt;LOG!$F$8,0,Z134)</f>
        <v>18</v>
      </c>
      <c r="AB135" s="124">
        <f>IF($C135&gt;LOG!$F$8,0,AA134)</f>
        <v>19</v>
      </c>
      <c r="AC135" s="124">
        <f>IF($C135&gt;LOG!$F$8,0,AB134)</f>
        <v>20</v>
      </c>
      <c r="AD135" s="124">
        <f>IF($C135&gt;LOG!$F$8,0,AC134)</f>
        <v>21</v>
      </c>
      <c r="AE135" s="124">
        <f>IF($C135&gt;LOG!$F$8,0,AD134)</f>
        <v>22</v>
      </c>
      <c r="AF135" s="124">
        <f>IF($C135&gt;LOG!$F$8,0,AE134)</f>
        <v>23</v>
      </c>
      <c r="AG135" s="124">
        <f>IF($C135&gt;LOG!$F$8,0,AF134)</f>
        <v>24</v>
      </c>
      <c r="AH135" s="124">
        <f>IF($C135&gt;LOG!$F$8,0,AG134)</f>
        <v>25</v>
      </c>
      <c r="AI135" s="124">
        <f>IF($C135&gt;LOG!$F$8,0,AH134)</f>
        <v>1</v>
      </c>
      <c r="AJ135" s="124">
        <f>IF($C135&gt;LOG!$F$8,0,AI134)</f>
        <v>2</v>
      </c>
      <c r="AK135" s="124">
        <f>IF($C135&gt;LOG!$F$8,0,AJ134)</f>
        <v>3</v>
      </c>
      <c r="AL135" s="124">
        <f>IF($C135&gt;LOG!$F$8,0,AK134)</f>
        <v>4</v>
      </c>
      <c r="AM135" s="124">
        <f>IF($C135&gt;LOG!$F$8,0,AL134)</f>
        <v>5</v>
      </c>
      <c r="AN135" s="124">
        <f>IF($C135&gt;LOG!$F$8,0,AM134)</f>
        <v>6</v>
      </c>
      <c r="AO135" s="124">
        <f>IF($C135&gt;LOG!$F$8,0,AN134)</f>
        <v>7</v>
      </c>
      <c r="AP135" s="124">
        <f>IF($C135&gt;LOG!$F$8,0,AO134)</f>
        <v>8</v>
      </c>
      <c r="AQ135" s="124">
        <f>IF($C135&gt;LOG!$F$8,0,AP134)</f>
        <v>9</v>
      </c>
      <c r="AR135" s="124">
        <f>IF($C135&gt;LOG!$F$8,0,AQ134)</f>
        <v>10</v>
      </c>
      <c r="AS135" s="124">
        <f>IF($C135&gt;LOG!$F$8,0,AR134)</f>
        <v>11</v>
      </c>
      <c r="AT135" s="124">
        <f>IF($C135&gt;LOG!$F$8,0,AS134)</f>
        <v>12</v>
      </c>
      <c r="AU135" s="124">
        <f>IF($C135&gt;LOG!$F$8,0,AT134)</f>
        <v>13</v>
      </c>
      <c r="AV135" s="124">
        <f>IF($C135&gt;LOG!$F$8,0,AU134)</f>
        <v>14</v>
      </c>
    </row>
    <row r="136" spans="1:50" ht="12.95" customHeight="1" x14ac:dyDescent="0.2">
      <c r="B136" s="14"/>
      <c r="C136" s="372">
        <v>3</v>
      </c>
      <c r="D136" s="372"/>
      <c r="E136" s="372"/>
      <c r="F136" s="253" t="s">
        <v>492</v>
      </c>
      <c r="G136" s="253" t="s">
        <v>4</v>
      </c>
      <c r="H136" s="124"/>
      <c r="I136" s="124"/>
      <c r="J136" s="124">
        <f>IF($C136&gt;LOG!$F$8,0,I135)</f>
        <v>25</v>
      </c>
      <c r="K136" s="124">
        <f>IF($C136&gt;LOG!$F$8,0,J135)</f>
        <v>1</v>
      </c>
      <c r="L136" s="124">
        <f>IF($C136&gt;LOG!$F$8,0,K135)</f>
        <v>2</v>
      </c>
      <c r="M136" s="124">
        <f>IF($C136&gt;LOG!$F$8,0,L135)</f>
        <v>3</v>
      </c>
      <c r="N136" s="124">
        <f>IF($C136&gt;LOG!$F$8,0,M135)</f>
        <v>4</v>
      </c>
      <c r="O136" s="124">
        <f>IF($C136&gt;LOG!$F$8,0,N135)</f>
        <v>5</v>
      </c>
      <c r="P136" s="124">
        <f>IF($C136&gt;LOG!$F$8,0,O135)</f>
        <v>6</v>
      </c>
      <c r="Q136" s="124">
        <f>IF($C136&gt;LOG!$F$8,0,P135)</f>
        <v>7</v>
      </c>
      <c r="R136" s="124">
        <f>IF($C136&gt;LOG!$F$8,0,Q135)</f>
        <v>8</v>
      </c>
      <c r="S136" s="124">
        <f>IF($C136&gt;LOG!$F$8,0,R135)</f>
        <v>9</v>
      </c>
      <c r="T136" s="124">
        <f>IF($C136&gt;LOG!$F$8,0,S135)</f>
        <v>10</v>
      </c>
      <c r="U136" s="124">
        <f>IF($C136&gt;LOG!$F$8,0,T135)</f>
        <v>11</v>
      </c>
      <c r="V136" s="124">
        <f>IF($C136&gt;LOG!$F$8,0,U135)</f>
        <v>12</v>
      </c>
      <c r="W136" s="124">
        <f>IF($C136&gt;LOG!$F$8,0,V135)</f>
        <v>13</v>
      </c>
      <c r="X136" s="124">
        <f>IF($C136&gt;LOG!$F$8,0,W135)</f>
        <v>14</v>
      </c>
      <c r="Y136" s="124">
        <f>IF($C136&gt;LOG!$F$8,0,X135)</f>
        <v>15</v>
      </c>
      <c r="Z136" s="124">
        <f>IF($C136&gt;LOG!$F$8,0,Y135)</f>
        <v>16</v>
      </c>
      <c r="AA136" s="124">
        <f>IF($C136&gt;LOG!$F$8,0,Z135)</f>
        <v>17</v>
      </c>
      <c r="AB136" s="124">
        <f>IF($C136&gt;LOG!$F$8,0,AA135)</f>
        <v>18</v>
      </c>
      <c r="AC136" s="124">
        <f>IF($C136&gt;LOG!$F$8,0,AB135)</f>
        <v>19</v>
      </c>
      <c r="AD136" s="124">
        <f>IF($C136&gt;LOG!$F$8,0,AC135)</f>
        <v>20</v>
      </c>
      <c r="AE136" s="124">
        <f>IF($C136&gt;LOG!$F$8,0,AD135)</f>
        <v>21</v>
      </c>
      <c r="AF136" s="124">
        <f>IF($C136&gt;LOG!$F$8,0,AE135)</f>
        <v>22</v>
      </c>
      <c r="AG136" s="124">
        <f>IF($C136&gt;LOG!$F$8,0,AF135)</f>
        <v>23</v>
      </c>
      <c r="AH136" s="124">
        <f>IF($C136&gt;LOG!$F$8,0,AG135)</f>
        <v>24</v>
      </c>
      <c r="AI136" s="124">
        <f>IF($C136&gt;LOG!$F$8,0,AH135)</f>
        <v>25</v>
      </c>
      <c r="AJ136" s="124">
        <f>IF($C136&gt;LOG!$F$8,0,AI135)</f>
        <v>1</v>
      </c>
      <c r="AK136" s="124">
        <f>IF($C136&gt;LOG!$F$8,0,AJ135)</f>
        <v>2</v>
      </c>
      <c r="AL136" s="124">
        <f>IF($C136&gt;LOG!$F$8,0,AK135)</f>
        <v>3</v>
      </c>
      <c r="AM136" s="124">
        <f>IF($C136&gt;LOG!$F$8,0,AL135)</f>
        <v>4</v>
      </c>
      <c r="AN136" s="124">
        <f>IF($C136&gt;LOG!$F$8,0,AM135)</f>
        <v>5</v>
      </c>
      <c r="AO136" s="124">
        <f>IF($C136&gt;LOG!$F$8,0,AN135)</f>
        <v>6</v>
      </c>
      <c r="AP136" s="124">
        <f>IF($C136&gt;LOG!$F$8,0,AO135)</f>
        <v>7</v>
      </c>
      <c r="AQ136" s="124">
        <f>IF($C136&gt;LOG!$F$8,0,AP135)</f>
        <v>8</v>
      </c>
      <c r="AR136" s="124">
        <f>IF($C136&gt;LOG!$F$8,0,AQ135)</f>
        <v>9</v>
      </c>
      <c r="AS136" s="124">
        <f>IF($C136&gt;LOG!$F$8,0,AR135)</f>
        <v>10</v>
      </c>
      <c r="AT136" s="124">
        <f>IF($C136&gt;LOG!$F$8,0,AS135)</f>
        <v>11</v>
      </c>
      <c r="AU136" s="124">
        <f>IF($C136&gt;LOG!$F$8,0,AT135)</f>
        <v>12</v>
      </c>
      <c r="AV136" s="124">
        <f>IF($C136&gt;LOG!$F$8,0,AU135)</f>
        <v>13</v>
      </c>
    </row>
    <row r="137" spans="1:50" ht="12.95" customHeight="1" x14ac:dyDescent="0.2">
      <c r="B137" s="14"/>
      <c r="C137" s="372">
        <v>4</v>
      </c>
      <c r="D137" s="372"/>
      <c r="E137" s="372"/>
      <c r="F137" s="253" t="s">
        <v>492</v>
      </c>
      <c r="G137" s="253" t="s">
        <v>4</v>
      </c>
      <c r="H137" s="124"/>
      <c r="I137" s="124"/>
      <c r="J137" s="124"/>
      <c r="K137" s="124">
        <f>IF($C137&gt;LOG!$F$8,0,J136)</f>
        <v>25</v>
      </c>
      <c r="L137" s="124">
        <f>IF($C137&gt;LOG!$F$8,0,K136)</f>
        <v>1</v>
      </c>
      <c r="M137" s="124">
        <f>IF($C137&gt;LOG!$F$8,0,L136)</f>
        <v>2</v>
      </c>
      <c r="N137" s="124">
        <f>IF($C137&gt;LOG!$F$8,0,M136)</f>
        <v>3</v>
      </c>
      <c r="O137" s="124">
        <f>IF($C137&gt;LOG!$F$8,0,N136)</f>
        <v>4</v>
      </c>
      <c r="P137" s="124">
        <f>IF($C137&gt;LOG!$F$8,0,O136)</f>
        <v>5</v>
      </c>
      <c r="Q137" s="124">
        <f>IF($C137&gt;LOG!$F$8,0,P136)</f>
        <v>6</v>
      </c>
      <c r="R137" s="124">
        <f>IF($C137&gt;LOG!$F$8,0,Q136)</f>
        <v>7</v>
      </c>
      <c r="S137" s="124">
        <f>IF($C137&gt;LOG!$F$8,0,R136)</f>
        <v>8</v>
      </c>
      <c r="T137" s="124">
        <f>IF($C137&gt;LOG!$F$8,0,S136)</f>
        <v>9</v>
      </c>
      <c r="U137" s="124">
        <f>IF($C137&gt;LOG!$F$8,0,T136)</f>
        <v>10</v>
      </c>
      <c r="V137" s="124">
        <f>IF($C137&gt;LOG!$F$8,0,U136)</f>
        <v>11</v>
      </c>
      <c r="W137" s="124">
        <f>IF($C137&gt;LOG!$F$8,0,V136)</f>
        <v>12</v>
      </c>
      <c r="X137" s="124">
        <f>IF($C137&gt;LOG!$F$8,0,W136)</f>
        <v>13</v>
      </c>
      <c r="Y137" s="124">
        <f>IF($C137&gt;LOG!$F$8,0,X136)</f>
        <v>14</v>
      </c>
      <c r="Z137" s="124">
        <f>IF($C137&gt;LOG!$F$8,0,Y136)</f>
        <v>15</v>
      </c>
      <c r="AA137" s="124">
        <f>IF($C137&gt;LOG!$F$8,0,Z136)</f>
        <v>16</v>
      </c>
      <c r="AB137" s="124">
        <f>IF($C137&gt;LOG!$F$8,0,AA136)</f>
        <v>17</v>
      </c>
      <c r="AC137" s="124">
        <f>IF($C137&gt;LOG!$F$8,0,AB136)</f>
        <v>18</v>
      </c>
      <c r="AD137" s="124">
        <f>IF($C137&gt;LOG!$F$8,0,AC136)</f>
        <v>19</v>
      </c>
      <c r="AE137" s="124">
        <f>IF($C137&gt;LOG!$F$8,0,AD136)</f>
        <v>20</v>
      </c>
      <c r="AF137" s="124">
        <f>IF($C137&gt;LOG!$F$8,0,AE136)</f>
        <v>21</v>
      </c>
      <c r="AG137" s="124">
        <f>IF($C137&gt;LOG!$F$8,0,AF136)</f>
        <v>22</v>
      </c>
      <c r="AH137" s="124">
        <f>IF($C137&gt;LOG!$F$8,0,AG136)</f>
        <v>23</v>
      </c>
      <c r="AI137" s="124">
        <f>IF($C137&gt;LOG!$F$8,0,AH136)</f>
        <v>24</v>
      </c>
      <c r="AJ137" s="124">
        <f>IF($C137&gt;LOG!$F$8,0,AI136)</f>
        <v>25</v>
      </c>
      <c r="AK137" s="124">
        <f>IF($C137&gt;LOG!$F$8,0,AJ136)</f>
        <v>1</v>
      </c>
      <c r="AL137" s="124">
        <f>IF($C137&gt;LOG!$F$8,0,AK136)</f>
        <v>2</v>
      </c>
      <c r="AM137" s="124">
        <f>IF($C137&gt;LOG!$F$8,0,AL136)</f>
        <v>3</v>
      </c>
      <c r="AN137" s="124">
        <f>IF($C137&gt;LOG!$F$8,0,AM136)</f>
        <v>4</v>
      </c>
      <c r="AO137" s="124">
        <f>IF($C137&gt;LOG!$F$8,0,AN136)</f>
        <v>5</v>
      </c>
      <c r="AP137" s="124">
        <f>IF($C137&gt;LOG!$F$8,0,AO136)</f>
        <v>6</v>
      </c>
      <c r="AQ137" s="124">
        <f>IF($C137&gt;LOG!$F$8,0,AP136)</f>
        <v>7</v>
      </c>
      <c r="AR137" s="124">
        <f>IF($C137&gt;LOG!$F$8,0,AQ136)</f>
        <v>8</v>
      </c>
      <c r="AS137" s="124">
        <f>IF($C137&gt;LOG!$F$8,0,AR136)</f>
        <v>9</v>
      </c>
      <c r="AT137" s="124">
        <f>IF($C137&gt;LOG!$F$8,0,AS136)</f>
        <v>10</v>
      </c>
      <c r="AU137" s="124">
        <f>IF($C137&gt;LOG!$F$8,0,AT136)</f>
        <v>11</v>
      </c>
      <c r="AV137" s="124">
        <f>IF($C137&gt;LOG!$F$8,0,AU136)</f>
        <v>12</v>
      </c>
    </row>
    <row r="138" spans="1:50" ht="12.95" customHeight="1" x14ac:dyDescent="0.2">
      <c r="B138" s="14"/>
      <c r="C138" s="372">
        <v>5</v>
      </c>
      <c r="D138" s="372"/>
      <c r="E138" s="372"/>
      <c r="F138" s="253" t="s">
        <v>492</v>
      </c>
      <c r="G138" s="253" t="s">
        <v>4</v>
      </c>
      <c r="H138" s="124"/>
      <c r="I138" s="124"/>
      <c r="J138" s="124"/>
      <c r="K138" s="124"/>
      <c r="L138" s="124">
        <f>IF($C138&gt;LOG!$F$8,0,K137)</f>
        <v>25</v>
      </c>
      <c r="M138" s="124">
        <f>IF($C138&gt;LOG!$F$8,0,L137)</f>
        <v>1</v>
      </c>
      <c r="N138" s="124">
        <f>IF($C138&gt;LOG!$F$8,0,M137)</f>
        <v>2</v>
      </c>
      <c r="O138" s="124">
        <f>IF($C138&gt;LOG!$F$8,0,N137)</f>
        <v>3</v>
      </c>
      <c r="P138" s="124">
        <f>IF($C138&gt;LOG!$F$8,0,O137)</f>
        <v>4</v>
      </c>
      <c r="Q138" s="124">
        <f>IF($C138&gt;LOG!$F$8,0,P137)</f>
        <v>5</v>
      </c>
      <c r="R138" s="124">
        <f>IF($C138&gt;LOG!$F$8,0,Q137)</f>
        <v>6</v>
      </c>
      <c r="S138" s="124">
        <f>IF($C138&gt;LOG!$F$8,0,R137)</f>
        <v>7</v>
      </c>
      <c r="T138" s="124">
        <f>IF($C138&gt;LOG!$F$8,0,S137)</f>
        <v>8</v>
      </c>
      <c r="U138" s="124">
        <f>IF($C138&gt;LOG!$F$8,0,T137)</f>
        <v>9</v>
      </c>
      <c r="V138" s="124">
        <f>IF($C138&gt;LOG!$F$8,0,U137)</f>
        <v>10</v>
      </c>
      <c r="W138" s="124">
        <f>IF($C138&gt;LOG!$F$8,0,V137)</f>
        <v>11</v>
      </c>
      <c r="X138" s="124">
        <f>IF($C138&gt;LOG!$F$8,0,W137)</f>
        <v>12</v>
      </c>
      <c r="Y138" s="124">
        <f>IF($C138&gt;LOG!$F$8,0,X137)</f>
        <v>13</v>
      </c>
      <c r="Z138" s="124">
        <f>IF($C138&gt;LOG!$F$8,0,Y137)</f>
        <v>14</v>
      </c>
      <c r="AA138" s="124">
        <f>IF($C138&gt;LOG!$F$8,0,Z137)</f>
        <v>15</v>
      </c>
      <c r="AB138" s="124">
        <f>IF($C138&gt;LOG!$F$8,0,AA137)</f>
        <v>16</v>
      </c>
      <c r="AC138" s="124">
        <f>IF($C138&gt;LOG!$F$8,0,AB137)</f>
        <v>17</v>
      </c>
      <c r="AD138" s="124">
        <f>IF($C138&gt;LOG!$F$8,0,AC137)</f>
        <v>18</v>
      </c>
      <c r="AE138" s="124">
        <f>IF($C138&gt;LOG!$F$8,0,AD137)</f>
        <v>19</v>
      </c>
      <c r="AF138" s="124">
        <f>IF($C138&gt;LOG!$F$8,0,AE137)</f>
        <v>20</v>
      </c>
      <c r="AG138" s="124">
        <f>IF($C138&gt;LOG!$F$8,0,AF137)</f>
        <v>21</v>
      </c>
      <c r="AH138" s="124">
        <f>IF($C138&gt;LOG!$F$8,0,AG137)</f>
        <v>22</v>
      </c>
      <c r="AI138" s="124">
        <f>IF($C138&gt;LOG!$F$8,0,AH137)</f>
        <v>23</v>
      </c>
      <c r="AJ138" s="124">
        <f>IF($C138&gt;LOG!$F$8,0,AI137)</f>
        <v>24</v>
      </c>
      <c r="AK138" s="124">
        <f>IF($C138&gt;LOG!$F$8,0,AJ137)</f>
        <v>25</v>
      </c>
      <c r="AL138" s="124">
        <f>IF($C138&gt;LOG!$F$8,0,AK137)</f>
        <v>1</v>
      </c>
      <c r="AM138" s="124">
        <f>IF($C138&gt;LOG!$F$8,0,AL137)</f>
        <v>2</v>
      </c>
      <c r="AN138" s="124">
        <f>IF($C138&gt;LOG!$F$8,0,AM137)</f>
        <v>3</v>
      </c>
      <c r="AO138" s="124">
        <f>IF($C138&gt;LOG!$F$8,0,AN137)</f>
        <v>4</v>
      </c>
      <c r="AP138" s="124">
        <f>IF($C138&gt;LOG!$F$8,0,AO137)</f>
        <v>5</v>
      </c>
      <c r="AQ138" s="124">
        <f>IF($C138&gt;LOG!$F$8,0,AP137)</f>
        <v>6</v>
      </c>
      <c r="AR138" s="124">
        <f>IF($C138&gt;LOG!$F$8,0,AQ137)</f>
        <v>7</v>
      </c>
      <c r="AS138" s="124">
        <f>IF($C138&gt;LOG!$F$8,0,AR137)</f>
        <v>8</v>
      </c>
      <c r="AT138" s="124">
        <f>IF($C138&gt;LOG!$F$8,0,AS137)</f>
        <v>9</v>
      </c>
      <c r="AU138" s="124">
        <f>IF($C138&gt;LOG!$F$8,0,AT137)</f>
        <v>10</v>
      </c>
      <c r="AV138" s="124">
        <f>IF($C138&gt;LOG!$F$8,0,AU137)</f>
        <v>11</v>
      </c>
    </row>
    <row r="139" spans="1:50" ht="12.95" customHeight="1" x14ac:dyDescent="0.2">
      <c r="B139" s="14"/>
      <c r="C139" s="372">
        <v>6</v>
      </c>
      <c r="D139" s="372"/>
      <c r="E139" s="372"/>
      <c r="F139" s="253" t="s">
        <v>492</v>
      </c>
      <c r="G139" s="253" t="s">
        <v>4</v>
      </c>
      <c r="H139" s="124"/>
      <c r="I139" s="124"/>
      <c r="J139" s="124"/>
      <c r="K139" s="124"/>
      <c r="L139" s="124"/>
      <c r="M139" s="124">
        <f>IF($C139&gt;LOG!$F$8,0,L138)</f>
        <v>25</v>
      </c>
      <c r="N139" s="124">
        <f>IF($C139&gt;LOG!$F$8,0,M138)</f>
        <v>1</v>
      </c>
      <c r="O139" s="124">
        <f>IF($C139&gt;LOG!$F$8,0,N138)</f>
        <v>2</v>
      </c>
      <c r="P139" s="124">
        <f>IF($C139&gt;LOG!$F$8,0,O138)</f>
        <v>3</v>
      </c>
      <c r="Q139" s="124">
        <f>IF($C139&gt;LOG!$F$8,0,P138)</f>
        <v>4</v>
      </c>
      <c r="R139" s="124">
        <f>IF($C139&gt;LOG!$F$8,0,Q138)</f>
        <v>5</v>
      </c>
      <c r="S139" s="124">
        <f>IF($C139&gt;LOG!$F$8,0,R138)</f>
        <v>6</v>
      </c>
      <c r="T139" s="124">
        <f>IF($C139&gt;LOG!$F$8,0,S138)</f>
        <v>7</v>
      </c>
      <c r="U139" s="124">
        <f>IF($C139&gt;LOG!$F$8,0,T138)</f>
        <v>8</v>
      </c>
      <c r="V139" s="124">
        <f>IF($C139&gt;LOG!$F$8,0,U138)</f>
        <v>9</v>
      </c>
      <c r="W139" s="124">
        <f>IF($C139&gt;LOG!$F$8,0,V138)</f>
        <v>10</v>
      </c>
      <c r="X139" s="124">
        <f>IF($C139&gt;LOG!$F$8,0,W138)</f>
        <v>11</v>
      </c>
      <c r="Y139" s="124">
        <f>IF($C139&gt;LOG!$F$8,0,X138)</f>
        <v>12</v>
      </c>
      <c r="Z139" s="124">
        <f>IF($C139&gt;LOG!$F$8,0,Y138)</f>
        <v>13</v>
      </c>
      <c r="AA139" s="124">
        <f>IF($C139&gt;LOG!$F$8,0,Z138)</f>
        <v>14</v>
      </c>
      <c r="AB139" s="124">
        <f>IF($C139&gt;LOG!$F$8,0,AA138)</f>
        <v>15</v>
      </c>
      <c r="AC139" s="124">
        <f>IF($C139&gt;LOG!$F$8,0,AB138)</f>
        <v>16</v>
      </c>
      <c r="AD139" s="124">
        <f>IF($C139&gt;LOG!$F$8,0,AC138)</f>
        <v>17</v>
      </c>
      <c r="AE139" s="124">
        <f>IF($C139&gt;LOG!$F$8,0,AD138)</f>
        <v>18</v>
      </c>
      <c r="AF139" s="124">
        <f>IF($C139&gt;LOG!$F$8,0,AE138)</f>
        <v>19</v>
      </c>
      <c r="AG139" s="124">
        <f>IF($C139&gt;LOG!$F$8,0,AF138)</f>
        <v>20</v>
      </c>
      <c r="AH139" s="124">
        <f>IF($C139&gt;LOG!$F$8,0,AG138)</f>
        <v>21</v>
      </c>
      <c r="AI139" s="124">
        <f>IF($C139&gt;LOG!$F$8,0,AH138)</f>
        <v>22</v>
      </c>
      <c r="AJ139" s="124">
        <f>IF($C139&gt;LOG!$F$8,0,AI138)</f>
        <v>23</v>
      </c>
      <c r="AK139" s="124">
        <f>IF($C139&gt;LOG!$F$8,0,AJ138)</f>
        <v>24</v>
      </c>
      <c r="AL139" s="124">
        <f>IF($C139&gt;LOG!$F$8,0,AK138)</f>
        <v>25</v>
      </c>
      <c r="AM139" s="124">
        <f>IF($C139&gt;LOG!$F$8,0,AL138)</f>
        <v>1</v>
      </c>
      <c r="AN139" s="124">
        <f>IF($C139&gt;LOG!$F$8,0,AM138)</f>
        <v>2</v>
      </c>
      <c r="AO139" s="124">
        <f>IF($C139&gt;LOG!$F$8,0,AN138)</f>
        <v>3</v>
      </c>
      <c r="AP139" s="124">
        <f>IF($C139&gt;LOG!$F$8,0,AO138)</f>
        <v>4</v>
      </c>
      <c r="AQ139" s="124">
        <f>IF($C139&gt;LOG!$F$8,0,AP138)</f>
        <v>5</v>
      </c>
      <c r="AR139" s="124">
        <f>IF($C139&gt;LOG!$F$8,0,AQ138)</f>
        <v>6</v>
      </c>
      <c r="AS139" s="124">
        <f>IF($C139&gt;LOG!$F$8,0,AR138)</f>
        <v>7</v>
      </c>
      <c r="AT139" s="124">
        <f>IF($C139&gt;LOG!$F$8,0,AS138)</f>
        <v>8</v>
      </c>
      <c r="AU139" s="124">
        <f>IF($C139&gt;LOG!$F$8,0,AT138)</f>
        <v>9</v>
      </c>
      <c r="AV139" s="124">
        <f>IF($C139&gt;LOG!$F$8,0,AU138)</f>
        <v>10</v>
      </c>
    </row>
    <row r="140" spans="1:50" ht="12.95" customHeight="1" x14ac:dyDescent="0.2">
      <c r="B140" s="14"/>
      <c r="C140" s="372">
        <v>7</v>
      </c>
      <c r="D140" s="372"/>
      <c r="E140" s="372"/>
      <c r="F140" s="253" t="s">
        <v>492</v>
      </c>
      <c r="G140" s="253" t="s">
        <v>4</v>
      </c>
      <c r="H140" s="124"/>
      <c r="I140" s="124"/>
      <c r="J140" s="124"/>
      <c r="K140" s="124"/>
      <c r="L140" s="124"/>
      <c r="M140" s="124"/>
      <c r="N140" s="124">
        <f>IF($C140&gt;LOG!$F$8,0,M139)</f>
        <v>25</v>
      </c>
      <c r="O140" s="124">
        <f>IF($C140&gt;LOG!$F$8,0,N139)</f>
        <v>1</v>
      </c>
      <c r="P140" s="124">
        <f>IF($C140&gt;LOG!$F$8,0,O139)</f>
        <v>2</v>
      </c>
      <c r="Q140" s="124">
        <f>IF($C140&gt;LOG!$F$8,0,P139)</f>
        <v>3</v>
      </c>
      <c r="R140" s="124">
        <f>IF($C140&gt;LOG!$F$8,0,Q139)</f>
        <v>4</v>
      </c>
      <c r="S140" s="124">
        <f>IF($C140&gt;LOG!$F$8,0,R139)</f>
        <v>5</v>
      </c>
      <c r="T140" s="124">
        <f>IF($C140&gt;LOG!$F$8,0,S139)</f>
        <v>6</v>
      </c>
      <c r="U140" s="124">
        <f>IF($C140&gt;LOG!$F$8,0,T139)</f>
        <v>7</v>
      </c>
      <c r="V140" s="124">
        <f>IF($C140&gt;LOG!$F$8,0,U139)</f>
        <v>8</v>
      </c>
      <c r="W140" s="124">
        <f>IF($C140&gt;LOG!$F$8,0,V139)</f>
        <v>9</v>
      </c>
      <c r="X140" s="124">
        <f>IF($C140&gt;LOG!$F$8,0,W139)</f>
        <v>10</v>
      </c>
      <c r="Y140" s="124">
        <f>IF($C140&gt;LOG!$F$8,0,X139)</f>
        <v>11</v>
      </c>
      <c r="Z140" s="124">
        <f>IF($C140&gt;LOG!$F$8,0,Y139)</f>
        <v>12</v>
      </c>
      <c r="AA140" s="124">
        <f>IF($C140&gt;LOG!$F$8,0,Z139)</f>
        <v>13</v>
      </c>
      <c r="AB140" s="124">
        <f>IF($C140&gt;LOG!$F$8,0,AA139)</f>
        <v>14</v>
      </c>
      <c r="AC140" s="124">
        <f>IF($C140&gt;LOG!$F$8,0,AB139)</f>
        <v>15</v>
      </c>
      <c r="AD140" s="124">
        <f>IF($C140&gt;LOG!$F$8,0,AC139)</f>
        <v>16</v>
      </c>
      <c r="AE140" s="124">
        <f>IF($C140&gt;LOG!$F$8,0,AD139)</f>
        <v>17</v>
      </c>
      <c r="AF140" s="124">
        <f>IF($C140&gt;LOG!$F$8,0,AE139)</f>
        <v>18</v>
      </c>
      <c r="AG140" s="124">
        <f>IF($C140&gt;LOG!$F$8,0,AF139)</f>
        <v>19</v>
      </c>
      <c r="AH140" s="124">
        <f>IF($C140&gt;LOG!$F$8,0,AG139)</f>
        <v>20</v>
      </c>
      <c r="AI140" s="124">
        <f>IF($C140&gt;LOG!$F$8,0,AH139)</f>
        <v>21</v>
      </c>
      <c r="AJ140" s="124">
        <f>IF($C140&gt;LOG!$F$8,0,AI139)</f>
        <v>22</v>
      </c>
      <c r="AK140" s="124">
        <f>IF($C140&gt;LOG!$F$8,0,AJ139)</f>
        <v>23</v>
      </c>
      <c r="AL140" s="124">
        <f>IF($C140&gt;LOG!$F$8,0,AK139)</f>
        <v>24</v>
      </c>
      <c r="AM140" s="124">
        <f>IF($C140&gt;LOG!$F$8,0,AL139)</f>
        <v>25</v>
      </c>
      <c r="AN140" s="124">
        <f>IF($C140&gt;LOG!$F$8,0,AM139)</f>
        <v>1</v>
      </c>
      <c r="AO140" s="124">
        <f>IF($C140&gt;LOG!$F$8,0,AN139)</f>
        <v>2</v>
      </c>
      <c r="AP140" s="124">
        <f>IF($C140&gt;LOG!$F$8,0,AO139)</f>
        <v>3</v>
      </c>
      <c r="AQ140" s="124">
        <f>IF($C140&gt;LOG!$F$8,0,AP139)</f>
        <v>4</v>
      </c>
      <c r="AR140" s="124">
        <f>IF($C140&gt;LOG!$F$8,0,AQ139)</f>
        <v>5</v>
      </c>
      <c r="AS140" s="124">
        <f>IF($C140&gt;LOG!$F$8,0,AR139)</f>
        <v>6</v>
      </c>
      <c r="AT140" s="124">
        <f>IF($C140&gt;LOG!$F$8,0,AS139)</f>
        <v>7</v>
      </c>
      <c r="AU140" s="124">
        <f>IF($C140&gt;LOG!$F$8,0,AT139)</f>
        <v>8</v>
      </c>
      <c r="AV140" s="124">
        <f>IF($C140&gt;LOG!$F$8,0,AU139)</f>
        <v>9</v>
      </c>
    </row>
    <row r="141" spans="1:50" ht="12.95" customHeight="1" x14ac:dyDescent="0.2">
      <c r="B141" s="14"/>
      <c r="C141" s="372">
        <v>8</v>
      </c>
      <c r="D141" s="372"/>
      <c r="E141" s="372"/>
      <c r="F141" s="253" t="s">
        <v>492</v>
      </c>
      <c r="G141" s="253" t="s">
        <v>4</v>
      </c>
      <c r="H141" s="124"/>
      <c r="I141" s="124"/>
      <c r="J141" s="124"/>
      <c r="K141" s="124"/>
      <c r="L141" s="124"/>
      <c r="M141" s="124"/>
      <c r="N141" s="124"/>
      <c r="O141" s="124">
        <f>IF($C141&gt;LOG!$F$8,0,N140)</f>
        <v>25</v>
      </c>
      <c r="P141" s="124">
        <f>IF($C141&gt;LOG!$F$8,0,O140)</f>
        <v>1</v>
      </c>
      <c r="Q141" s="124">
        <f>IF($C141&gt;LOG!$F$8,0,P140)</f>
        <v>2</v>
      </c>
      <c r="R141" s="124">
        <f>IF($C141&gt;LOG!$F$8,0,Q140)</f>
        <v>3</v>
      </c>
      <c r="S141" s="124">
        <f>IF($C141&gt;LOG!$F$8,0,R140)</f>
        <v>4</v>
      </c>
      <c r="T141" s="124">
        <f>IF($C141&gt;LOG!$F$8,0,S140)</f>
        <v>5</v>
      </c>
      <c r="U141" s="124">
        <f>IF($C141&gt;LOG!$F$8,0,T140)</f>
        <v>6</v>
      </c>
      <c r="V141" s="124">
        <f>IF($C141&gt;LOG!$F$8,0,U140)</f>
        <v>7</v>
      </c>
      <c r="W141" s="124">
        <f>IF($C141&gt;LOG!$F$8,0,V140)</f>
        <v>8</v>
      </c>
      <c r="X141" s="124">
        <f>IF($C141&gt;LOG!$F$8,0,W140)</f>
        <v>9</v>
      </c>
      <c r="Y141" s="124">
        <f>IF($C141&gt;LOG!$F$8,0,X140)</f>
        <v>10</v>
      </c>
      <c r="Z141" s="124">
        <f>IF($C141&gt;LOG!$F$8,0,Y140)</f>
        <v>11</v>
      </c>
      <c r="AA141" s="124">
        <f>IF($C141&gt;LOG!$F$8,0,Z140)</f>
        <v>12</v>
      </c>
      <c r="AB141" s="124">
        <f>IF($C141&gt;LOG!$F$8,0,AA140)</f>
        <v>13</v>
      </c>
      <c r="AC141" s="124">
        <f>IF($C141&gt;LOG!$F$8,0,AB140)</f>
        <v>14</v>
      </c>
      <c r="AD141" s="124">
        <f>IF($C141&gt;LOG!$F$8,0,AC140)</f>
        <v>15</v>
      </c>
      <c r="AE141" s="124">
        <f>IF($C141&gt;LOG!$F$8,0,AD140)</f>
        <v>16</v>
      </c>
      <c r="AF141" s="124">
        <f>IF($C141&gt;LOG!$F$8,0,AE140)</f>
        <v>17</v>
      </c>
      <c r="AG141" s="124">
        <f>IF($C141&gt;LOG!$F$8,0,AF140)</f>
        <v>18</v>
      </c>
      <c r="AH141" s="124">
        <f>IF($C141&gt;LOG!$F$8,0,AG140)</f>
        <v>19</v>
      </c>
      <c r="AI141" s="124">
        <f>IF($C141&gt;LOG!$F$8,0,AH140)</f>
        <v>20</v>
      </c>
      <c r="AJ141" s="124">
        <f>IF($C141&gt;LOG!$F$8,0,AI140)</f>
        <v>21</v>
      </c>
      <c r="AK141" s="124">
        <f>IF($C141&gt;LOG!$F$8,0,AJ140)</f>
        <v>22</v>
      </c>
      <c r="AL141" s="124">
        <f>IF($C141&gt;LOG!$F$8,0,AK140)</f>
        <v>23</v>
      </c>
      <c r="AM141" s="124">
        <f>IF($C141&gt;LOG!$F$8,0,AL140)</f>
        <v>24</v>
      </c>
      <c r="AN141" s="124">
        <f>IF($C141&gt;LOG!$F$8,0,AM140)</f>
        <v>25</v>
      </c>
      <c r="AO141" s="124">
        <f>IF($C141&gt;LOG!$F$8,0,AN140)</f>
        <v>1</v>
      </c>
      <c r="AP141" s="124">
        <f>IF($C141&gt;LOG!$F$8,0,AO140)</f>
        <v>2</v>
      </c>
      <c r="AQ141" s="124">
        <f>IF($C141&gt;LOG!$F$8,0,AP140)</f>
        <v>3</v>
      </c>
      <c r="AR141" s="124">
        <f>IF($C141&gt;LOG!$F$8,0,AQ140)</f>
        <v>4</v>
      </c>
      <c r="AS141" s="124">
        <f>IF($C141&gt;LOG!$F$8,0,AR140)</f>
        <v>5</v>
      </c>
      <c r="AT141" s="124">
        <f>IF($C141&gt;LOG!$F$8,0,AS140)</f>
        <v>6</v>
      </c>
      <c r="AU141" s="124">
        <f>IF($C141&gt;LOG!$F$8,0,AT140)</f>
        <v>7</v>
      </c>
      <c r="AV141" s="124">
        <f>IF($C141&gt;LOG!$F$8,0,AU140)</f>
        <v>8</v>
      </c>
    </row>
    <row r="142" spans="1:50" ht="12.95" customHeight="1" x14ac:dyDescent="0.2">
      <c r="B142" s="14"/>
      <c r="C142" s="372">
        <v>9</v>
      </c>
      <c r="D142" s="372"/>
      <c r="E142" s="372"/>
      <c r="F142" s="253" t="s">
        <v>492</v>
      </c>
      <c r="G142" s="253" t="s">
        <v>4</v>
      </c>
      <c r="H142" s="124"/>
      <c r="I142" s="124"/>
      <c r="J142" s="124"/>
      <c r="K142" s="124"/>
      <c r="L142" s="124"/>
      <c r="M142" s="124"/>
      <c r="N142" s="124"/>
      <c r="O142" s="124"/>
      <c r="P142" s="124">
        <f>IF($C142&gt;LOG!$F$8,0,O141)</f>
        <v>25</v>
      </c>
      <c r="Q142" s="124">
        <f>IF($C142&gt;LOG!$F$8,0,P141)</f>
        <v>1</v>
      </c>
      <c r="R142" s="124">
        <f>IF($C142&gt;LOG!$F$8,0,Q141)</f>
        <v>2</v>
      </c>
      <c r="S142" s="124">
        <f>IF($C142&gt;LOG!$F$8,0,R141)</f>
        <v>3</v>
      </c>
      <c r="T142" s="124">
        <f>IF($C142&gt;LOG!$F$8,0,S141)</f>
        <v>4</v>
      </c>
      <c r="U142" s="124">
        <f>IF($C142&gt;LOG!$F$8,0,T141)</f>
        <v>5</v>
      </c>
      <c r="V142" s="124">
        <f>IF($C142&gt;LOG!$F$8,0,U141)</f>
        <v>6</v>
      </c>
      <c r="W142" s="124">
        <f>IF($C142&gt;LOG!$F$8,0,V141)</f>
        <v>7</v>
      </c>
      <c r="X142" s="124">
        <f>IF($C142&gt;LOG!$F$8,0,W141)</f>
        <v>8</v>
      </c>
      <c r="Y142" s="124">
        <f>IF($C142&gt;LOG!$F$8,0,X141)</f>
        <v>9</v>
      </c>
      <c r="Z142" s="124">
        <f>IF($C142&gt;LOG!$F$8,0,Y141)</f>
        <v>10</v>
      </c>
      <c r="AA142" s="124">
        <f>IF($C142&gt;LOG!$F$8,0,Z141)</f>
        <v>11</v>
      </c>
      <c r="AB142" s="124">
        <f>IF($C142&gt;LOG!$F$8,0,AA141)</f>
        <v>12</v>
      </c>
      <c r="AC142" s="124">
        <f>IF($C142&gt;LOG!$F$8,0,AB141)</f>
        <v>13</v>
      </c>
      <c r="AD142" s="124">
        <f>IF($C142&gt;LOG!$F$8,0,AC141)</f>
        <v>14</v>
      </c>
      <c r="AE142" s="124">
        <f>IF($C142&gt;LOG!$F$8,0,AD141)</f>
        <v>15</v>
      </c>
      <c r="AF142" s="124">
        <f>IF($C142&gt;LOG!$F$8,0,AE141)</f>
        <v>16</v>
      </c>
      <c r="AG142" s="124">
        <f>IF($C142&gt;LOG!$F$8,0,AF141)</f>
        <v>17</v>
      </c>
      <c r="AH142" s="124">
        <f>IF($C142&gt;LOG!$F$8,0,AG141)</f>
        <v>18</v>
      </c>
      <c r="AI142" s="124">
        <f>IF($C142&gt;LOG!$F$8,0,AH141)</f>
        <v>19</v>
      </c>
      <c r="AJ142" s="124">
        <f>IF($C142&gt;LOG!$F$8,0,AI141)</f>
        <v>20</v>
      </c>
      <c r="AK142" s="124">
        <f>IF($C142&gt;LOG!$F$8,0,AJ141)</f>
        <v>21</v>
      </c>
      <c r="AL142" s="124">
        <f>IF($C142&gt;LOG!$F$8,0,AK141)</f>
        <v>22</v>
      </c>
      <c r="AM142" s="124">
        <f>IF($C142&gt;LOG!$F$8,0,AL141)</f>
        <v>23</v>
      </c>
      <c r="AN142" s="124">
        <f>IF($C142&gt;LOG!$F$8,0,AM141)</f>
        <v>24</v>
      </c>
      <c r="AO142" s="124">
        <f>IF($C142&gt;LOG!$F$8,0,AN141)</f>
        <v>25</v>
      </c>
      <c r="AP142" s="124">
        <f>IF($C142&gt;LOG!$F$8,0,AO141)</f>
        <v>1</v>
      </c>
      <c r="AQ142" s="124">
        <f>IF($C142&gt;LOG!$F$8,0,AP141)</f>
        <v>2</v>
      </c>
      <c r="AR142" s="124">
        <f>IF($C142&gt;LOG!$F$8,0,AQ141)</f>
        <v>3</v>
      </c>
      <c r="AS142" s="124">
        <f>IF($C142&gt;LOG!$F$8,0,AR141)</f>
        <v>4</v>
      </c>
      <c r="AT142" s="124">
        <f>IF($C142&gt;LOG!$F$8,0,AS141)</f>
        <v>5</v>
      </c>
      <c r="AU142" s="124">
        <f>IF($C142&gt;LOG!$F$8,0,AT141)</f>
        <v>6</v>
      </c>
      <c r="AV142" s="124">
        <f>IF($C142&gt;LOG!$F$8,0,AU141)</f>
        <v>7</v>
      </c>
    </row>
    <row r="143" spans="1:50" ht="12.95" customHeight="1" x14ac:dyDescent="0.2">
      <c r="B143" s="14"/>
      <c r="C143" s="372">
        <v>10</v>
      </c>
      <c r="D143" s="372"/>
      <c r="E143" s="372"/>
      <c r="F143" s="253" t="s">
        <v>492</v>
      </c>
      <c r="G143" s="253" t="s">
        <v>4</v>
      </c>
      <c r="H143" s="124"/>
      <c r="I143" s="124"/>
      <c r="J143" s="124"/>
      <c r="K143" s="124"/>
      <c r="L143" s="124"/>
      <c r="M143" s="124"/>
      <c r="N143" s="124"/>
      <c r="O143" s="124"/>
      <c r="P143" s="124"/>
      <c r="Q143" s="124">
        <f>IF($C143&gt;LOG!$F$8,0,P142)</f>
        <v>25</v>
      </c>
      <c r="R143" s="124">
        <f>IF($C143&gt;LOG!$F$8,0,Q142)</f>
        <v>1</v>
      </c>
      <c r="S143" s="124">
        <f>IF($C143&gt;LOG!$F$8,0,R142)</f>
        <v>2</v>
      </c>
      <c r="T143" s="124">
        <f>IF($C143&gt;LOG!$F$8,0,S142)</f>
        <v>3</v>
      </c>
      <c r="U143" s="124">
        <f>IF($C143&gt;LOG!$F$8,0,T142)</f>
        <v>4</v>
      </c>
      <c r="V143" s="124">
        <f>IF($C143&gt;LOG!$F$8,0,U142)</f>
        <v>5</v>
      </c>
      <c r="W143" s="124">
        <f>IF($C143&gt;LOG!$F$8,0,V142)</f>
        <v>6</v>
      </c>
      <c r="X143" s="124">
        <f>IF($C143&gt;LOG!$F$8,0,W142)</f>
        <v>7</v>
      </c>
      <c r="Y143" s="124">
        <f>IF($C143&gt;LOG!$F$8,0,X142)</f>
        <v>8</v>
      </c>
      <c r="Z143" s="124">
        <f>IF($C143&gt;LOG!$F$8,0,Y142)</f>
        <v>9</v>
      </c>
      <c r="AA143" s="124">
        <f>IF($C143&gt;LOG!$F$8,0,Z142)</f>
        <v>10</v>
      </c>
      <c r="AB143" s="124">
        <f>IF($C143&gt;LOG!$F$8,0,AA142)</f>
        <v>11</v>
      </c>
      <c r="AC143" s="124">
        <f>IF($C143&gt;LOG!$F$8,0,AB142)</f>
        <v>12</v>
      </c>
      <c r="AD143" s="124">
        <f>IF($C143&gt;LOG!$F$8,0,AC142)</f>
        <v>13</v>
      </c>
      <c r="AE143" s="124">
        <f>IF($C143&gt;LOG!$F$8,0,AD142)</f>
        <v>14</v>
      </c>
      <c r="AF143" s="124">
        <f>IF($C143&gt;LOG!$F$8,0,AE142)</f>
        <v>15</v>
      </c>
      <c r="AG143" s="124">
        <f>IF($C143&gt;LOG!$F$8,0,AF142)</f>
        <v>16</v>
      </c>
      <c r="AH143" s="124">
        <f>IF($C143&gt;LOG!$F$8,0,AG142)</f>
        <v>17</v>
      </c>
      <c r="AI143" s="124">
        <f>IF($C143&gt;LOG!$F$8,0,AH142)</f>
        <v>18</v>
      </c>
      <c r="AJ143" s="124">
        <f>IF($C143&gt;LOG!$F$8,0,AI142)</f>
        <v>19</v>
      </c>
      <c r="AK143" s="124">
        <f>IF($C143&gt;LOG!$F$8,0,AJ142)</f>
        <v>20</v>
      </c>
      <c r="AL143" s="124">
        <f>IF($C143&gt;LOG!$F$8,0,AK142)</f>
        <v>21</v>
      </c>
      <c r="AM143" s="124">
        <f>IF($C143&gt;LOG!$F$8,0,AL142)</f>
        <v>22</v>
      </c>
      <c r="AN143" s="124">
        <f>IF($C143&gt;LOG!$F$8,0,AM142)</f>
        <v>23</v>
      </c>
      <c r="AO143" s="124">
        <f>IF($C143&gt;LOG!$F$8,0,AN142)</f>
        <v>24</v>
      </c>
      <c r="AP143" s="124">
        <f>IF($C143&gt;LOG!$F$8,0,AO142)</f>
        <v>25</v>
      </c>
      <c r="AQ143" s="124">
        <f>IF($C143&gt;LOG!$F$8,0,AP142)</f>
        <v>1</v>
      </c>
      <c r="AR143" s="124">
        <f>IF($C143&gt;LOG!$F$8,0,AQ142)</f>
        <v>2</v>
      </c>
      <c r="AS143" s="124">
        <f>IF($C143&gt;LOG!$F$8,0,AR142)</f>
        <v>3</v>
      </c>
      <c r="AT143" s="124">
        <f>IF($C143&gt;LOG!$F$8,0,AS142)</f>
        <v>4</v>
      </c>
      <c r="AU143" s="124">
        <f>IF($C143&gt;LOG!$F$8,0,AT142)</f>
        <v>5</v>
      </c>
      <c r="AV143" s="124">
        <f>IF($C143&gt;LOG!$F$8,0,AU142)</f>
        <v>6</v>
      </c>
    </row>
    <row r="144" spans="1:50" ht="12.95" customHeight="1" x14ac:dyDescent="0.2">
      <c r="B144" s="14"/>
      <c r="C144" s="372">
        <v>11</v>
      </c>
      <c r="D144" s="372"/>
      <c r="E144" s="372"/>
      <c r="F144" s="253" t="s">
        <v>492</v>
      </c>
      <c r="G144" s="253" t="s">
        <v>4</v>
      </c>
      <c r="H144" s="124"/>
      <c r="I144" s="124"/>
      <c r="J144" s="124"/>
      <c r="K144" s="124"/>
      <c r="L144" s="124"/>
      <c r="M144" s="124"/>
      <c r="N144" s="124"/>
      <c r="O144" s="124"/>
      <c r="P144" s="124"/>
      <c r="Q144" s="124"/>
      <c r="R144" s="124">
        <f>IF($C144&gt;LOG!$F$8,0,Q143)</f>
        <v>25</v>
      </c>
      <c r="S144" s="124">
        <f>IF($C144&gt;LOG!$F$8,0,R143)</f>
        <v>1</v>
      </c>
      <c r="T144" s="124">
        <f>IF($C144&gt;LOG!$F$8,0,S143)</f>
        <v>2</v>
      </c>
      <c r="U144" s="124">
        <f>IF($C144&gt;LOG!$F$8,0,T143)</f>
        <v>3</v>
      </c>
      <c r="V144" s="124">
        <f>IF($C144&gt;LOG!$F$8,0,U143)</f>
        <v>4</v>
      </c>
      <c r="W144" s="124">
        <f>IF($C144&gt;LOG!$F$8,0,V143)</f>
        <v>5</v>
      </c>
      <c r="X144" s="124">
        <f>IF($C144&gt;LOG!$F$8,0,W143)</f>
        <v>6</v>
      </c>
      <c r="Y144" s="124">
        <f>IF($C144&gt;LOG!$F$8,0,X143)</f>
        <v>7</v>
      </c>
      <c r="Z144" s="124">
        <f>IF($C144&gt;LOG!$F$8,0,Y143)</f>
        <v>8</v>
      </c>
      <c r="AA144" s="124">
        <f>IF($C144&gt;LOG!$F$8,0,Z143)</f>
        <v>9</v>
      </c>
      <c r="AB144" s="124">
        <f>IF($C144&gt;LOG!$F$8,0,AA143)</f>
        <v>10</v>
      </c>
      <c r="AC144" s="124">
        <f>IF($C144&gt;LOG!$F$8,0,AB143)</f>
        <v>11</v>
      </c>
      <c r="AD144" s="124">
        <f>IF($C144&gt;LOG!$F$8,0,AC143)</f>
        <v>12</v>
      </c>
      <c r="AE144" s="124">
        <f>IF($C144&gt;LOG!$F$8,0,AD143)</f>
        <v>13</v>
      </c>
      <c r="AF144" s="124">
        <f>IF($C144&gt;LOG!$F$8,0,AE143)</f>
        <v>14</v>
      </c>
      <c r="AG144" s="124">
        <f>IF($C144&gt;LOG!$F$8,0,AF143)</f>
        <v>15</v>
      </c>
      <c r="AH144" s="124">
        <f>IF($C144&gt;LOG!$F$8,0,AG143)</f>
        <v>16</v>
      </c>
      <c r="AI144" s="124">
        <f>IF($C144&gt;LOG!$F$8,0,AH143)</f>
        <v>17</v>
      </c>
      <c r="AJ144" s="124">
        <f>IF($C144&gt;LOG!$F$8,0,AI143)</f>
        <v>18</v>
      </c>
      <c r="AK144" s="124">
        <f>IF($C144&gt;LOG!$F$8,0,AJ143)</f>
        <v>19</v>
      </c>
      <c r="AL144" s="124">
        <f>IF($C144&gt;LOG!$F$8,0,AK143)</f>
        <v>20</v>
      </c>
      <c r="AM144" s="124">
        <f>IF($C144&gt;LOG!$F$8,0,AL143)</f>
        <v>21</v>
      </c>
      <c r="AN144" s="124">
        <f>IF($C144&gt;LOG!$F$8,0,AM143)</f>
        <v>22</v>
      </c>
      <c r="AO144" s="124">
        <f>IF($C144&gt;LOG!$F$8,0,AN143)</f>
        <v>23</v>
      </c>
      <c r="AP144" s="124">
        <f>IF($C144&gt;LOG!$F$8,0,AO143)</f>
        <v>24</v>
      </c>
      <c r="AQ144" s="124">
        <f>IF($C144&gt;LOG!$F$8,0,AP143)</f>
        <v>25</v>
      </c>
      <c r="AR144" s="124">
        <f>IF($C144&gt;LOG!$F$8,0,AQ143)</f>
        <v>1</v>
      </c>
      <c r="AS144" s="124">
        <f>IF($C144&gt;LOG!$F$8,0,AR143)</f>
        <v>2</v>
      </c>
      <c r="AT144" s="124">
        <f>IF($C144&gt;LOG!$F$8,0,AS143)</f>
        <v>3</v>
      </c>
      <c r="AU144" s="124">
        <f>IF($C144&gt;LOG!$F$8,0,AT143)</f>
        <v>4</v>
      </c>
      <c r="AV144" s="124">
        <f>IF($C144&gt;LOG!$F$8,0,AU143)</f>
        <v>5</v>
      </c>
    </row>
    <row r="145" spans="2:48" ht="12.95" customHeight="1" x14ac:dyDescent="0.2">
      <c r="B145" s="14"/>
      <c r="C145" s="372">
        <v>12</v>
      </c>
      <c r="D145" s="372"/>
      <c r="E145" s="372"/>
      <c r="F145" s="253" t="s">
        <v>492</v>
      </c>
      <c r="G145" s="253" t="s">
        <v>4</v>
      </c>
      <c r="H145" s="124"/>
      <c r="I145" s="124"/>
      <c r="J145" s="124"/>
      <c r="K145" s="124"/>
      <c r="L145" s="124"/>
      <c r="M145" s="124"/>
      <c r="N145" s="124"/>
      <c r="O145" s="124"/>
      <c r="P145" s="124"/>
      <c r="Q145" s="124"/>
      <c r="R145" s="124"/>
      <c r="S145" s="124">
        <f>IF($C145&gt;LOG!$F$8,0,R144)</f>
        <v>25</v>
      </c>
      <c r="T145" s="124">
        <f>IF($C145&gt;LOG!$F$8,0,S144)</f>
        <v>1</v>
      </c>
      <c r="U145" s="124">
        <f>IF($C145&gt;LOG!$F$8,0,T144)</f>
        <v>2</v>
      </c>
      <c r="V145" s="124">
        <f>IF($C145&gt;LOG!$F$8,0,U144)</f>
        <v>3</v>
      </c>
      <c r="W145" s="124">
        <f>IF($C145&gt;LOG!$F$8,0,V144)</f>
        <v>4</v>
      </c>
      <c r="X145" s="124">
        <f>IF($C145&gt;LOG!$F$8,0,W144)</f>
        <v>5</v>
      </c>
      <c r="Y145" s="124">
        <f>IF($C145&gt;LOG!$F$8,0,X144)</f>
        <v>6</v>
      </c>
      <c r="Z145" s="124">
        <f>IF($C145&gt;LOG!$F$8,0,Y144)</f>
        <v>7</v>
      </c>
      <c r="AA145" s="124">
        <f>IF($C145&gt;LOG!$F$8,0,Z144)</f>
        <v>8</v>
      </c>
      <c r="AB145" s="124">
        <f>IF($C145&gt;LOG!$F$8,0,AA144)</f>
        <v>9</v>
      </c>
      <c r="AC145" s="124">
        <f>IF($C145&gt;LOG!$F$8,0,AB144)</f>
        <v>10</v>
      </c>
      <c r="AD145" s="124">
        <f>IF($C145&gt;LOG!$F$8,0,AC144)</f>
        <v>11</v>
      </c>
      <c r="AE145" s="124">
        <f>IF($C145&gt;LOG!$F$8,0,AD144)</f>
        <v>12</v>
      </c>
      <c r="AF145" s="124">
        <f>IF($C145&gt;LOG!$F$8,0,AE144)</f>
        <v>13</v>
      </c>
      <c r="AG145" s="124">
        <f>IF($C145&gt;LOG!$F$8,0,AF144)</f>
        <v>14</v>
      </c>
      <c r="AH145" s="124">
        <f>IF($C145&gt;LOG!$F$8,0,AG144)</f>
        <v>15</v>
      </c>
      <c r="AI145" s="124">
        <f>IF($C145&gt;LOG!$F$8,0,AH144)</f>
        <v>16</v>
      </c>
      <c r="AJ145" s="124">
        <f>IF($C145&gt;LOG!$F$8,0,AI144)</f>
        <v>17</v>
      </c>
      <c r="AK145" s="124">
        <f>IF($C145&gt;LOG!$F$8,0,AJ144)</f>
        <v>18</v>
      </c>
      <c r="AL145" s="124">
        <f>IF($C145&gt;LOG!$F$8,0,AK144)</f>
        <v>19</v>
      </c>
      <c r="AM145" s="124">
        <f>IF($C145&gt;LOG!$F$8,0,AL144)</f>
        <v>20</v>
      </c>
      <c r="AN145" s="124">
        <f>IF($C145&gt;LOG!$F$8,0,AM144)</f>
        <v>21</v>
      </c>
      <c r="AO145" s="124">
        <f>IF($C145&gt;LOG!$F$8,0,AN144)</f>
        <v>22</v>
      </c>
      <c r="AP145" s="124">
        <f>IF($C145&gt;LOG!$F$8,0,AO144)</f>
        <v>23</v>
      </c>
      <c r="AQ145" s="124">
        <f>IF($C145&gt;LOG!$F$8,0,AP144)</f>
        <v>24</v>
      </c>
      <c r="AR145" s="124">
        <f>IF($C145&gt;LOG!$F$8,0,AQ144)</f>
        <v>25</v>
      </c>
      <c r="AS145" s="124">
        <f>IF($C145&gt;LOG!$F$8,0,AR144)</f>
        <v>1</v>
      </c>
      <c r="AT145" s="124">
        <f>IF($C145&gt;LOG!$F$8,0,AS144)</f>
        <v>2</v>
      </c>
      <c r="AU145" s="124">
        <f>IF($C145&gt;LOG!$F$8,0,AT144)</f>
        <v>3</v>
      </c>
      <c r="AV145" s="124">
        <f>IF($C145&gt;LOG!$F$8,0,AU144)</f>
        <v>4</v>
      </c>
    </row>
    <row r="146" spans="2:48" ht="12.95" customHeight="1" x14ac:dyDescent="0.2">
      <c r="B146" s="14"/>
      <c r="C146" s="372">
        <v>13</v>
      </c>
      <c r="D146" s="372"/>
      <c r="E146" s="372"/>
      <c r="F146" s="253" t="s">
        <v>492</v>
      </c>
      <c r="G146" s="253" t="s">
        <v>4</v>
      </c>
      <c r="H146" s="124"/>
      <c r="I146" s="124"/>
      <c r="J146" s="124"/>
      <c r="K146" s="124"/>
      <c r="L146" s="124"/>
      <c r="M146" s="124"/>
      <c r="N146" s="124"/>
      <c r="O146" s="124"/>
      <c r="P146" s="124"/>
      <c r="Q146" s="124"/>
      <c r="R146" s="124"/>
      <c r="S146" s="124"/>
      <c r="T146" s="124">
        <f>IF($C146&gt;LOG!$F$8,0,S145)</f>
        <v>25</v>
      </c>
      <c r="U146" s="124">
        <f>IF($C146&gt;LOG!$F$8,0,T145)</f>
        <v>1</v>
      </c>
      <c r="V146" s="124">
        <f>IF($C146&gt;LOG!$F$8,0,U145)</f>
        <v>2</v>
      </c>
      <c r="W146" s="124">
        <f>IF($C146&gt;LOG!$F$8,0,V145)</f>
        <v>3</v>
      </c>
      <c r="X146" s="124">
        <f>IF($C146&gt;LOG!$F$8,0,W145)</f>
        <v>4</v>
      </c>
      <c r="Y146" s="124">
        <f>IF($C146&gt;LOG!$F$8,0,X145)</f>
        <v>5</v>
      </c>
      <c r="Z146" s="124">
        <f>IF($C146&gt;LOG!$F$8,0,Y145)</f>
        <v>6</v>
      </c>
      <c r="AA146" s="124">
        <f>IF($C146&gt;LOG!$F$8,0,Z145)</f>
        <v>7</v>
      </c>
      <c r="AB146" s="124">
        <f>IF($C146&gt;LOG!$F$8,0,AA145)</f>
        <v>8</v>
      </c>
      <c r="AC146" s="124">
        <f>IF($C146&gt;LOG!$F$8,0,AB145)</f>
        <v>9</v>
      </c>
      <c r="AD146" s="124">
        <f>IF($C146&gt;LOG!$F$8,0,AC145)</f>
        <v>10</v>
      </c>
      <c r="AE146" s="124">
        <f>IF($C146&gt;LOG!$F$8,0,AD145)</f>
        <v>11</v>
      </c>
      <c r="AF146" s="124">
        <f>IF($C146&gt;LOG!$F$8,0,AE145)</f>
        <v>12</v>
      </c>
      <c r="AG146" s="124">
        <f>IF($C146&gt;LOG!$F$8,0,AF145)</f>
        <v>13</v>
      </c>
      <c r="AH146" s="124">
        <f>IF($C146&gt;LOG!$F$8,0,AG145)</f>
        <v>14</v>
      </c>
      <c r="AI146" s="124">
        <f>IF($C146&gt;LOG!$F$8,0,AH145)</f>
        <v>15</v>
      </c>
      <c r="AJ146" s="124">
        <f>IF($C146&gt;LOG!$F$8,0,AI145)</f>
        <v>16</v>
      </c>
      <c r="AK146" s="124">
        <f>IF($C146&gt;LOG!$F$8,0,AJ145)</f>
        <v>17</v>
      </c>
      <c r="AL146" s="124">
        <f>IF($C146&gt;LOG!$F$8,0,AK145)</f>
        <v>18</v>
      </c>
      <c r="AM146" s="124">
        <f>IF($C146&gt;LOG!$F$8,0,AL145)</f>
        <v>19</v>
      </c>
      <c r="AN146" s="124">
        <f>IF($C146&gt;LOG!$F$8,0,AM145)</f>
        <v>20</v>
      </c>
      <c r="AO146" s="124">
        <f>IF($C146&gt;LOG!$F$8,0,AN145)</f>
        <v>21</v>
      </c>
      <c r="AP146" s="124">
        <f>IF($C146&gt;LOG!$F$8,0,AO145)</f>
        <v>22</v>
      </c>
      <c r="AQ146" s="124">
        <f>IF($C146&gt;LOG!$F$8,0,AP145)</f>
        <v>23</v>
      </c>
      <c r="AR146" s="124">
        <f>IF($C146&gt;LOG!$F$8,0,AQ145)</f>
        <v>24</v>
      </c>
      <c r="AS146" s="124">
        <f>IF($C146&gt;LOG!$F$8,0,AR145)</f>
        <v>25</v>
      </c>
      <c r="AT146" s="124">
        <f>IF($C146&gt;LOG!$F$8,0,AS145)</f>
        <v>1</v>
      </c>
      <c r="AU146" s="124">
        <f>IF($C146&gt;LOG!$F$8,0,AT145)</f>
        <v>2</v>
      </c>
      <c r="AV146" s="124">
        <f>IF($C146&gt;LOG!$F$8,0,AU145)</f>
        <v>3</v>
      </c>
    </row>
    <row r="147" spans="2:48" ht="12.95" customHeight="1" x14ac:dyDescent="0.2">
      <c r="B147" s="14"/>
      <c r="C147" s="372">
        <v>14</v>
      </c>
      <c r="D147" s="372"/>
      <c r="E147" s="372"/>
      <c r="F147" s="253" t="s">
        <v>492</v>
      </c>
      <c r="G147" s="253" t="s">
        <v>4</v>
      </c>
      <c r="H147" s="124"/>
      <c r="I147" s="124"/>
      <c r="J147" s="124"/>
      <c r="K147" s="124"/>
      <c r="L147" s="124"/>
      <c r="M147" s="124"/>
      <c r="N147" s="124"/>
      <c r="O147" s="124"/>
      <c r="P147" s="124"/>
      <c r="Q147" s="124"/>
      <c r="R147" s="124"/>
      <c r="S147" s="124"/>
      <c r="T147" s="124"/>
      <c r="U147" s="124">
        <f>IF($C147&gt;LOG!$F$8,0,T146)</f>
        <v>25</v>
      </c>
      <c r="V147" s="124">
        <f>IF($C147&gt;LOG!$F$8,0,U146)</f>
        <v>1</v>
      </c>
      <c r="W147" s="124">
        <f>IF($C147&gt;LOG!$F$8,0,V146)</f>
        <v>2</v>
      </c>
      <c r="X147" s="124">
        <f>IF($C147&gt;LOG!$F$8,0,W146)</f>
        <v>3</v>
      </c>
      <c r="Y147" s="124">
        <f>IF($C147&gt;LOG!$F$8,0,X146)</f>
        <v>4</v>
      </c>
      <c r="Z147" s="124">
        <f>IF($C147&gt;LOG!$F$8,0,Y146)</f>
        <v>5</v>
      </c>
      <c r="AA147" s="124">
        <f>IF($C147&gt;LOG!$F$8,0,Z146)</f>
        <v>6</v>
      </c>
      <c r="AB147" s="124">
        <f>IF($C147&gt;LOG!$F$8,0,AA146)</f>
        <v>7</v>
      </c>
      <c r="AC147" s="124">
        <f>IF($C147&gt;LOG!$F$8,0,AB146)</f>
        <v>8</v>
      </c>
      <c r="AD147" s="124">
        <f>IF($C147&gt;LOG!$F$8,0,AC146)</f>
        <v>9</v>
      </c>
      <c r="AE147" s="124">
        <f>IF($C147&gt;LOG!$F$8,0,AD146)</f>
        <v>10</v>
      </c>
      <c r="AF147" s="124">
        <f>IF($C147&gt;LOG!$F$8,0,AE146)</f>
        <v>11</v>
      </c>
      <c r="AG147" s="124">
        <f>IF($C147&gt;LOG!$F$8,0,AF146)</f>
        <v>12</v>
      </c>
      <c r="AH147" s="124">
        <f>IF($C147&gt;LOG!$F$8,0,AG146)</f>
        <v>13</v>
      </c>
      <c r="AI147" s="124">
        <f>IF($C147&gt;LOG!$F$8,0,AH146)</f>
        <v>14</v>
      </c>
      <c r="AJ147" s="124">
        <f>IF($C147&gt;LOG!$F$8,0,AI146)</f>
        <v>15</v>
      </c>
      <c r="AK147" s="124">
        <f>IF($C147&gt;LOG!$F$8,0,AJ146)</f>
        <v>16</v>
      </c>
      <c r="AL147" s="124">
        <f>IF($C147&gt;LOG!$F$8,0,AK146)</f>
        <v>17</v>
      </c>
      <c r="AM147" s="124">
        <f>IF($C147&gt;LOG!$F$8,0,AL146)</f>
        <v>18</v>
      </c>
      <c r="AN147" s="124">
        <f>IF($C147&gt;LOG!$F$8,0,AM146)</f>
        <v>19</v>
      </c>
      <c r="AO147" s="124">
        <f>IF($C147&gt;LOG!$F$8,0,AN146)</f>
        <v>20</v>
      </c>
      <c r="AP147" s="124">
        <f>IF($C147&gt;LOG!$F$8,0,AO146)</f>
        <v>21</v>
      </c>
      <c r="AQ147" s="124">
        <f>IF($C147&gt;LOG!$F$8,0,AP146)</f>
        <v>22</v>
      </c>
      <c r="AR147" s="124">
        <f>IF($C147&gt;LOG!$F$8,0,AQ146)</f>
        <v>23</v>
      </c>
      <c r="AS147" s="124">
        <f>IF($C147&gt;LOG!$F$8,0,AR146)</f>
        <v>24</v>
      </c>
      <c r="AT147" s="124">
        <f>IF($C147&gt;LOG!$F$8,0,AS146)</f>
        <v>25</v>
      </c>
      <c r="AU147" s="124">
        <f>IF($C147&gt;LOG!$F$8,0,AT146)</f>
        <v>1</v>
      </c>
      <c r="AV147" s="124">
        <f>IF($C147&gt;LOG!$F$8,0,AU146)</f>
        <v>2</v>
      </c>
    </row>
    <row r="148" spans="2:48" ht="12.95" customHeight="1" x14ac:dyDescent="0.2">
      <c r="B148" s="14"/>
      <c r="C148" s="372">
        <v>15</v>
      </c>
      <c r="D148" s="372"/>
      <c r="E148" s="372"/>
      <c r="F148" s="253" t="s">
        <v>492</v>
      </c>
      <c r="G148" s="253" t="s">
        <v>4</v>
      </c>
      <c r="H148" s="124"/>
      <c r="I148" s="124"/>
      <c r="J148" s="124"/>
      <c r="K148" s="124"/>
      <c r="L148" s="124"/>
      <c r="M148" s="124"/>
      <c r="N148" s="124"/>
      <c r="O148" s="124"/>
      <c r="P148" s="124"/>
      <c r="Q148" s="124"/>
      <c r="R148" s="124"/>
      <c r="S148" s="124"/>
      <c r="T148" s="124"/>
      <c r="U148" s="124"/>
      <c r="V148" s="124">
        <f>IF($C148&gt;LOG!$F$8,0,U147)</f>
        <v>25</v>
      </c>
      <c r="W148" s="124">
        <f>IF($C148&gt;LOG!$F$8,0,V147)</f>
        <v>1</v>
      </c>
      <c r="X148" s="124">
        <f>IF($C148&gt;LOG!$F$8,0,W147)</f>
        <v>2</v>
      </c>
      <c r="Y148" s="124">
        <f>IF($C148&gt;LOG!$F$8,0,X147)</f>
        <v>3</v>
      </c>
      <c r="Z148" s="124">
        <f>IF($C148&gt;LOG!$F$8,0,Y147)</f>
        <v>4</v>
      </c>
      <c r="AA148" s="124">
        <f>IF($C148&gt;LOG!$F$8,0,Z147)</f>
        <v>5</v>
      </c>
      <c r="AB148" s="124">
        <f>IF($C148&gt;LOG!$F$8,0,AA147)</f>
        <v>6</v>
      </c>
      <c r="AC148" s="124">
        <f>IF($C148&gt;LOG!$F$8,0,AB147)</f>
        <v>7</v>
      </c>
      <c r="AD148" s="124">
        <f>IF($C148&gt;LOG!$F$8,0,AC147)</f>
        <v>8</v>
      </c>
      <c r="AE148" s="124">
        <f>IF($C148&gt;LOG!$F$8,0,AD147)</f>
        <v>9</v>
      </c>
      <c r="AF148" s="124">
        <f>IF($C148&gt;LOG!$F$8,0,AE147)</f>
        <v>10</v>
      </c>
      <c r="AG148" s="124">
        <f>IF($C148&gt;LOG!$F$8,0,AF147)</f>
        <v>11</v>
      </c>
      <c r="AH148" s="124">
        <f>IF($C148&gt;LOG!$F$8,0,AG147)</f>
        <v>12</v>
      </c>
      <c r="AI148" s="124">
        <f>IF($C148&gt;LOG!$F$8,0,AH147)</f>
        <v>13</v>
      </c>
      <c r="AJ148" s="124">
        <f>IF($C148&gt;LOG!$F$8,0,AI147)</f>
        <v>14</v>
      </c>
      <c r="AK148" s="124">
        <f>IF($C148&gt;LOG!$F$8,0,AJ147)</f>
        <v>15</v>
      </c>
      <c r="AL148" s="124">
        <f>IF($C148&gt;LOG!$F$8,0,AK147)</f>
        <v>16</v>
      </c>
      <c r="AM148" s="124">
        <f>IF($C148&gt;LOG!$F$8,0,AL147)</f>
        <v>17</v>
      </c>
      <c r="AN148" s="124">
        <f>IF($C148&gt;LOG!$F$8,0,AM147)</f>
        <v>18</v>
      </c>
      <c r="AO148" s="124">
        <f>IF($C148&gt;LOG!$F$8,0,AN147)</f>
        <v>19</v>
      </c>
      <c r="AP148" s="124">
        <f>IF($C148&gt;LOG!$F$8,0,AO147)</f>
        <v>20</v>
      </c>
      <c r="AQ148" s="124">
        <f>IF($C148&gt;LOG!$F$8,0,AP147)</f>
        <v>21</v>
      </c>
      <c r="AR148" s="124">
        <f>IF($C148&gt;LOG!$F$8,0,AQ147)</f>
        <v>22</v>
      </c>
      <c r="AS148" s="124">
        <f>IF($C148&gt;LOG!$F$8,0,AR147)</f>
        <v>23</v>
      </c>
      <c r="AT148" s="124">
        <f>IF($C148&gt;LOG!$F$8,0,AS147)</f>
        <v>24</v>
      </c>
      <c r="AU148" s="124">
        <f>IF($C148&gt;LOG!$F$8,0,AT147)</f>
        <v>25</v>
      </c>
      <c r="AV148" s="124">
        <f>IF($C148&gt;LOG!$F$8,0,AU147)</f>
        <v>1</v>
      </c>
    </row>
    <row r="149" spans="2:48" ht="12.95" customHeight="1" x14ac:dyDescent="0.2">
      <c r="B149" s="14"/>
      <c r="C149" s="372">
        <v>16</v>
      </c>
      <c r="D149" s="372"/>
      <c r="E149" s="372"/>
      <c r="F149" s="253" t="s">
        <v>492</v>
      </c>
      <c r="G149" s="253" t="s">
        <v>4</v>
      </c>
      <c r="H149" s="124"/>
      <c r="I149" s="124"/>
      <c r="J149" s="124"/>
      <c r="K149" s="124"/>
      <c r="L149" s="124"/>
      <c r="M149" s="124"/>
      <c r="N149" s="124"/>
      <c r="O149" s="124"/>
      <c r="P149" s="124"/>
      <c r="Q149" s="124"/>
      <c r="R149" s="124"/>
      <c r="S149" s="124"/>
      <c r="T149" s="124"/>
      <c r="U149" s="124"/>
      <c r="V149" s="124"/>
      <c r="W149" s="124">
        <f>IF($C149&gt;LOG!$F$8,0,V148)</f>
        <v>25</v>
      </c>
      <c r="X149" s="124">
        <f>IF($C149&gt;LOG!$F$8,0,W148)</f>
        <v>1</v>
      </c>
      <c r="Y149" s="124">
        <f>IF($C149&gt;LOG!$F$8,0,X148)</f>
        <v>2</v>
      </c>
      <c r="Z149" s="124">
        <f>IF($C149&gt;LOG!$F$8,0,Y148)</f>
        <v>3</v>
      </c>
      <c r="AA149" s="124">
        <f>IF($C149&gt;LOG!$F$8,0,Z148)</f>
        <v>4</v>
      </c>
      <c r="AB149" s="124">
        <f>IF($C149&gt;LOG!$F$8,0,AA148)</f>
        <v>5</v>
      </c>
      <c r="AC149" s="124">
        <f>IF($C149&gt;LOG!$F$8,0,AB148)</f>
        <v>6</v>
      </c>
      <c r="AD149" s="124">
        <f>IF($C149&gt;LOG!$F$8,0,AC148)</f>
        <v>7</v>
      </c>
      <c r="AE149" s="124">
        <f>IF($C149&gt;LOG!$F$8,0,AD148)</f>
        <v>8</v>
      </c>
      <c r="AF149" s="124">
        <f>IF($C149&gt;LOG!$F$8,0,AE148)</f>
        <v>9</v>
      </c>
      <c r="AG149" s="124">
        <f>IF($C149&gt;LOG!$F$8,0,AF148)</f>
        <v>10</v>
      </c>
      <c r="AH149" s="124">
        <f>IF($C149&gt;LOG!$F$8,0,AG148)</f>
        <v>11</v>
      </c>
      <c r="AI149" s="124">
        <f>IF($C149&gt;LOG!$F$8,0,AH148)</f>
        <v>12</v>
      </c>
      <c r="AJ149" s="124">
        <f>IF($C149&gt;LOG!$F$8,0,AI148)</f>
        <v>13</v>
      </c>
      <c r="AK149" s="124">
        <f>IF($C149&gt;LOG!$F$8,0,AJ148)</f>
        <v>14</v>
      </c>
      <c r="AL149" s="124">
        <f>IF($C149&gt;LOG!$F$8,0,AK148)</f>
        <v>15</v>
      </c>
      <c r="AM149" s="124">
        <f>IF($C149&gt;LOG!$F$8,0,AL148)</f>
        <v>16</v>
      </c>
      <c r="AN149" s="124">
        <f>IF($C149&gt;LOG!$F$8,0,AM148)</f>
        <v>17</v>
      </c>
      <c r="AO149" s="124">
        <f>IF($C149&gt;LOG!$F$8,0,AN148)</f>
        <v>18</v>
      </c>
      <c r="AP149" s="124">
        <f>IF($C149&gt;LOG!$F$8,0,AO148)</f>
        <v>19</v>
      </c>
      <c r="AQ149" s="124">
        <f>IF($C149&gt;LOG!$F$8,0,AP148)</f>
        <v>20</v>
      </c>
      <c r="AR149" s="124">
        <f>IF($C149&gt;LOG!$F$8,0,AQ148)</f>
        <v>21</v>
      </c>
      <c r="AS149" s="124">
        <f>IF($C149&gt;LOG!$F$8,0,AR148)</f>
        <v>22</v>
      </c>
      <c r="AT149" s="124">
        <f>IF($C149&gt;LOG!$F$8,0,AS148)</f>
        <v>23</v>
      </c>
      <c r="AU149" s="124">
        <f>IF($C149&gt;LOG!$F$8,0,AT148)</f>
        <v>24</v>
      </c>
      <c r="AV149" s="124">
        <f>IF($C149&gt;LOG!$F$8,0,AU148)</f>
        <v>25</v>
      </c>
    </row>
    <row r="150" spans="2:48" ht="12.95" customHeight="1" x14ac:dyDescent="0.2">
      <c r="B150" s="14"/>
      <c r="C150" s="372">
        <v>17</v>
      </c>
      <c r="D150" s="372"/>
      <c r="E150" s="372"/>
      <c r="F150" s="253" t="s">
        <v>492</v>
      </c>
      <c r="G150" s="253" t="s">
        <v>4</v>
      </c>
      <c r="H150" s="124"/>
      <c r="I150" s="124"/>
      <c r="J150" s="124"/>
      <c r="K150" s="124"/>
      <c r="L150" s="124"/>
      <c r="M150" s="124"/>
      <c r="N150" s="124"/>
      <c r="O150" s="124"/>
      <c r="P150" s="124"/>
      <c r="Q150" s="124"/>
      <c r="R150" s="124"/>
      <c r="S150" s="124"/>
      <c r="T150" s="124"/>
      <c r="U150" s="124"/>
      <c r="V150" s="124"/>
      <c r="W150" s="124"/>
      <c r="X150" s="124">
        <f>IF($C150&gt;LOG!$F$8,0,W149)</f>
        <v>25</v>
      </c>
      <c r="Y150" s="124">
        <f>IF($C150&gt;LOG!$F$8,0,X149)</f>
        <v>1</v>
      </c>
      <c r="Z150" s="124">
        <f>IF($C150&gt;LOG!$F$8,0,Y149)</f>
        <v>2</v>
      </c>
      <c r="AA150" s="124">
        <f>IF($C150&gt;LOG!$F$8,0,Z149)</f>
        <v>3</v>
      </c>
      <c r="AB150" s="124">
        <f>IF($C150&gt;LOG!$F$8,0,AA149)</f>
        <v>4</v>
      </c>
      <c r="AC150" s="124">
        <f>IF($C150&gt;LOG!$F$8,0,AB149)</f>
        <v>5</v>
      </c>
      <c r="AD150" s="124">
        <f>IF($C150&gt;LOG!$F$8,0,AC149)</f>
        <v>6</v>
      </c>
      <c r="AE150" s="124">
        <f>IF($C150&gt;LOG!$F$8,0,AD149)</f>
        <v>7</v>
      </c>
      <c r="AF150" s="124">
        <f>IF($C150&gt;LOG!$F$8,0,AE149)</f>
        <v>8</v>
      </c>
      <c r="AG150" s="124">
        <f>IF($C150&gt;LOG!$F$8,0,AF149)</f>
        <v>9</v>
      </c>
      <c r="AH150" s="124">
        <f>IF($C150&gt;LOG!$F$8,0,AG149)</f>
        <v>10</v>
      </c>
      <c r="AI150" s="124">
        <f>IF($C150&gt;LOG!$F$8,0,AH149)</f>
        <v>11</v>
      </c>
      <c r="AJ150" s="124">
        <f>IF($C150&gt;LOG!$F$8,0,AI149)</f>
        <v>12</v>
      </c>
      <c r="AK150" s="124">
        <f>IF($C150&gt;LOG!$F$8,0,AJ149)</f>
        <v>13</v>
      </c>
      <c r="AL150" s="124">
        <f>IF($C150&gt;LOG!$F$8,0,AK149)</f>
        <v>14</v>
      </c>
      <c r="AM150" s="124">
        <f>IF($C150&gt;LOG!$F$8,0,AL149)</f>
        <v>15</v>
      </c>
      <c r="AN150" s="124">
        <f>IF($C150&gt;LOG!$F$8,0,AM149)</f>
        <v>16</v>
      </c>
      <c r="AO150" s="124">
        <f>IF($C150&gt;LOG!$F$8,0,AN149)</f>
        <v>17</v>
      </c>
      <c r="AP150" s="124">
        <f>IF($C150&gt;LOG!$F$8,0,AO149)</f>
        <v>18</v>
      </c>
      <c r="AQ150" s="124">
        <f>IF($C150&gt;LOG!$F$8,0,AP149)</f>
        <v>19</v>
      </c>
      <c r="AR150" s="124">
        <f>IF($C150&gt;LOG!$F$8,0,AQ149)</f>
        <v>20</v>
      </c>
      <c r="AS150" s="124">
        <f>IF($C150&gt;LOG!$F$8,0,AR149)</f>
        <v>21</v>
      </c>
      <c r="AT150" s="124">
        <f>IF($C150&gt;LOG!$F$8,0,AS149)</f>
        <v>22</v>
      </c>
      <c r="AU150" s="124">
        <f>IF($C150&gt;LOG!$F$8,0,AT149)</f>
        <v>23</v>
      </c>
      <c r="AV150" s="124">
        <f>IF($C150&gt;LOG!$F$8,0,AU149)</f>
        <v>24</v>
      </c>
    </row>
    <row r="151" spans="2:48" ht="12.95" customHeight="1" x14ac:dyDescent="0.2">
      <c r="B151" s="14"/>
      <c r="C151" s="372">
        <v>18</v>
      </c>
      <c r="D151" s="372"/>
      <c r="E151" s="372"/>
      <c r="F151" s="253" t="s">
        <v>492</v>
      </c>
      <c r="G151" s="253" t="s">
        <v>4</v>
      </c>
      <c r="H151" s="124"/>
      <c r="I151" s="124"/>
      <c r="J151" s="124"/>
      <c r="K151" s="124"/>
      <c r="L151" s="124"/>
      <c r="M151" s="124"/>
      <c r="N151" s="124"/>
      <c r="O151" s="124"/>
      <c r="P151" s="124"/>
      <c r="Q151" s="124"/>
      <c r="R151" s="124"/>
      <c r="S151" s="124"/>
      <c r="T151" s="124"/>
      <c r="U151" s="124"/>
      <c r="V151" s="124"/>
      <c r="W151" s="124"/>
      <c r="X151" s="124"/>
      <c r="Y151" s="124">
        <f>IF($C151&gt;LOG!$F$8,0,X150)</f>
        <v>25</v>
      </c>
      <c r="Z151" s="124">
        <f>IF($C151&gt;LOG!$F$8,0,Y150)</f>
        <v>1</v>
      </c>
      <c r="AA151" s="124">
        <f>IF($C151&gt;LOG!$F$8,0,Z150)</f>
        <v>2</v>
      </c>
      <c r="AB151" s="124">
        <f>IF($C151&gt;LOG!$F$8,0,AA150)</f>
        <v>3</v>
      </c>
      <c r="AC151" s="124">
        <f>IF($C151&gt;LOG!$F$8,0,AB150)</f>
        <v>4</v>
      </c>
      <c r="AD151" s="124">
        <f>IF($C151&gt;LOG!$F$8,0,AC150)</f>
        <v>5</v>
      </c>
      <c r="AE151" s="124">
        <f>IF($C151&gt;LOG!$F$8,0,AD150)</f>
        <v>6</v>
      </c>
      <c r="AF151" s="124">
        <f>IF($C151&gt;LOG!$F$8,0,AE150)</f>
        <v>7</v>
      </c>
      <c r="AG151" s="124">
        <f>IF($C151&gt;LOG!$F$8,0,AF150)</f>
        <v>8</v>
      </c>
      <c r="AH151" s="124">
        <f>IF($C151&gt;LOG!$F$8,0,AG150)</f>
        <v>9</v>
      </c>
      <c r="AI151" s="124">
        <f>IF($C151&gt;LOG!$F$8,0,AH150)</f>
        <v>10</v>
      </c>
      <c r="AJ151" s="124">
        <f>IF($C151&gt;LOG!$F$8,0,AI150)</f>
        <v>11</v>
      </c>
      <c r="AK151" s="124">
        <f>IF($C151&gt;LOG!$F$8,0,AJ150)</f>
        <v>12</v>
      </c>
      <c r="AL151" s="124">
        <f>IF($C151&gt;LOG!$F$8,0,AK150)</f>
        <v>13</v>
      </c>
      <c r="AM151" s="124">
        <f>IF($C151&gt;LOG!$F$8,0,AL150)</f>
        <v>14</v>
      </c>
      <c r="AN151" s="124">
        <f>IF($C151&gt;LOG!$F$8,0,AM150)</f>
        <v>15</v>
      </c>
      <c r="AO151" s="124">
        <f>IF($C151&gt;LOG!$F$8,0,AN150)</f>
        <v>16</v>
      </c>
      <c r="AP151" s="124">
        <f>IF($C151&gt;LOG!$F$8,0,AO150)</f>
        <v>17</v>
      </c>
      <c r="AQ151" s="124">
        <f>IF($C151&gt;LOG!$F$8,0,AP150)</f>
        <v>18</v>
      </c>
      <c r="AR151" s="124">
        <f>IF($C151&gt;LOG!$F$8,0,AQ150)</f>
        <v>19</v>
      </c>
      <c r="AS151" s="124">
        <f>IF($C151&gt;LOG!$F$8,0,AR150)</f>
        <v>20</v>
      </c>
      <c r="AT151" s="124">
        <f>IF($C151&gt;LOG!$F$8,0,AS150)</f>
        <v>21</v>
      </c>
      <c r="AU151" s="124">
        <f>IF($C151&gt;LOG!$F$8,0,AT150)</f>
        <v>22</v>
      </c>
      <c r="AV151" s="124">
        <f>IF($C151&gt;LOG!$F$8,0,AU150)</f>
        <v>23</v>
      </c>
    </row>
    <row r="152" spans="2:48" ht="12.95" customHeight="1" x14ac:dyDescent="0.2">
      <c r="B152" s="14"/>
      <c r="C152" s="372">
        <v>19</v>
      </c>
      <c r="D152" s="372"/>
      <c r="E152" s="372"/>
      <c r="F152" s="253" t="s">
        <v>492</v>
      </c>
      <c r="G152" s="253" t="s">
        <v>4</v>
      </c>
      <c r="H152" s="124"/>
      <c r="I152" s="124"/>
      <c r="J152" s="124"/>
      <c r="K152" s="124"/>
      <c r="L152" s="124"/>
      <c r="M152" s="124"/>
      <c r="N152" s="124"/>
      <c r="O152" s="124"/>
      <c r="P152" s="124"/>
      <c r="Q152" s="124"/>
      <c r="R152" s="124"/>
      <c r="S152" s="124"/>
      <c r="T152" s="124"/>
      <c r="U152" s="124"/>
      <c r="V152" s="124"/>
      <c r="W152" s="124"/>
      <c r="X152" s="124"/>
      <c r="Y152" s="124"/>
      <c r="Z152" s="124">
        <f>IF($C152&gt;LOG!$F$8,0,Y151)</f>
        <v>25</v>
      </c>
      <c r="AA152" s="124">
        <f>IF($C152&gt;LOG!$F$8,0,Z151)</f>
        <v>1</v>
      </c>
      <c r="AB152" s="124">
        <f>IF($C152&gt;LOG!$F$8,0,AA151)</f>
        <v>2</v>
      </c>
      <c r="AC152" s="124">
        <f>IF($C152&gt;LOG!$F$8,0,AB151)</f>
        <v>3</v>
      </c>
      <c r="AD152" s="124">
        <f>IF($C152&gt;LOG!$F$8,0,AC151)</f>
        <v>4</v>
      </c>
      <c r="AE152" s="124">
        <f>IF($C152&gt;LOG!$F$8,0,AD151)</f>
        <v>5</v>
      </c>
      <c r="AF152" s="124">
        <f>IF($C152&gt;LOG!$F$8,0,AE151)</f>
        <v>6</v>
      </c>
      <c r="AG152" s="124">
        <f>IF($C152&gt;LOG!$F$8,0,AF151)</f>
        <v>7</v>
      </c>
      <c r="AH152" s="124">
        <f>IF($C152&gt;LOG!$F$8,0,AG151)</f>
        <v>8</v>
      </c>
      <c r="AI152" s="124">
        <f>IF($C152&gt;LOG!$F$8,0,AH151)</f>
        <v>9</v>
      </c>
      <c r="AJ152" s="124">
        <f>IF($C152&gt;LOG!$F$8,0,AI151)</f>
        <v>10</v>
      </c>
      <c r="AK152" s="124">
        <f>IF($C152&gt;LOG!$F$8,0,AJ151)</f>
        <v>11</v>
      </c>
      <c r="AL152" s="124">
        <f>IF($C152&gt;LOG!$F$8,0,AK151)</f>
        <v>12</v>
      </c>
      <c r="AM152" s="124">
        <f>IF($C152&gt;LOG!$F$8,0,AL151)</f>
        <v>13</v>
      </c>
      <c r="AN152" s="124">
        <f>IF($C152&gt;LOG!$F$8,0,AM151)</f>
        <v>14</v>
      </c>
      <c r="AO152" s="124">
        <f>IF($C152&gt;LOG!$F$8,0,AN151)</f>
        <v>15</v>
      </c>
      <c r="AP152" s="124">
        <f>IF($C152&gt;LOG!$F$8,0,AO151)</f>
        <v>16</v>
      </c>
      <c r="AQ152" s="124">
        <f>IF($C152&gt;LOG!$F$8,0,AP151)</f>
        <v>17</v>
      </c>
      <c r="AR152" s="124">
        <f>IF($C152&gt;LOG!$F$8,0,AQ151)</f>
        <v>18</v>
      </c>
      <c r="AS152" s="124">
        <f>IF($C152&gt;LOG!$F$8,0,AR151)</f>
        <v>19</v>
      </c>
      <c r="AT152" s="124">
        <f>IF($C152&gt;LOG!$F$8,0,AS151)</f>
        <v>20</v>
      </c>
      <c r="AU152" s="124">
        <f>IF($C152&gt;LOG!$F$8,0,AT151)</f>
        <v>21</v>
      </c>
      <c r="AV152" s="124">
        <f>IF($C152&gt;LOG!$F$8,0,AU151)</f>
        <v>22</v>
      </c>
    </row>
    <row r="153" spans="2:48" ht="12.95" customHeight="1" x14ac:dyDescent="0.2">
      <c r="B153" s="14"/>
      <c r="C153" s="372">
        <v>20</v>
      </c>
      <c r="D153" s="372"/>
      <c r="E153" s="372"/>
      <c r="F153" s="253" t="s">
        <v>492</v>
      </c>
      <c r="G153" s="253" t="s">
        <v>4</v>
      </c>
      <c r="H153" s="124"/>
      <c r="I153" s="124"/>
      <c r="J153" s="124"/>
      <c r="K153" s="124"/>
      <c r="L153" s="124"/>
      <c r="M153" s="124"/>
      <c r="N153" s="124"/>
      <c r="O153" s="124"/>
      <c r="P153" s="124"/>
      <c r="Q153" s="124"/>
      <c r="R153" s="124"/>
      <c r="S153" s="124"/>
      <c r="T153" s="124"/>
      <c r="U153" s="124"/>
      <c r="V153" s="124"/>
      <c r="W153" s="124"/>
      <c r="X153" s="124"/>
      <c r="Y153" s="124"/>
      <c r="Z153" s="124"/>
      <c r="AA153" s="124">
        <f>IF($C153&gt;LOG!$F$8,0,Z152)</f>
        <v>25</v>
      </c>
      <c r="AB153" s="124">
        <f>IF($C153&gt;LOG!$F$8,0,AA152)</f>
        <v>1</v>
      </c>
      <c r="AC153" s="124">
        <f>IF($C153&gt;LOG!$F$8,0,AB152)</f>
        <v>2</v>
      </c>
      <c r="AD153" s="124">
        <f>IF($C153&gt;LOG!$F$8,0,AC152)</f>
        <v>3</v>
      </c>
      <c r="AE153" s="124">
        <f>IF($C153&gt;LOG!$F$8,0,AD152)</f>
        <v>4</v>
      </c>
      <c r="AF153" s="124">
        <f>IF($C153&gt;LOG!$F$8,0,AE152)</f>
        <v>5</v>
      </c>
      <c r="AG153" s="124">
        <f>IF($C153&gt;LOG!$F$8,0,AF152)</f>
        <v>6</v>
      </c>
      <c r="AH153" s="124">
        <f>IF($C153&gt;LOG!$F$8,0,AG152)</f>
        <v>7</v>
      </c>
      <c r="AI153" s="124">
        <f>IF($C153&gt;LOG!$F$8,0,AH152)</f>
        <v>8</v>
      </c>
      <c r="AJ153" s="124">
        <f>IF($C153&gt;LOG!$F$8,0,AI152)</f>
        <v>9</v>
      </c>
      <c r="AK153" s="124">
        <f>IF($C153&gt;LOG!$F$8,0,AJ152)</f>
        <v>10</v>
      </c>
      <c r="AL153" s="124">
        <f>IF($C153&gt;LOG!$F$8,0,AK152)</f>
        <v>11</v>
      </c>
      <c r="AM153" s="124">
        <f>IF($C153&gt;LOG!$F$8,0,AL152)</f>
        <v>12</v>
      </c>
      <c r="AN153" s="124">
        <f>IF($C153&gt;LOG!$F$8,0,AM152)</f>
        <v>13</v>
      </c>
      <c r="AO153" s="124">
        <f>IF($C153&gt;LOG!$F$8,0,AN152)</f>
        <v>14</v>
      </c>
      <c r="AP153" s="124">
        <f>IF($C153&gt;LOG!$F$8,0,AO152)</f>
        <v>15</v>
      </c>
      <c r="AQ153" s="124">
        <f>IF($C153&gt;LOG!$F$8,0,AP152)</f>
        <v>16</v>
      </c>
      <c r="AR153" s="124">
        <f>IF($C153&gt;LOG!$F$8,0,AQ152)</f>
        <v>17</v>
      </c>
      <c r="AS153" s="124">
        <f>IF($C153&gt;LOG!$F$8,0,AR152)</f>
        <v>18</v>
      </c>
      <c r="AT153" s="124">
        <f>IF($C153&gt;LOG!$F$8,0,AS152)</f>
        <v>19</v>
      </c>
      <c r="AU153" s="124">
        <f>IF($C153&gt;LOG!$F$8,0,AT152)</f>
        <v>20</v>
      </c>
      <c r="AV153" s="124">
        <f>IF($C153&gt;LOG!$F$8,0,AU152)</f>
        <v>21</v>
      </c>
    </row>
    <row r="154" spans="2:48" ht="12.95" customHeight="1" x14ac:dyDescent="0.2">
      <c r="B154" s="14"/>
      <c r="C154" s="372">
        <v>21</v>
      </c>
      <c r="D154" s="372"/>
      <c r="E154" s="372"/>
      <c r="F154" s="253" t="s">
        <v>492</v>
      </c>
      <c r="G154" s="253" t="s">
        <v>4</v>
      </c>
      <c r="H154" s="124"/>
      <c r="I154" s="124"/>
      <c r="J154" s="124"/>
      <c r="K154" s="124"/>
      <c r="L154" s="124"/>
      <c r="M154" s="124"/>
      <c r="N154" s="124"/>
      <c r="O154" s="124"/>
      <c r="P154" s="124"/>
      <c r="Q154" s="124"/>
      <c r="R154" s="124"/>
      <c r="S154" s="124"/>
      <c r="T154" s="124"/>
      <c r="U154" s="124"/>
      <c r="V154" s="124"/>
      <c r="W154" s="124"/>
      <c r="X154" s="124"/>
      <c r="Y154" s="124"/>
      <c r="Z154" s="124"/>
      <c r="AA154" s="124"/>
      <c r="AB154" s="124">
        <f>IF($C154&gt;LOG!$F$8,0,AA153)</f>
        <v>25</v>
      </c>
      <c r="AC154" s="124">
        <f>IF($C154&gt;LOG!$F$8,0,AB153)</f>
        <v>1</v>
      </c>
      <c r="AD154" s="124">
        <f>IF($C154&gt;LOG!$F$8,0,AC153)</f>
        <v>2</v>
      </c>
      <c r="AE154" s="124">
        <f>IF($C154&gt;LOG!$F$8,0,AD153)</f>
        <v>3</v>
      </c>
      <c r="AF154" s="124">
        <f>IF($C154&gt;LOG!$F$8,0,AE153)</f>
        <v>4</v>
      </c>
      <c r="AG154" s="124">
        <f>IF($C154&gt;LOG!$F$8,0,AF153)</f>
        <v>5</v>
      </c>
      <c r="AH154" s="124">
        <f>IF($C154&gt;LOG!$F$8,0,AG153)</f>
        <v>6</v>
      </c>
      <c r="AI154" s="124">
        <f>IF($C154&gt;LOG!$F$8,0,AH153)</f>
        <v>7</v>
      </c>
      <c r="AJ154" s="124">
        <f>IF($C154&gt;LOG!$F$8,0,AI153)</f>
        <v>8</v>
      </c>
      <c r="AK154" s="124">
        <f>IF($C154&gt;LOG!$F$8,0,AJ153)</f>
        <v>9</v>
      </c>
      <c r="AL154" s="124">
        <f>IF($C154&gt;LOG!$F$8,0,AK153)</f>
        <v>10</v>
      </c>
      <c r="AM154" s="124">
        <f>IF($C154&gt;LOG!$F$8,0,AL153)</f>
        <v>11</v>
      </c>
      <c r="AN154" s="124">
        <f>IF($C154&gt;LOG!$F$8,0,AM153)</f>
        <v>12</v>
      </c>
      <c r="AO154" s="124">
        <f>IF($C154&gt;LOG!$F$8,0,AN153)</f>
        <v>13</v>
      </c>
      <c r="AP154" s="124">
        <f>IF($C154&gt;LOG!$F$8,0,AO153)</f>
        <v>14</v>
      </c>
      <c r="AQ154" s="124">
        <f>IF($C154&gt;LOG!$F$8,0,AP153)</f>
        <v>15</v>
      </c>
      <c r="AR154" s="124">
        <f>IF($C154&gt;LOG!$F$8,0,AQ153)</f>
        <v>16</v>
      </c>
      <c r="AS154" s="124">
        <f>IF($C154&gt;LOG!$F$8,0,AR153)</f>
        <v>17</v>
      </c>
      <c r="AT154" s="124">
        <f>IF($C154&gt;LOG!$F$8,0,AS153)</f>
        <v>18</v>
      </c>
      <c r="AU154" s="124">
        <f>IF($C154&gt;LOG!$F$8,0,AT153)</f>
        <v>19</v>
      </c>
      <c r="AV154" s="124">
        <f>IF($C154&gt;LOG!$F$8,0,AU153)</f>
        <v>20</v>
      </c>
    </row>
    <row r="155" spans="2:48" ht="12.95" customHeight="1" x14ac:dyDescent="0.2">
      <c r="B155" s="14"/>
      <c r="C155" s="372">
        <v>22</v>
      </c>
      <c r="D155" s="372"/>
      <c r="E155" s="372"/>
      <c r="F155" s="253" t="s">
        <v>492</v>
      </c>
      <c r="G155" s="253" t="s">
        <v>4</v>
      </c>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f>IF($C155&gt;LOG!$F$8,0,AB154)</f>
        <v>25</v>
      </c>
      <c r="AD155" s="124">
        <f>IF($C155&gt;LOG!$F$8,0,AC154)</f>
        <v>1</v>
      </c>
      <c r="AE155" s="124">
        <f>IF($C155&gt;LOG!$F$8,0,AD154)</f>
        <v>2</v>
      </c>
      <c r="AF155" s="124">
        <f>IF($C155&gt;LOG!$F$8,0,AE154)</f>
        <v>3</v>
      </c>
      <c r="AG155" s="124">
        <f>IF($C155&gt;LOG!$F$8,0,AF154)</f>
        <v>4</v>
      </c>
      <c r="AH155" s="124">
        <f>IF($C155&gt;LOG!$F$8,0,AG154)</f>
        <v>5</v>
      </c>
      <c r="AI155" s="124">
        <f>IF($C155&gt;LOG!$F$8,0,AH154)</f>
        <v>6</v>
      </c>
      <c r="AJ155" s="124">
        <f>IF($C155&gt;LOG!$F$8,0,AI154)</f>
        <v>7</v>
      </c>
      <c r="AK155" s="124">
        <f>IF($C155&gt;LOG!$F$8,0,AJ154)</f>
        <v>8</v>
      </c>
      <c r="AL155" s="124">
        <f>IF($C155&gt;LOG!$F$8,0,AK154)</f>
        <v>9</v>
      </c>
      <c r="AM155" s="124">
        <f>IF($C155&gt;LOG!$F$8,0,AL154)</f>
        <v>10</v>
      </c>
      <c r="AN155" s="124">
        <f>IF($C155&gt;LOG!$F$8,0,AM154)</f>
        <v>11</v>
      </c>
      <c r="AO155" s="124">
        <f>IF($C155&gt;LOG!$F$8,0,AN154)</f>
        <v>12</v>
      </c>
      <c r="AP155" s="124">
        <f>IF($C155&gt;LOG!$F$8,0,AO154)</f>
        <v>13</v>
      </c>
      <c r="AQ155" s="124">
        <f>IF($C155&gt;LOG!$F$8,0,AP154)</f>
        <v>14</v>
      </c>
      <c r="AR155" s="124">
        <f>IF($C155&gt;LOG!$F$8,0,AQ154)</f>
        <v>15</v>
      </c>
      <c r="AS155" s="124">
        <f>IF($C155&gt;LOG!$F$8,0,AR154)</f>
        <v>16</v>
      </c>
      <c r="AT155" s="124">
        <f>IF($C155&gt;LOG!$F$8,0,AS154)</f>
        <v>17</v>
      </c>
      <c r="AU155" s="124">
        <f>IF($C155&gt;LOG!$F$8,0,AT154)</f>
        <v>18</v>
      </c>
      <c r="AV155" s="124">
        <f>IF($C155&gt;LOG!$F$8,0,AU154)</f>
        <v>19</v>
      </c>
    </row>
    <row r="156" spans="2:48" ht="12.95" customHeight="1" x14ac:dyDescent="0.2">
      <c r="B156" s="14"/>
      <c r="C156" s="372">
        <v>23</v>
      </c>
      <c r="D156" s="372"/>
      <c r="E156" s="372"/>
      <c r="F156" s="253" t="s">
        <v>492</v>
      </c>
      <c r="G156" s="253" t="s">
        <v>4</v>
      </c>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f>IF($C156&gt;LOG!$F$8,0,AC155)</f>
        <v>25</v>
      </c>
      <c r="AE156" s="124">
        <f>IF($C156&gt;LOG!$F$8,0,AD155)</f>
        <v>1</v>
      </c>
      <c r="AF156" s="124">
        <f>IF($C156&gt;LOG!$F$8,0,AE155)</f>
        <v>2</v>
      </c>
      <c r="AG156" s="124">
        <f>IF($C156&gt;LOG!$F$8,0,AF155)</f>
        <v>3</v>
      </c>
      <c r="AH156" s="124">
        <f>IF($C156&gt;LOG!$F$8,0,AG155)</f>
        <v>4</v>
      </c>
      <c r="AI156" s="124">
        <f>IF($C156&gt;LOG!$F$8,0,AH155)</f>
        <v>5</v>
      </c>
      <c r="AJ156" s="124">
        <f>IF($C156&gt;LOG!$F$8,0,AI155)</f>
        <v>6</v>
      </c>
      <c r="AK156" s="124">
        <f>IF($C156&gt;LOG!$F$8,0,AJ155)</f>
        <v>7</v>
      </c>
      <c r="AL156" s="124">
        <f>IF($C156&gt;LOG!$F$8,0,AK155)</f>
        <v>8</v>
      </c>
      <c r="AM156" s="124">
        <f>IF($C156&gt;LOG!$F$8,0,AL155)</f>
        <v>9</v>
      </c>
      <c r="AN156" s="124">
        <f>IF($C156&gt;LOG!$F$8,0,AM155)</f>
        <v>10</v>
      </c>
      <c r="AO156" s="124">
        <f>IF($C156&gt;LOG!$F$8,0,AN155)</f>
        <v>11</v>
      </c>
      <c r="AP156" s="124">
        <f>IF($C156&gt;LOG!$F$8,0,AO155)</f>
        <v>12</v>
      </c>
      <c r="AQ156" s="124">
        <f>IF($C156&gt;LOG!$F$8,0,AP155)</f>
        <v>13</v>
      </c>
      <c r="AR156" s="124">
        <f>IF($C156&gt;LOG!$F$8,0,AQ155)</f>
        <v>14</v>
      </c>
      <c r="AS156" s="124">
        <f>IF($C156&gt;LOG!$F$8,0,AR155)</f>
        <v>15</v>
      </c>
      <c r="AT156" s="124">
        <f>IF($C156&gt;LOG!$F$8,0,AS155)</f>
        <v>16</v>
      </c>
      <c r="AU156" s="124">
        <f>IF($C156&gt;LOG!$F$8,0,AT155)</f>
        <v>17</v>
      </c>
      <c r="AV156" s="124">
        <f>IF($C156&gt;LOG!$F$8,0,AU155)</f>
        <v>18</v>
      </c>
    </row>
    <row r="157" spans="2:48" ht="12.95" customHeight="1" x14ac:dyDescent="0.2">
      <c r="B157" s="14"/>
      <c r="C157" s="372">
        <v>24</v>
      </c>
      <c r="D157" s="372"/>
      <c r="E157" s="372"/>
      <c r="F157" s="253" t="s">
        <v>492</v>
      </c>
      <c r="G157" s="253" t="s">
        <v>4</v>
      </c>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c r="AD157" s="124"/>
      <c r="AE157" s="124">
        <f>IF($C157&gt;LOG!$F$8,0,AD156)</f>
        <v>25</v>
      </c>
      <c r="AF157" s="124">
        <f>IF($C157&gt;LOG!$F$8,0,AE156)</f>
        <v>1</v>
      </c>
      <c r="AG157" s="124">
        <f>IF($C157&gt;LOG!$F$8,0,AF156)</f>
        <v>2</v>
      </c>
      <c r="AH157" s="124">
        <f>IF($C157&gt;LOG!$F$8,0,AG156)</f>
        <v>3</v>
      </c>
      <c r="AI157" s="124">
        <f>IF($C157&gt;LOG!$F$8,0,AH156)</f>
        <v>4</v>
      </c>
      <c r="AJ157" s="124">
        <f>IF($C157&gt;LOG!$F$8,0,AI156)</f>
        <v>5</v>
      </c>
      <c r="AK157" s="124">
        <f>IF($C157&gt;LOG!$F$8,0,AJ156)</f>
        <v>6</v>
      </c>
      <c r="AL157" s="124">
        <f>IF($C157&gt;LOG!$F$8,0,AK156)</f>
        <v>7</v>
      </c>
      <c r="AM157" s="124">
        <f>IF($C157&gt;LOG!$F$8,0,AL156)</f>
        <v>8</v>
      </c>
      <c r="AN157" s="124">
        <f>IF($C157&gt;LOG!$F$8,0,AM156)</f>
        <v>9</v>
      </c>
      <c r="AO157" s="124">
        <f>IF($C157&gt;LOG!$F$8,0,AN156)</f>
        <v>10</v>
      </c>
      <c r="AP157" s="124">
        <f>IF($C157&gt;LOG!$F$8,0,AO156)</f>
        <v>11</v>
      </c>
      <c r="AQ157" s="124">
        <f>IF($C157&gt;LOG!$F$8,0,AP156)</f>
        <v>12</v>
      </c>
      <c r="AR157" s="124">
        <f>IF($C157&gt;LOG!$F$8,0,AQ156)</f>
        <v>13</v>
      </c>
      <c r="AS157" s="124">
        <f>IF($C157&gt;LOG!$F$8,0,AR156)</f>
        <v>14</v>
      </c>
      <c r="AT157" s="124">
        <f>IF($C157&gt;LOG!$F$8,0,AS156)</f>
        <v>15</v>
      </c>
      <c r="AU157" s="124">
        <f>IF($C157&gt;LOG!$F$8,0,AT156)</f>
        <v>16</v>
      </c>
      <c r="AV157" s="124">
        <f>IF($C157&gt;LOG!$F$8,0,AU156)</f>
        <v>17</v>
      </c>
    </row>
    <row r="158" spans="2:48" ht="12.95" customHeight="1" x14ac:dyDescent="0.2">
      <c r="B158" s="14"/>
      <c r="C158" s="372">
        <v>25</v>
      </c>
      <c r="D158" s="372"/>
      <c r="E158" s="372"/>
      <c r="F158" s="253" t="s">
        <v>492</v>
      </c>
      <c r="G158" s="253" t="s">
        <v>4</v>
      </c>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f>IF($C158&gt;LOG!$F$8,0,AE157)</f>
        <v>25</v>
      </c>
      <c r="AG158" s="124">
        <f>IF($C158&gt;LOG!$F$8,0,AF157)</f>
        <v>1</v>
      </c>
      <c r="AH158" s="124">
        <f>IF($C158&gt;LOG!$F$8,0,AG157)</f>
        <v>2</v>
      </c>
      <c r="AI158" s="124">
        <f>IF($C158&gt;LOG!$F$8,0,AH157)</f>
        <v>3</v>
      </c>
      <c r="AJ158" s="124">
        <f>IF($C158&gt;LOG!$F$8,0,AI157)</f>
        <v>4</v>
      </c>
      <c r="AK158" s="124">
        <f>IF($C158&gt;LOG!$F$8,0,AJ157)</f>
        <v>5</v>
      </c>
      <c r="AL158" s="124">
        <f>IF($C158&gt;LOG!$F$8,0,AK157)</f>
        <v>6</v>
      </c>
      <c r="AM158" s="124">
        <f>IF($C158&gt;LOG!$F$8,0,AL157)</f>
        <v>7</v>
      </c>
      <c r="AN158" s="124">
        <f>IF($C158&gt;LOG!$F$8,0,AM157)</f>
        <v>8</v>
      </c>
      <c r="AO158" s="124">
        <f>IF($C158&gt;LOG!$F$8,0,AN157)</f>
        <v>9</v>
      </c>
      <c r="AP158" s="124">
        <f>IF($C158&gt;LOG!$F$8,0,AO157)</f>
        <v>10</v>
      </c>
      <c r="AQ158" s="124">
        <f>IF($C158&gt;LOG!$F$8,0,AP157)</f>
        <v>11</v>
      </c>
      <c r="AR158" s="124">
        <f>IF($C158&gt;LOG!$F$8,0,AQ157)</f>
        <v>12</v>
      </c>
      <c r="AS158" s="124">
        <f>IF($C158&gt;LOG!$F$8,0,AR157)</f>
        <v>13</v>
      </c>
      <c r="AT158" s="124">
        <f>IF($C158&gt;LOG!$F$8,0,AS157)</f>
        <v>14</v>
      </c>
      <c r="AU158" s="124">
        <f>IF($C158&gt;LOG!$F$8,0,AT157)</f>
        <v>15</v>
      </c>
      <c r="AV158" s="124">
        <f>IF($C158&gt;LOG!$F$8,0,AU157)</f>
        <v>16</v>
      </c>
    </row>
    <row r="159" spans="2:48" ht="12.95" customHeight="1" x14ac:dyDescent="0.2">
      <c r="B159" s="14"/>
      <c r="C159" s="372">
        <v>26</v>
      </c>
      <c r="D159" s="372"/>
      <c r="E159" s="372"/>
      <c r="F159" s="253" t="s">
        <v>492</v>
      </c>
      <c r="G159" s="253" t="s">
        <v>4</v>
      </c>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f>IF($C159&gt;LOG!$F$8,0,AF158)</f>
        <v>0</v>
      </c>
      <c r="AH159" s="124">
        <f>IF($C159&gt;LOG!$F$8,0,AG158)</f>
        <v>0</v>
      </c>
      <c r="AI159" s="124">
        <f>IF($C159&gt;LOG!$F$8,0,AH158)</f>
        <v>0</v>
      </c>
      <c r="AJ159" s="124">
        <f>IF($C159&gt;LOG!$F$8,0,AI158)</f>
        <v>0</v>
      </c>
      <c r="AK159" s="124">
        <f>IF($C159&gt;LOG!$F$8,0,AJ158)</f>
        <v>0</v>
      </c>
      <c r="AL159" s="124">
        <f>IF($C159&gt;LOG!$F$8,0,AK158)</f>
        <v>0</v>
      </c>
      <c r="AM159" s="124">
        <f>IF($C159&gt;LOG!$F$8,0,AL158)</f>
        <v>0</v>
      </c>
      <c r="AN159" s="124">
        <f>IF($C159&gt;LOG!$F$8,0,AM158)</f>
        <v>0</v>
      </c>
      <c r="AO159" s="124">
        <f>IF($C159&gt;LOG!$F$8,0,AN158)</f>
        <v>0</v>
      </c>
      <c r="AP159" s="124">
        <f>IF($C159&gt;LOG!$F$8,0,AO158)</f>
        <v>0</v>
      </c>
      <c r="AQ159" s="124">
        <f>IF($C159&gt;LOG!$F$8,0,AP158)</f>
        <v>0</v>
      </c>
      <c r="AR159" s="124">
        <f>IF($C159&gt;LOG!$F$8,0,AQ158)</f>
        <v>0</v>
      </c>
      <c r="AS159" s="124">
        <f>IF($C159&gt;LOG!$F$8,0,AR158)</f>
        <v>0</v>
      </c>
      <c r="AT159" s="124">
        <f>IF($C159&gt;LOG!$F$8,0,AS158)</f>
        <v>0</v>
      </c>
      <c r="AU159" s="124">
        <f>IF($C159&gt;LOG!$F$8,0,AT158)</f>
        <v>0</v>
      </c>
      <c r="AV159" s="124">
        <f>IF($C159&gt;LOG!$F$8,0,AU158)</f>
        <v>0</v>
      </c>
    </row>
    <row r="160" spans="2:48" ht="12.95" customHeight="1" x14ac:dyDescent="0.2">
      <c r="B160" s="14"/>
      <c r="C160" s="372">
        <v>27</v>
      </c>
      <c r="D160" s="372"/>
      <c r="E160" s="372"/>
      <c r="F160" s="253" t="s">
        <v>492</v>
      </c>
      <c r="G160" s="253" t="s">
        <v>4</v>
      </c>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f>IF($C160&gt;LOG!$F$8,0,AG159)</f>
        <v>0</v>
      </c>
      <c r="AI160" s="124">
        <f>IF($C160&gt;LOG!$F$8,0,AH159)</f>
        <v>0</v>
      </c>
      <c r="AJ160" s="124">
        <f>IF($C160&gt;LOG!$F$8,0,AI159)</f>
        <v>0</v>
      </c>
      <c r="AK160" s="124">
        <f>IF($C160&gt;LOG!$F$8,0,AJ159)</f>
        <v>0</v>
      </c>
      <c r="AL160" s="124">
        <f>IF($C160&gt;LOG!$F$8,0,AK159)</f>
        <v>0</v>
      </c>
      <c r="AM160" s="124">
        <f>IF($C160&gt;LOG!$F$8,0,AL159)</f>
        <v>0</v>
      </c>
      <c r="AN160" s="124">
        <f>IF($C160&gt;LOG!$F$8,0,AM159)</f>
        <v>0</v>
      </c>
      <c r="AO160" s="124">
        <f>IF($C160&gt;LOG!$F$8,0,AN159)</f>
        <v>0</v>
      </c>
      <c r="AP160" s="124">
        <f>IF($C160&gt;LOG!$F$8,0,AO159)</f>
        <v>0</v>
      </c>
      <c r="AQ160" s="124">
        <f>IF($C160&gt;LOG!$F$8,0,AP159)</f>
        <v>0</v>
      </c>
      <c r="AR160" s="124">
        <f>IF($C160&gt;LOG!$F$8,0,AQ159)</f>
        <v>0</v>
      </c>
      <c r="AS160" s="124">
        <f>IF($C160&gt;LOG!$F$8,0,AR159)</f>
        <v>0</v>
      </c>
      <c r="AT160" s="124">
        <f>IF($C160&gt;LOG!$F$8,0,AS159)</f>
        <v>0</v>
      </c>
      <c r="AU160" s="124">
        <f>IF($C160&gt;LOG!$F$8,0,AT159)</f>
        <v>0</v>
      </c>
      <c r="AV160" s="124">
        <f>IF($C160&gt;LOG!$F$8,0,AU159)</f>
        <v>0</v>
      </c>
    </row>
    <row r="161" spans="2:48" ht="12.95" customHeight="1" x14ac:dyDescent="0.2">
      <c r="B161" s="14"/>
      <c r="C161" s="372">
        <v>28</v>
      </c>
      <c r="D161" s="372"/>
      <c r="E161" s="372"/>
      <c r="F161" s="253" t="s">
        <v>492</v>
      </c>
      <c r="G161" s="253" t="s">
        <v>4</v>
      </c>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f>IF($C161&gt;LOG!$F$8,0,AH160)</f>
        <v>0</v>
      </c>
      <c r="AJ161" s="124">
        <f>IF($C161&gt;LOG!$F$8,0,AI160)</f>
        <v>0</v>
      </c>
      <c r="AK161" s="124">
        <f>IF($C161&gt;LOG!$F$8,0,AJ160)</f>
        <v>0</v>
      </c>
      <c r="AL161" s="124">
        <f>IF($C161&gt;LOG!$F$8,0,AK160)</f>
        <v>0</v>
      </c>
      <c r="AM161" s="124">
        <f>IF($C161&gt;LOG!$F$8,0,AL160)</f>
        <v>0</v>
      </c>
      <c r="AN161" s="124">
        <f>IF($C161&gt;LOG!$F$8,0,AM160)</f>
        <v>0</v>
      </c>
      <c r="AO161" s="124">
        <f>IF($C161&gt;LOG!$F$8,0,AN160)</f>
        <v>0</v>
      </c>
      <c r="AP161" s="124">
        <f>IF($C161&gt;LOG!$F$8,0,AO160)</f>
        <v>0</v>
      </c>
      <c r="AQ161" s="124">
        <f>IF($C161&gt;LOG!$F$8,0,AP160)</f>
        <v>0</v>
      </c>
      <c r="AR161" s="124">
        <f>IF($C161&gt;LOG!$F$8,0,AQ160)</f>
        <v>0</v>
      </c>
      <c r="AS161" s="124">
        <f>IF($C161&gt;LOG!$F$8,0,AR160)</f>
        <v>0</v>
      </c>
      <c r="AT161" s="124">
        <f>IF($C161&gt;LOG!$F$8,0,AS160)</f>
        <v>0</v>
      </c>
      <c r="AU161" s="124">
        <f>IF($C161&gt;LOG!$F$8,0,AT160)</f>
        <v>0</v>
      </c>
      <c r="AV161" s="124">
        <f>IF($C161&gt;LOG!$F$8,0,AU160)</f>
        <v>0</v>
      </c>
    </row>
    <row r="162" spans="2:48" ht="12.95" customHeight="1" x14ac:dyDescent="0.2">
      <c r="B162" s="14"/>
      <c r="C162" s="372">
        <v>29</v>
      </c>
      <c r="D162" s="372"/>
      <c r="E162" s="372"/>
      <c r="F162" s="253" t="s">
        <v>492</v>
      </c>
      <c r="G162" s="253" t="s">
        <v>4</v>
      </c>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f>IF($C162&gt;LOG!$F$8,0,AI161)</f>
        <v>0</v>
      </c>
      <c r="AK162" s="124">
        <f>IF($C162&gt;LOG!$F$8,0,AJ161)</f>
        <v>0</v>
      </c>
      <c r="AL162" s="124">
        <f>IF($C162&gt;LOG!$F$8,0,AK161)</f>
        <v>0</v>
      </c>
      <c r="AM162" s="124">
        <f>IF($C162&gt;LOG!$F$8,0,AL161)</f>
        <v>0</v>
      </c>
      <c r="AN162" s="124">
        <f>IF($C162&gt;LOG!$F$8,0,AM161)</f>
        <v>0</v>
      </c>
      <c r="AO162" s="124">
        <f>IF($C162&gt;LOG!$F$8,0,AN161)</f>
        <v>0</v>
      </c>
      <c r="AP162" s="124">
        <f>IF($C162&gt;LOG!$F$8,0,AO161)</f>
        <v>0</v>
      </c>
      <c r="AQ162" s="124">
        <f>IF($C162&gt;LOG!$F$8,0,AP161)</f>
        <v>0</v>
      </c>
      <c r="AR162" s="124">
        <f>IF($C162&gt;LOG!$F$8,0,AQ161)</f>
        <v>0</v>
      </c>
      <c r="AS162" s="124">
        <f>IF($C162&gt;LOG!$F$8,0,AR161)</f>
        <v>0</v>
      </c>
      <c r="AT162" s="124">
        <f>IF($C162&gt;LOG!$F$8,0,AS161)</f>
        <v>0</v>
      </c>
      <c r="AU162" s="124">
        <f>IF($C162&gt;LOG!$F$8,0,AT161)</f>
        <v>0</v>
      </c>
      <c r="AV162" s="124">
        <f>IF($C162&gt;LOG!$F$8,0,AU161)</f>
        <v>0</v>
      </c>
    </row>
    <row r="163" spans="2:48" ht="12.95" customHeight="1" x14ac:dyDescent="0.2">
      <c r="B163" s="14"/>
      <c r="C163" s="372">
        <v>30</v>
      </c>
      <c r="D163" s="372"/>
      <c r="E163" s="372"/>
      <c r="F163" s="253" t="s">
        <v>492</v>
      </c>
      <c r="G163" s="253" t="s">
        <v>4</v>
      </c>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f>IF($C163&gt;LOG!$F$8,0,AJ162)</f>
        <v>0</v>
      </c>
      <c r="AL163" s="124">
        <f>IF($C163&gt;LOG!$F$8,0,AK162)</f>
        <v>0</v>
      </c>
      <c r="AM163" s="124">
        <f>IF($C163&gt;LOG!$F$8,0,AL162)</f>
        <v>0</v>
      </c>
      <c r="AN163" s="124">
        <f>IF($C163&gt;LOG!$F$8,0,AM162)</f>
        <v>0</v>
      </c>
      <c r="AO163" s="124">
        <f>IF($C163&gt;LOG!$F$8,0,AN162)</f>
        <v>0</v>
      </c>
      <c r="AP163" s="124">
        <f>IF($C163&gt;LOG!$F$8,0,AO162)</f>
        <v>0</v>
      </c>
      <c r="AQ163" s="124">
        <f>IF($C163&gt;LOG!$F$8,0,AP162)</f>
        <v>0</v>
      </c>
      <c r="AR163" s="124">
        <f>IF($C163&gt;LOG!$F$8,0,AQ162)</f>
        <v>0</v>
      </c>
      <c r="AS163" s="124">
        <f>IF($C163&gt;LOG!$F$8,0,AR162)</f>
        <v>0</v>
      </c>
      <c r="AT163" s="124">
        <f>IF($C163&gt;LOG!$F$8,0,AS162)</f>
        <v>0</v>
      </c>
      <c r="AU163" s="124">
        <f>IF($C163&gt;LOG!$F$8,0,AT162)</f>
        <v>0</v>
      </c>
      <c r="AV163" s="124">
        <f>IF($C163&gt;LOG!$F$8,0,AU162)</f>
        <v>0</v>
      </c>
    </row>
    <row r="164" spans="2:48" ht="12.95" customHeight="1" x14ac:dyDescent="0.2">
      <c r="B164" s="14"/>
      <c r="C164" s="372">
        <v>31</v>
      </c>
      <c r="D164" s="372"/>
      <c r="E164" s="372"/>
      <c r="F164" s="253" t="s">
        <v>492</v>
      </c>
      <c r="G164" s="253" t="s">
        <v>4</v>
      </c>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f>IF($C164&gt;LOG!$F$8,0,AK163)</f>
        <v>0</v>
      </c>
      <c r="AM164" s="124">
        <f>IF($C164&gt;LOG!$F$8,0,AL163)</f>
        <v>0</v>
      </c>
      <c r="AN164" s="124">
        <f>IF($C164&gt;LOG!$F$8,0,AM163)</f>
        <v>0</v>
      </c>
      <c r="AO164" s="124">
        <f>IF($C164&gt;LOG!$F$8,0,AN163)</f>
        <v>0</v>
      </c>
      <c r="AP164" s="124">
        <f>IF($C164&gt;LOG!$F$8,0,AO163)</f>
        <v>0</v>
      </c>
      <c r="AQ164" s="124">
        <f>IF($C164&gt;LOG!$F$8,0,AP163)</f>
        <v>0</v>
      </c>
      <c r="AR164" s="124">
        <f>IF($C164&gt;LOG!$F$8,0,AQ163)</f>
        <v>0</v>
      </c>
      <c r="AS164" s="124">
        <f>IF($C164&gt;LOG!$F$8,0,AR163)</f>
        <v>0</v>
      </c>
      <c r="AT164" s="124">
        <f>IF($C164&gt;LOG!$F$8,0,AS163)</f>
        <v>0</v>
      </c>
      <c r="AU164" s="124">
        <f>IF($C164&gt;LOG!$F$8,0,AT163)</f>
        <v>0</v>
      </c>
      <c r="AV164" s="124">
        <f>IF($C164&gt;LOG!$F$8,0,AU163)</f>
        <v>0</v>
      </c>
    </row>
    <row r="165" spans="2:48" ht="12.95" customHeight="1" x14ac:dyDescent="0.2">
      <c r="B165" s="14"/>
      <c r="C165" s="372">
        <v>32</v>
      </c>
      <c r="D165" s="372"/>
      <c r="E165" s="372"/>
      <c r="F165" s="253" t="s">
        <v>492</v>
      </c>
      <c r="G165" s="253" t="s">
        <v>4</v>
      </c>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f>IF($C165&gt;LOG!$F$8,0,AL164)</f>
        <v>0</v>
      </c>
      <c r="AN165" s="124">
        <f>IF($C165&gt;LOG!$F$8,0,AM164)</f>
        <v>0</v>
      </c>
      <c r="AO165" s="124">
        <f>IF($C165&gt;LOG!$F$8,0,AN164)</f>
        <v>0</v>
      </c>
      <c r="AP165" s="124">
        <f>IF($C165&gt;LOG!$F$8,0,AO164)</f>
        <v>0</v>
      </c>
      <c r="AQ165" s="124">
        <f>IF($C165&gt;LOG!$F$8,0,AP164)</f>
        <v>0</v>
      </c>
      <c r="AR165" s="124">
        <f>IF($C165&gt;LOG!$F$8,0,AQ164)</f>
        <v>0</v>
      </c>
      <c r="AS165" s="124">
        <f>IF($C165&gt;LOG!$F$8,0,AR164)</f>
        <v>0</v>
      </c>
      <c r="AT165" s="124">
        <f>IF($C165&gt;LOG!$F$8,0,AS164)</f>
        <v>0</v>
      </c>
      <c r="AU165" s="124">
        <f>IF($C165&gt;LOG!$F$8,0,AT164)</f>
        <v>0</v>
      </c>
      <c r="AV165" s="124">
        <f>IF($C165&gt;LOG!$F$8,0,AU164)</f>
        <v>0</v>
      </c>
    </row>
    <row r="166" spans="2:48" ht="12.95" customHeight="1" x14ac:dyDescent="0.2">
      <c r="B166" s="14"/>
      <c r="C166" s="372">
        <v>33</v>
      </c>
      <c r="D166" s="372"/>
      <c r="E166" s="372"/>
      <c r="F166" s="253" t="s">
        <v>492</v>
      </c>
      <c r="G166" s="253" t="s">
        <v>4</v>
      </c>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f>IF($C166&gt;LOG!$F$8,0,AM165)</f>
        <v>0</v>
      </c>
      <c r="AO166" s="124">
        <f>IF($C166&gt;LOG!$F$8,0,AN165)</f>
        <v>0</v>
      </c>
      <c r="AP166" s="124">
        <f>IF($C166&gt;LOG!$F$8,0,AO165)</f>
        <v>0</v>
      </c>
      <c r="AQ166" s="124">
        <f>IF($C166&gt;LOG!$F$8,0,AP165)</f>
        <v>0</v>
      </c>
      <c r="AR166" s="124">
        <f>IF($C166&gt;LOG!$F$8,0,AQ165)</f>
        <v>0</v>
      </c>
      <c r="AS166" s="124">
        <f>IF($C166&gt;LOG!$F$8,0,AR165)</f>
        <v>0</v>
      </c>
      <c r="AT166" s="124">
        <f>IF($C166&gt;LOG!$F$8,0,AS165)</f>
        <v>0</v>
      </c>
      <c r="AU166" s="124">
        <f>IF($C166&gt;LOG!$F$8,0,AT165)</f>
        <v>0</v>
      </c>
      <c r="AV166" s="124">
        <f>IF($C166&gt;LOG!$F$8,0,AU165)</f>
        <v>0</v>
      </c>
    </row>
    <row r="167" spans="2:48" ht="12.95" customHeight="1" x14ac:dyDescent="0.2">
      <c r="B167" s="14"/>
      <c r="C167" s="372">
        <v>34</v>
      </c>
      <c r="D167" s="372"/>
      <c r="E167" s="372"/>
      <c r="F167" s="253" t="s">
        <v>492</v>
      </c>
      <c r="G167" s="253" t="s">
        <v>4</v>
      </c>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f>IF($C167&gt;LOG!$F$8,0,AN166)</f>
        <v>0</v>
      </c>
      <c r="AP167" s="124">
        <f>IF($C167&gt;LOG!$F$8,0,AO166)</f>
        <v>0</v>
      </c>
      <c r="AQ167" s="124">
        <f>IF($C167&gt;LOG!$F$8,0,AP166)</f>
        <v>0</v>
      </c>
      <c r="AR167" s="124">
        <f>IF($C167&gt;LOG!$F$8,0,AQ166)</f>
        <v>0</v>
      </c>
      <c r="AS167" s="124">
        <f>IF($C167&gt;LOG!$F$8,0,AR166)</f>
        <v>0</v>
      </c>
      <c r="AT167" s="124">
        <f>IF($C167&gt;LOG!$F$8,0,AS166)</f>
        <v>0</v>
      </c>
      <c r="AU167" s="124">
        <f>IF($C167&gt;LOG!$F$8,0,AT166)</f>
        <v>0</v>
      </c>
      <c r="AV167" s="124">
        <f>IF($C167&gt;LOG!$F$8,0,AU166)</f>
        <v>0</v>
      </c>
    </row>
    <row r="168" spans="2:48" ht="12.95" customHeight="1" x14ac:dyDescent="0.2">
      <c r="B168" s="14"/>
      <c r="C168" s="372">
        <v>35</v>
      </c>
      <c r="D168" s="372"/>
      <c r="E168" s="372"/>
      <c r="F168" s="253" t="s">
        <v>492</v>
      </c>
      <c r="G168" s="253" t="s">
        <v>4</v>
      </c>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f>IF($C168&gt;LOG!$F$8,0,AO167)</f>
        <v>0</v>
      </c>
      <c r="AQ168" s="124">
        <f>IF($C168&gt;LOG!$F$8,0,AP167)</f>
        <v>0</v>
      </c>
      <c r="AR168" s="124">
        <f>IF($C168&gt;LOG!$F$8,0,AQ167)</f>
        <v>0</v>
      </c>
      <c r="AS168" s="124">
        <f>IF($C168&gt;LOG!$F$8,0,AR167)</f>
        <v>0</v>
      </c>
      <c r="AT168" s="124">
        <f>IF($C168&gt;LOG!$F$8,0,AS167)</f>
        <v>0</v>
      </c>
      <c r="AU168" s="124">
        <f>IF($C168&gt;LOG!$F$8,0,AT167)</f>
        <v>0</v>
      </c>
      <c r="AV168" s="124">
        <f>IF($C168&gt;LOG!$F$8,0,AU167)</f>
        <v>0</v>
      </c>
    </row>
    <row r="169" spans="2:48" ht="12.95" customHeight="1" x14ac:dyDescent="0.2">
      <c r="B169" s="14"/>
      <c r="C169" s="372">
        <v>36</v>
      </c>
      <c r="D169" s="372"/>
      <c r="E169" s="372"/>
      <c r="F169" s="253" t="s">
        <v>492</v>
      </c>
      <c r="G169" s="253" t="s">
        <v>4</v>
      </c>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f>IF($C169&gt;LOG!$F$8,0,AP168)</f>
        <v>0</v>
      </c>
      <c r="AR169" s="124">
        <f>IF($C169&gt;LOG!$F$8,0,AQ168)</f>
        <v>0</v>
      </c>
      <c r="AS169" s="124">
        <f>IF($C169&gt;LOG!$F$8,0,AR168)</f>
        <v>0</v>
      </c>
      <c r="AT169" s="124">
        <f>IF($C169&gt;LOG!$F$8,0,AS168)</f>
        <v>0</v>
      </c>
      <c r="AU169" s="124">
        <f>IF($C169&gt;LOG!$F$8,0,AT168)</f>
        <v>0</v>
      </c>
      <c r="AV169" s="124">
        <f>IF($C169&gt;LOG!$F$8,0,AU168)</f>
        <v>0</v>
      </c>
    </row>
    <row r="170" spans="2:48" ht="12.95" customHeight="1" x14ac:dyDescent="0.2">
      <c r="B170" s="14"/>
      <c r="C170" s="372">
        <v>37</v>
      </c>
      <c r="D170" s="372"/>
      <c r="E170" s="372"/>
      <c r="F170" s="253" t="s">
        <v>492</v>
      </c>
      <c r="G170" s="253" t="s">
        <v>4</v>
      </c>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f>IF($C170&gt;LOG!$F$8,0,AQ169)</f>
        <v>0</v>
      </c>
      <c r="AS170" s="124">
        <f>IF($C170&gt;LOG!$F$8,0,AR169)</f>
        <v>0</v>
      </c>
      <c r="AT170" s="124">
        <f>IF($C170&gt;LOG!$F$8,0,AS169)</f>
        <v>0</v>
      </c>
      <c r="AU170" s="124">
        <f>IF($C170&gt;LOG!$F$8,0,AT169)</f>
        <v>0</v>
      </c>
      <c r="AV170" s="124">
        <f>IF($C170&gt;LOG!$F$8,0,AU169)</f>
        <v>0</v>
      </c>
    </row>
    <row r="171" spans="2:48" ht="12.95" customHeight="1" x14ac:dyDescent="0.2">
      <c r="B171" s="14"/>
      <c r="C171" s="372">
        <v>38</v>
      </c>
      <c r="D171" s="372"/>
      <c r="E171" s="372"/>
      <c r="F171" s="253" t="s">
        <v>492</v>
      </c>
      <c r="G171" s="253" t="s">
        <v>4</v>
      </c>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f>IF($C171&gt;LOG!$F$8,0,AR170)</f>
        <v>0</v>
      </c>
      <c r="AT171" s="124">
        <f>IF($C171&gt;LOG!$F$8,0,AS170)</f>
        <v>0</v>
      </c>
      <c r="AU171" s="124">
        <f>IF($C171&gt;LOG!$F$8,0,AT170)</f>
        <v>0</v>
      </c>
      <c r="AV171" s="124">
        <f>IF($C171&gt;LOG!$F$8,0,AU170)</f>
        <v>0</v>
      </c>
    </row>
    <row r="172" spans="2:48" ht="12.95" customHeight="1" x14ac:dyDescent="0.2">
      <c r="B172" s="14"/>
      <c r="C172" s="372">
        <v>39</v>
      </c>
      <c r="D172" s="372"/>
      <c r="E172" s="372"/>
      <c r="F172" s="253" t="s">
        <v>492</v>
      </c>
      <c r="G172" s="253" t="s">
        <v>4</v>
      </c>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f>IF($C172&gt;LOG!$F$8,0,AS171)</f>
        <v>0</v>
      </c>
      <c r="AU172" s="124">
        <f>IF($C172&gt;LOG!$F$8,0,AT171)</f>
        <v>0</v>
      </c>
      <c r="AV172" s="124">
        <f>IF($C172&gt;LOG!$F$8,0,AU171)</f>
        <v>0</v>
      </c>
    </row>
    <row r="173" spans="2:48" ht="12.95" customHeight="1" x14ac:dyDescent="0.2">
      <c r="B173" s="14"/>
      <c r="C173" s="372">
        <v>40</v>
      </c>
      <c r="D173" s="372"/>
      <c r="E173" s="372"/>
      <c r="F173" s="253" t="s">
        <v>492</v>
      </c>
      <c r="G173" s="253" t="s">
        <v>4</v>
      </c>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f>IF($C173&gt;LOG!$F$8,0,AT172)</f>
        <v>0</v>
      </c>
      <c r="AV173" s="124">
        <f>IF($C173&gt;LOG!$F$8,0,AU172)</f>
        <v>0</v>
      </c>
    </row>
    <row r="174" spans="2:48" ht="12.95" customHeight="1" x14ac:dyDescent="0.2">
      <c r="B174" s="14" t="s">
        <v>912</v>
      </c>
      <c r="H174" s="171"/>
      <c r="I174" s="171"/>
      <c r="J174" s="171"/>
      <c r="K174" s="171"/>
      <c r="L174" s="171"/>
      <c r="M174" s="171"/>
      <c r="N174" s="171"/>
      <c r="O174" s="171"/>
      <c r="P174" s="171"/>
      <c r="Q174" s="171"/>
      <c r="R174" s="171"/>
      <c r="S174" s="171"/>
      <c r="T174" s="171"/>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row>
    <row r="175" spans="2:48" ht="12.95" customHeight="1" x14ac:dyDescent="0.2">
      <c r="B175" s="14"/>
      <c r="C175" s="372">
        <v>1</v>
      </c>
      <c r="D175" s="372"/>
      <c r="E175" s="372"/>
      <c r="F175" s="253" t="s">
        <v>492</v>
      </c>
      <c r="G175" s="253" t="s">
        <v>395</v>
      </c>
      <c r="H175" s="277">
        <f t="shared" ref="H175:AV175" si="72">HLOOKUP(H134,t_growth,3)</f>
        <v>43.034527673896086</v>
      </c>
      <c r="I175" s="277">
        <f t="shared" si="72"/>
        <v>1.3801503036642727E-2</v>
      </c>
      <c r="J175" s="277">
        <f t="shared" si="72"/>
        <v>0.10250810373022921</v>
      </c>
      <c r="K175" s="277">
        <f t="shared" si="72"/>
        <v>0.32140060564134304</v>
      </c>
      <c r="L175" s="277">
        <f t="shared" si="72"/>
        <v>0.70819088008020181</v>
      </c>
      <c r="M175" s="277">
        <f t="shared" si="72"/>
        <v>1.2865903014343147</v>
      </c>
      <c r="N175" s="277">
        <f t="shared" si="72"/>
        <v>2.0692648651289542</v>
      </c>
      <c r="O175" s="277">
        <f t="shared" si="72"/>
        <v>3.0602740346849182</v>
      </c>
      <c r="P175" s="277">
        <f t="shared" si="72"/>
        <v>4.2570757029793187</v>
      </c>
      <c r="Q175" s="277">
        <f t="shared" si="72"/>
        <v>5.6521671458405169</v>
      </c>
      <c r="R175" s="277">
        <f t="shared" si="72"/>
        <v>7.2344211823897746</v>
      </c>
      <c r="S175" s="277">
        <f t="shared" si="72"/>
        <v>8.9901676693851371</v>
      </c>
      <c r="T175" s="277">
        <f t="shared" si="72"/>
        <v>10.904062717666822</v>
      </c>
      <c r="U175" s="277">
        <f t="shared" si="72"/>
        <v>12.959781431811036</v>
      </c>
      <c r="V175" s="277">
        <f t="shared" si="72"/>
        <v>15.140564371508987</v>
      </c>
      <c r="W175" s="277">
        <f t="shared" si="72"/>
        <v>17.4296431713258</v>
      </c>
      <c r="X175" s="277">
        <f t="shared" si="72"/>
        <v>19.810566711342741</v>
      </c>
      <c r="Y175" s="277">
        <f t="shared" si="72"/>
        <v>22.267445799447479</v>
      </c>
      <c r="Z175" s="277">
        <f t="shared" si="72"/>
        <v>24.785131416603353</v>
      </c>
      <c r="AA175" s="277">
        <f t="shared" si="72"/>
        <v>27.349339112214277</v>
      </c>
      <c r="AB175" s="277">
        <f t="shared" si="72"/>
        <v>29.946730051786854</v>
      </c>
      <c r="AC175" s="277">
        <f t="shared" si="72"/>
        <v>32.564957457117195</v>
      </c>
      <c r="AD175" s="277">
        <f t="shared" si="72"/>
        <v>35.192685692036868</v>
      </c>
      <c r="AE175" s="277">
        <f t="shared" si="72"/>
        <v>37.819587993197999</v>
      </c>
      <c r="AF175" s="277">
        <f t="shared" si="72"/>
        <v>40.436327790332221</v>
      </c>
      <c r="AG175" s="277">
        <f t="shared" si="72"/>
        <v>43.034527673896086</v>
      </c>
      <c r="AH175" s="277">
        <f t="shared" si="72"/>
        <v>1.3801503036642727E-2</v>
      </c>
      <c r="AI175" s="277">
        <f t="shared" si="72"/>
        <v>0.10250810373022921</v>
      </c>
      <c r="AJ175" s="277">
        <f t="shared" si="72"/>
        <v>0.32140060564134304</v>
      </c>
      <c r="AK175" s="277">
        <f t="shared" si="72"/>
        <v>0.70819088008020181</v>
      </c>
      <c r="AL175" s="277">
        <f t="shared" si="72"/>
        <v>1.2865903014343147</v>
      </c>
      <c r="AM175" s="277">
        <f t="shared" si="72"/>
        <v>2.0692648651289542</v>
      </c>
      <c r="AN175" s="277">
        <f t="shared" si="72"/>
        <v>3.0602740346849182</v>
      </c>
      <c r="AO175" s="277">
        <f t="shared" si="72"/>
        <v>4.2570757029793187</v>
      </c>
      <c r="AP175" s="277">
        <f t="shared" si="72"/>
        <v>5.6521671458405169</v>
      </c>
      <c r="AQ175" s="277">
        <f t="shared" si="72"/>
        <v>7.2344211823897746</v>
      </c>
      <c r="AR175" s="277">
        <f t="shared" si="72"/>
        <v>8.9901676693851371</v>
      </c>
      <c r="AS175" s="277">
        <f t="shared" si="72"/>
        <v>10.904062717666822</v>
      </c>
      <c r="AT175" s="277">
        <f t="shared" si="72"/>
        <v>12.959781431811036</v>
      </c>
      <c r="AU175" s="277">
        <f t="shared" si="72"/>
        <v>15.140564371508987</v>
      </c>
      <c r="AV175" s="277">
        <f t="shared" si="72"/>
        <v>17.4296431713258</v>
      </c>
    </row>
    <row r="176" spans="2:48" ht="12.95" customHeight="1" x14ac:dyDescent="0.2">
      <c r="B176" s="14"/>
      <c r="C176" s="372">
        <v>2</v>
      </c>
      <c r="D176" s="372"/>
      <c r="E176" s="372"/>
      <c r="F176" s="253" t="s">
        <v>492</v>
      </c>
      <c r="G176" s="253" t="s">
        <v>395</v>
      </c>
      <c r="H176" s="277"/>
      <c r="I176" s="277">
        <f t="shared" ref="I176:AV176" si="73">HLOOKUP(I135,t_growth,3)</f>
        <v>43.034527673896086</v>
      </c>
      <c r="J176" s="277">
        <f t="shared" si="73"/>
        <v>1.3801503036642727E-2</v>
      </c>
      <c r="K176" s="277">
        <f t="shared" si="73"/>
        <v>0.10250810373022921</v>
      </c>
      <c r="L176" s="277">
        <f t="shared" si="73"/>
        <v>0.32140060564134304</v>
      </c>
      <c r="M176" s="277">
        <f t="shared" si="73"/>
        <v>0.70819088008020181</v>
      </c>
      <c r="N176" s="277">
        <f t="shared" si="73"/>
        <v>1.2865903014343147</v>
      </c>
      <c r="O176" s="277">
        <f t="shared" si="73"/>
        <v>2.0692648651289542</v>
      </c>
      <c r="P176" s="277">
        <f t="shared" si="73"/>
        <v>3.0602740346849182</v>
      </c>
      <c r="Q176" s="277">
        <f t="shared" si="73"/>
        <v>4.2570757029793187</v>
      </c>
      <c r="R176" s="277">
        <f t="shared" si="73"/>
        <v>5.6521671458405169</v>
      </c>
      <c r="S176" s="277">
        <f t="shared" si="73"/>
        <v>7.2344211823897746</v>
      </c>
      <c r="T176" s="277">
        <f t="shared" si="73"/>
        <v>8.9901676693851371</v>
      </c>
      <c r="U176" s="277">
        <f t="shared" si="73"/>
        <v>10.904062717666822</v>
      </c>
      <c r="V176" s="277">
        <f t="shared" si="73"/>
        <v>12.959781431811036</v>
      </c>
      <c r="W176" s="277">
        <f t="shared" si="73"/>
        <v>15.140564371508987</v>
      </c>
      <c r="X176" s="277">
        <f t="shared" si="73"/>
        <v>17.4296431713258</v>
      </c>
      <c r="Y176" s="277">
        <f t="shared" si="73"/>
        <v>19.810566711342741</v>
      </c>
      <c r="Z176" s="277">
        <f t="shared" si="73"/>
        <v>22.267445799447479</v>
      </c>
      <c r="AA176" s="277">
        <f t="shared" si="73"/>
        <v>24.785131416603353</v>
      </c>
      <c r="AB176" s="277">
        <f t="shared" si="73"/>
        <v>27.349339112214277</v>
      </c>
      <c r="AC176" s="277">
        <f t="shared" si="73"/>
        <v>29.946730051786854</v>
      </c>
      <c r="AD176" s="277">
        <f t="shared" si="73"/>
        <v>32.564957457117195</v>
      </c>
      <c r="AE176" s="277">
        <f t="shared" si="73"/>
        <v>35.192685692036868</v>
      </c>
      <c r="AF176" s="277">
        <f t="shared" si="73"/>
        <v>37.819587993197999</v>
      </c>
      <c r="AG176" s="277">
        <f t="shared" si="73"/>
        <v>40.436327790332221</v>
      </c>
      <c r="AH176" s="277">
        <f t="shared" si="73"/>
        <v>43.034527673896086</v>
      </c>
      <c r="AI176" s="277">
        <f t="shared" si="73"/>
        <v>1.3801503036642727E-2</v>
      </c>
      <c r="AJ176" s="277">
        <f t="shared" si="73"/>
        <v>0.10250810373022921</v>
      </c>
      <c r="AK176" s="277">
        <f t="shared" si="73"/>
        <v>0.32140060564134304</v>
      </c>
      <c r="AL176" s="277">
        <f t="shared" si="73"/>
        <v>0.70819088008020181</v>
      </c>
      <c r="AM176" s="277">
        <f t="shared" si="73"/>
        <v>1.2865903014343147</v>
      </c>
      <c r="AN176" s="277">
        <f t="shared" si="73"/>
        <v>2.0692648651289542</v>
      </c>
      <c r="AO176" s="277">
        <f t="shared" si="73"/>
        <v>3.0602740346849182</v>
      </c>
      <c r="AP176" s="277">
        <f t="shared" si="73"/>
        <v>4.2570757029793187</v>
      </c>
      <c r="AQ176" s="277">
        <f t="shared" si="73"/>
        <v>5.6521671458405169</v>
      </c>
      <c r="AR176" s="277">
        <f t="shared" si="73"/>
        <v>7.2344211823897746</v>
      </c>
      <c r="AS176" s="277">
        <f t="shared" si="73"/>
        <v>8.9901676693851371</v>
      </c>
      <c r="AT176" s="277">
        <f t="shared" si="73"/>
        <v>10.904062717666822</v>
      </c>
      <c r="AU176" s="277">
        <f t="shared" si="73"/>
        <v>12.959781431811036</v>
      </c>
      <c r="AV176" s="277">
        <f t="shared" si="73"/>
        <v>15.140564371508987</v>
      </c>
    </row>
    <row r="177" spans="2:48" ht="12.95" customHeight="1" x14ac:dyDescent="0.2">
      <c r="B177" s="14"/>
      <c r="C177" s="372">
        <v>3</v>
      </c>
      <c r="D177" s="372"/>
      <c r="E177" s="372"/>
      <c r="F177" s="253" t="s">
        <v>492</v>
      </c>
      <c r="G177" s="253" t="s">
        <v>395</v>
      </c>
      <c r="H177" s="277"/>
      <c r="I177" s="277"/>
      <c r="J177" s="277">
        <f t="shared" ref="J177:AV177" si="74">HLOOKUP(J136,t_growth,3)</f>
        <v>43.034527673896086</v>
      </c>
      <c r="K177" s="277">
        <f t="shared" si="74"/>
        <v>1.3801503036642727E-2</v>
      </c>
      <c r="L177" s="277">
        <f t="shared" si="74"/>
        <v>0.10250810373022921</v>
      </c>
      <c r="M177" s="277">
        <f t="shared" si="74"/>
        <v>0.32140060564134304</v>
      </c>
      <c r="N177" s="277">
        <f t="shared" si="74"/>
        <v>0.70819088008020181</v>
      </c>
      <c r="O177" s="277">
        <f t="shared" si="74"/>
        <v>1.2865903014343147</v>
      </c>
      <c r="P177" s="277">
        <f t="shared" si="74"/>
        <v>2.0692648651289542</v>
      </c>
      <c r="Q177" s="277">
        <f t="shared" si="74"/>
        <v>3.0602740346849182</v>
      </c>
      <c r="R177" s="277">
        <f t="shared" si="74"/>
        <v>4.2570757029793187</v>
      </c>
      <c r="S177" s="277">
        <f t="shared" si="74"/>
        <v>5.6521671458405169</v>
      </c>
      <c r="T177" s="277">
        <f t="shared" si="74"/>
        <v>7.2344211823897746</v>
      </c>
      <c r="U177" s="277">
        <f t="shared" si="74"/>
        <v>8.9901676693851371</v>
      </c>
      <c r="V177" s="277">
        <f t="shared" si="74"/>
        <v>10.904062717666822</v>
      </c>
      <c r="W177" s="277">
        <f t="shared" si="74"/>
        <v>12.959781431811036</v>
      </c>
      <c r="X177" s="277">
        <f t="shared" si="74"/>
        <v>15.140564371508987</v>
      </c>
      <c r="Y177" s="277">
        <f t="shared" si="74"/>
        <v>17.4296431713258</v>
      </c>
      <c r="Z177" s="277">
        <f t="shared" si="74"/>
        <v>19.810566711342741</v>
      </c>
      <c r="AA177" s="277">
        <f t="shared" si="74"/>
        <v>22.267445799447479</v>
      </c>
      <c r="AB177" s="277">
        <f t="shared" si="74"/>
        <v>24.785131416603353</v>
      </c>
      <c r="AC177" s="277">
        <f t="shared" si="74"/>
        <v>27.349339112214277</v>
      </c>
      <c r="AD177" s="277">
        <f t="shared" si="74"/>
        <v>29.946730051786854</v>
      </c>
      <c r="AE177" s="277">
        <f t="shared" si="74"/>
        <v>32.564957457117195</v>
      </c>
      <c r="AF177" s="277">
        <f t="shared" si="74"/>
        <v>35.192685692036868</v>
      </c>
      <c r="AG177" s="277">
        <f t="shared" si="74"/>
        <v>37.819587993197999</v>
      </c>
      <c r="AH177" s="277">
        <f t="shared" si="74"/>
        <v>40.436327790332221</v>
      </c>
      <c r="AI177" s="277">
        <f t="shared" si="74"/>
        <v>43.034527673896086</v>
      </c>
      <c r="AJ177" s="277">
        <f t="shared" si="74"/>
        <v>1.3801503036642727E-2</v>
      </c>
      <c r="AK177" s="277">
        <f t="shared" si="74"/>
        <v>0.10250810373022921</v>
      </c>
      <c r="AL177" s="277">
        <f t="shared" si="74"/>
        <v>0.32140060564134304</v>
      </c>
      <c r="AM177" s="277">
        <f t="shared" si="74"/>
        <v>0.70819088008020181</v>
      </c>
      <c r="AN177" s="277">
        <f t="shared" si="74"/>
        <v>1.2865903014343147</v>
      </c>
      <c r="AO177" s="277">
        <f t="shared" si="74"/>
        <v>2.0692648651289542</v>
      </c>
      <c r="AP177" s="277">
        <f t="shared" si="74"/>
        <v>3.0602740346849182</v>
      </c>
      <c r="AQ177" s="277">
        <f t="shared" si="74"/>
        <v>4.2570757029793187</v>
      </c>
      <c r="AR177" s="277">
        <f t="shared" si="74"/>
        <v>5.6521671458405169</v>
      </c>
      <c r="AS177" s="277">
        <f t="shared" si="74"/>
        <v>7.2344211823897746</v>
      </c>
      <c r="AT177" s="277">
        <f t="shared" si="74"/>
        <v>8.9901676693851371</v>
      </c>
      <c r="AU177" s="277">
        <f t="shared" si="74"/>
        <v>10.904062717666822</v>
      </c>
      <c r="AV177" s="277">
        <f t="shared" si="74"/>
        <v>12.959781431811036</v>
      </c>
    </row>
    <row r="178" spans="2:48" ht="12.95" customHeight="1" x14ac:dyDescent="0.2">
      <c r="B178" s="14"/>
      <c r="C178" s="372">
        <v>4</v>
      </c>
      <c r="D178" s="372"/>
      <c r="E178" s="372"/>
      <c r="F178" s="253" t="s">
        <v>492</v>
      </c>
      <c r="G178" s="253" t="s">
        <v>395</v>
      </c>
      <c r="H178" s="277"/>
      <c r="I178" s="277"/>
      <c r="J178" s="277"/>
      <c r="K178" s="277">
        <f t="shared" ref="K178:AV178" si="75">HLOOKUP(K137,t_growth,3)</f>
        <v>43.034527673896086</v>
      </c>
      <c r="L178" s="277">
        <f t="shared" si="75"/>
        <v>1.3801503036642727E-2</v>
      </c>
      <c r="M178" s="277">
        <f t="shared" si="75"/>
        <v>0.10250810373022921</v>
      </c>
      <c r="N178" s="277">
        <f t="shared" si="75"/>
        <v>0.32140060564134304</v>
      </c>
      <c r="O178" s="277">
        <f t="shared" si="75"/>
        <v>0.70819088008020181</v>
      </c>
      <c r="P178" s="277">
        <f t="shared" si="75"/>
        <v>1.2865903014343147</v>
      </c>
      <c r="Q178" s="277">
        <f t="shared" si="75"/>
        <v>2.0692648651289542</v>
      </c>
      <c r="R178" s="277">
        <f t="shared" si="75"/>
        <v>3.0602740346849182</v>
      </c>
      <c r="S178" s="277">
        <f t="shared" si="75"/>
        <v>4.2570757029793187</v>
      </c>
      <c r="T178" s="277">
        <f t="shared" si="75"/>
        <v>5.6521671458405169</v>
      </c>
      <c r="U178" s="277">
        <f t="shared" si="75"/>
        <v>7.2344211823897746</v>
      </c>
      <c r="V178" s="277">
        <f t="shared" si="75"/>
        <v>8.9901676693851371</v>
      </c>
      <c r="W178" s="277">
        <f t="shared" si="75"/>
        <v>10.904062717666822</v>
      </c>
      <c r="X178" s="277">
        <f t="shared" si="75"/>
        <v>12.959781431811036</v>
      </c>
      <c r="Y178" s="277">
        <f t="shared" si="75"/>
        <v>15.140564371508987</v>
      </c>
      <c r="Z178" s="277">
        <f t="shared" si="75"/>
        <v>17.4296431713258</v>
      </c>
      <c r="AA178" s="277">
        <f t="shared" si="75"/>
        <v>19.810566711342741</v>
      </c>
      <c r="AB178" s="277">
        <f t="shared" si="75"/>
        <v>22.267445799447479</v>
      </c>
      <c r="AC178" s="277">
        <f t="shared" si="75"/>
        <v>24.785131416603353</v>
      </c>
      <c r="AD178" s="277">
        <f t="shared" si="75"/>
        <v>27.349339112214277</v>
      </c>
      <c r="AE178" s="277">
        <f t="shared" si="75"/>
        <v>29.946730051786854</v>
      </c>
      <c r="AF178" s="277">
        <f t="shared" si="75"/>
        <v>32.564957457117195</v>
      </c>
      <c r="AG178" s="277">
        <f t="shared" si="75"/>
        <v>35.192685692036868</v>
      </c>
      <c r="AH178" s="277">
        <f t="shared" si="75"/>
        <v>37.819587993197999</v>
      </c>
      <c r="AI178" s="277">
        <f t="shared" si="75"/>
        <v>40.436327790332221</v>
      </c>
      <c r="AJ178" s="277">
        <f t="shared" si="75"/>
        <v>43.034527673896086</v>
      </c>
      <c r="AK178" s="277">
        <f t="shared" si="75"/>
        <v>1.3801503036642727E-2</v>
      </c>
      <c r="AL178" s="277">
        <f t="shared" si="75"/>
        <v>0.10250810373022921</v>
      </c>
      <c r="AM178" s="277">
        <f t="shared" si="75"/>
        <v>0.32140060564134304</v>
      </c>
      <c r="AN178" s="277">
        <f t="shared" si="75"/>
        <v>0.70819088008020181</v>
      </c>
      <c r="AO178" s="277">
        <f t="shared" si="75"/>
        <v>1.2865903014343147</v>
      </c>
      <c r="AP178" s="277">
        <f t="shared" si="75"/>
        <v>2.0692648651289542</v>
      </c>
      <c r="AQ178" s="277">
        <f t="shared" si="75"/>
        <v>3.0602740346849182</v>
      </c>
      <c r="AR178" s="277">
        <f t="shared" si="75"/>
        <v>4.2570757029793187</v>
      </c>
      <c r="AS178" s="277">
        <f t="shared" si="75"/>
        <v>5.6521671458405169</v>
      </c>
      <c r="AT178" s="277">
        <f t="shared" si="75"/>
        <v>7.2344211823897746</v>
      </c>
      <c r="AU178" s="277">
        <f t="shared" si="75"/>
        <v>8.9901676693851371</v>
      </c>
      <c r="AV178" s="277">
        <f t="shared" si="75"/>
        <v>10.904062717666822</v>
      </c>
    </row>
    <row r="179" spans="2:48" ht="12.95" customHeight="1" x14ac:dyDescent="0.2">
      <c r="B179" s="14"/>
      <c r="C179" s="372">
        <v>5</v>
      </c>
      <c r="D179" s="372"/>
      <c r="E179" s="372"/>
      <c r="F179" s="253" t="s">
        <v>492</v>
      </c>
      <c r="G179" s="253" t="s">
        <v>395</v>
      </c>
      <c r="H179" s="277"/>
      <c r="I179" s="277"/>
      <c r="J179" s="277"/>
      <c r="K179" s="277"/>
      <c r="L179" s="277">
        <f t="shared" ref="L179:AV179" si="76">HLOOKUP(L138,t_growth,3)</f>
        <v>43.034527673896086</v>
      </c>
      <c r="M179" s="277">
        <f t="shared" si="76"/>
        <v>1.3801503036642727E-2</v>
      </c>
      <c r="N179" s="277">
        <f t="shared" si="76"/>
        <v>0.10250810373022921</v>
      </c>
      <c r="O179" s="277">
        <f t="shared" si="76"/>
        <v>0.32140060564134304</v>
      </c>
      <c r="P179" s="277">
        <f t="shared" si="76"/>
        <v>0.70819088008020181</v>
      </c>
      <c r="Q179" s="277">
        <f t="shared" si="76"/>
        <v>1.2865903014343147</v>
      </c>
      <c r="R179" s="277">
        <f t="shared" si="76"/>
        <v>2.0692648651289542</v>
      </c>
      <c r="S179" s="277">
        <f t="shared" si="76"/>
        <v>3.0602740346849182</v>
      </c>
      <c r="T179" s="277">
        <f t="shared" si="76"/>
        <v>4.2570757029793187</v>
      </c>
      <c r="U179" s="277">
        <f t="shared" si="76"/>
        <v>5.6521671458405169</v>
      </c>
      <c r="V179" s="277">
        <f t="shared" si="76"/>
        <v>7.2344211823897746</v>
      </c>
      <c r="W179" s="277">
        <f t="shared" si="76"/>
        <v>8.9901676693851371</v>
      </c>
      <c r="X179" s="277">
        <f t="shared" si="76"/>
        <v>10.904062717666822</v>
      </c>
      <c r="Y179" s="277">
        <f t="shared" si="76"/>
        <v>12.959781431811036</v>
      </c>
      <c r="Z179" s="277">
        <f t="shared" si="76"/>
        <v>15.140564371508987</v>
      </c>
      <c r="AA179" s="277">
        <f t="shared" si="76"/>
        <v>17.4296431713258</v>
      </c>
      <c r="AB179" s="277">
        <f t="shared" si="76"/>
        <v>19.810566711342741</v>
      </c>
      <c r="AC179" s="277">
        <f t="shared" si="76"/>
        <v>22.267445799447479</v>
      </c>
      <c r="AD179" s="277">
        <f t="shared" si="76"/>
        <v>24.785131416603353</v>
      </c>
      <c r="AE179" s="277">
        <f t="shared" si="76"/>
        <v>27.349339112214277</v>
      </c>
      <c r="AF179" s="277">
        <f t="shared" si="76"/>
        <v>29.946730051786854</v>
      </c>
      <c r="AG179" s="277">
        <f t="shared" si="76"/>
        <v>32.564957457117195</v>
      </c>
      <c r="AH179" s="277">
        <f t="shared" si="76"/>
        <v>35.192685692036868</v>
      </c>
      <c r="AI179" s="277">
        <f t="shared" si="76"/>
        <v>37.819587993197999</v>
      </c>
      <c r="AJ179" s="277">
        <f t="shared" si="76"/>
        <v>40.436327790332221</v>
      </c>
      <c r="AK179" s="277">
        <f t="shared" si="76"/>
        <v>43.034527673896086</v>
      </c>
      <c r="AL179" s="277">
        <f t="shared" si="76"/>
        <v>1.3801503036642727E-2</v>
      </c>
      <c r="AM179" s="277">
        <f t="shared" si="76"/>
        <v>0.10250810373022921</v>
      </c>
      <c r="AN179" s="277">
        <f t="shared" si="76"/>
        <v>0.32140060564134304</v>
      </c>
      <c r="AO179" s="277">
        <f t="shared" si="76"/>
        <v>0.70819088008020181</v>
      </c>
      <c r="AP179" s="277">
        <f t="shared" si="76"/>
        <v>1.2865903014343147</v>
      </c>
      <c r="AQ179" s="277">
        <f t="shared" si="76"/>
        <v>2.0692648651289542</v>
      </c>
      <c r="AR179" s="277">
        <f t="shared" si="76"/>
        <v>3.0602740346849182</v>
      </c>
      <c r="AS179" s="277">
        <f t="shared" si="76"/>
        <v>4.2570757029793187</v>
      </c>
      <c r="AT179" s="277">
        <f t="shared" si="76"/>
        <v>5.6521671458405169</v>
      </c>
      <c r="AU179" s="277">
        <f t="shared" si="76"/>
        <v>7.2344211823897746</v>
      </c>
      <c r="AV179" s="277">
        <f t="shared" si="76"/>
        <v>8.9901676693851371</v>
      </c>
    </row>
    <row r="180" spans="2:48" ht="12.95" customHeight="1" x14ac:dyDescent="0.2">
      <c r="B180" s="14"/>
      <c r="C180" s="372">
        <v>6</v>
      </c>
      <c r="D180" s="372"/>
      <c r="E180" s="372"/>
      <c r="F180" s="253" t="s">
        <v>492</v>
      </c>
      <c r="G180" s="253" t="s">
        <v>395</v>
      </c>
      <c r="H180" s="277"/>
      <c r="I180" s="277"/>
      <c r="J180" s="277"/>
      <c r="K180" s="277"/>
      <c r="L180" s="277"/>
      <c r="M180" s="277">
        <f t="shared" ref="M180:AV180" si="77">HLOOKUP(M139,t_growth,3)</f>
        <v>43.034527673896086</v>
      </c>
      <c r="N180" s="277">
        <f t="shared" si="77"/>
        <v>1.3801503036642727E-2</v>
      </c>
      <c r="O180" s="277">
        <f t="shared" si="77"/>
        <v>0.10250810373022921</v>
      </c>
      <c r="P180" s="277">
        <f t="shared" si="77"/>
        <v>0.32140060564134304</v>
      </c>
      <c r="Q180" s="277">
        <f t="shared" si="77"/>
        <v>0.70819088008020181</v>
      </c>
      <c r="R180" s="277">
        <f t="shared" si="77"/>
        <v>1.2865903014343147</v>
      </c>
      <c r="S180" s="277">
        <f t="shared" si="77"/>
        <v>2.0692648651289542</v>
      </c>
      <c r="T180" s="277">
        <f t="shared" si="77"/>
        <v>3.0602740346849182</v>
      </c>
      <c r="U180" s="277">
        <f t="shared" si="77"/>
        <v>4.2570757029793187</v>
      </c>
      <c r="V180" s="277">
        <f t="shared" si="77"/>
        <v>5.6521671458405169</v>
      </c>
      <c r="W180" s="277">
        <f t="shared" si="77"/>
        <v>7.2344211823897746</v>
      </c>
      <c r="X180" s="277">
        <f t="shared" si="77"/>
        <v>8.9901676693851371</v>
      </c>
      <c r="Y180" s="277">
        <f t="shared" si="77"/>
        <v>10.904062717666822</v>
      </c>
      <c r="Z180" s="277">
        <f t="shared" si="77"/>
        <v>12.959781431811036</v>
      </c>
      <c r="AA180" s="277">
        <f t="shared" si="77"/>
        <v>15.140564371508987</v>
      </c>
      <c r="AB180" s="277">
        <f t="shared" si="77"/>
        <v>17.4296431713258</v>
      </c>
      <c r="AC180" s="277">
        <f t="shared" si="77"/>
        <v>19.810566711342741</v>
      </c>
      <c r="AD180" s="277">
        <f t="shared" si="77"/>
        <v>22.267445799447479</v>
      </c>
      <c r="AE180" s="277">
        <f t="shared" si="77"/>
        <v>24.785131416603353</v>
      </c>
      <c r="AF180" s="277">
        <f t="shared" si="77"/>
        <v>27.349339112214277</v>
      </c>
      <c r="AG180" s="277">
        <f t="shared" si="77"/>
        <v>29.946730051786854</v>
      </c>
      <c r="AH180" s="277">
        <f t="shared" si="77"/>
        <v>32.564957457117195</v>
      </c>
      <c r="AI180" s="277">
        <f t="shared" si="77"/>
        <v>35.192685692036868</v>
      </c>
      <c r="AJ180" s="277">
        <f t="shared" si="77"/>
        <v>37.819587993197999</v>
      </c>
      <c r="AK180" s="277">
        <f t="shared" si="77"/>
        <v>40.436327790332221</v>
      </c>
      <c r="AL180" s="277">
        <f t="shared" si="77"/>
        <v>43.034527673896086</v>
      </c>
      <c r="AM180" s="277">
        <f t="shared" si="77"/>
        <v>1.3801503036642727E-2</v>
      </c>
      <c r="AN180" s="277">
        <f t="shared" si="77"/>
        <v>0.10250810373022921</v>
      </c>
      <c r="AO180" s="277">
        <f t="shared" si="77"/>
        <v>0.32140060564134304</v>
      </c>
      <c r="AP180" s="277">
        <f t="shared" si="77"/>
        <v>0.70819088008020181</v>
      </c>
      <c r="AQ180" s="277">
        <f t="shared" si="77"/>
        <v>1.2865903014343147</v>
      </c>
      <c r="AR180" s="277">
        <f t="shared" si="77"/>
        <v>2.0692648651289542</v>
      </c>
      <c r="AS180" s="277">
        <f t="shared" si="77"/>
        <v>3.0602740346849182</v>
      </c>
      <c r="AT180" s="277">
        <f t="shared" si="77"/>
        <v>4.2570757029793187</v>
      </c>
      <c r="AU180" s="277">
        <f t="shared" si="77"/>
        <v>5.6521671458405169</v>
      </c>
      <c r="AV180" s="277">
        <f t="shared" si="77"/>
        <v>7.2344211823897746</v>
      </c>
    </row>
    <row r="181" spans="2:48" ht="12.95" customHeight="1" x14ac:dyDescent="0.2">
      <c r="B181" s="14"/>
      <c r="C181" s="372">
        <v>7</v>
      </c>
      <c r="D181" s="372"/>
      <c r="E181" s="372"/>
      <c r="F181" s="253" t="s">
        <v>492</v>
      </c>
      <c r="G181" s="253" t="s">
        <v>395</v>
      </c>
      <c r="H181" s="277"/>
      <c r="I181" s="277"/>
      <c r="J181" s="277"/>
      <c r="K181" s="277"/>
      <c r="L181" s="277"/>
      <c r="M181" s="277"/>
      <c r="N181" s="277">
        <f t="shared" ref="N181:AV181" si="78">HLOOKUP(N140,t_growth,3)</f>
        <v>43.034527673896086</v>
      </c>
      <c r="O181" s="277">
        <f t="shared" si="78"/>
        <v>1.3801503036642727E-2</v>
      </c>
      <c r="P181" s="277">
        <f t="shared" si="78"/>
        <v>0.10250810373022921</v>
      </c>
      <c r="Q181" s="277">
        <f t="shared" si="78"/>
        <v>0.32140060564134304</v>
      </c>
      <c r="R181" s="277">
        <f t="shared" si="78"/>
        <v>0.70819088008020181</v>
      </c>
      <c r="S181" s="277">
        <f t="shared" si="78"/>
        <v>1.2865903014343147</v>
      </c>
      <c r="T181" s="277">
        <f t="shared" si="78"/>
        <v>2.0692648651289542</v>
      </c>
      <c r="U181" s="277">
        <f t="shared" si="78"/>
        <v>3.0602740346849182</v>
      </c>
      <c r="V181" s="277">
        <f t="shared" si="78"/>
        <v>4.2570757029793187</v>
      </c>
      <c r="W181" s="277">
        <f t="shared" si="78"/>
        <v>5.6521671458405169</v>
      </c>
      <c r="X181" s="277">
        <f t="shared" si="78"/>
        <v>7.2344211823897746</v>
      </c>
      <c r="Y181" s="277">
        <f t="shared" si="78"/>
        <v>8.9901676693851371</v>
      </c>
      <c r="Z181" s="277">
        <f t="shared" si="78"/>
        <v>10.904062717666822</v>
      </c>
      <c r="AA181" s="277">
        <f t="shared" si="78"/>
        <v>12.959781431811036</v>
      </c>
      <c r="AB181" s="277">
        <f t="shared" si="78"/>
        <v>15.140564371508987</v>
      </c>
      <c r="AC181" s="277">
        <f t="shared" si="78"/>
        <v>17.4296431713258</v>
      </c>
      <c r="AD181" s="277">
        <f t="shared" si="78"/>
        <v>19.810566711342741</v>
      </c>
      <c r="AE181" s="277">
        <f t="shared" si="78"/>
        <v>22.267445799447479</v>
      </c>
      <c r="AF181" s="277">
        <f t="shared" si="78"/>
        <v>24.785131416603353</v>
      </c>
      <c r="AG181" s="277">
        <f t="shared" si="78"/>
        <v>27.349339112214277</v>
      </c>
      <c r="AH181" s="277">
        <f t="shared" si="78"/>
        <v>29.946730051786854</v>
      </c>
      <c r="AI181" s="277">
        <f t="shared" si="78"/>
        <v>32.564957457117195</v>
      </c>
      <c r="AJ181" s="277">
        <f t="shared" si="78"/>
        <v>35.192685692036868</v>
      </c>
      <c r="AK181" s="277">
        <f t="shared" si="78"/>
        <v>37.819587993197999</v>
      </c>
      <c r="AL181" s="277">
        <f t="shared" si="78"/>
        <v>40.436327790332221</v>
      </c>
      <c r="AM181" s="277">
        <f t="shared" si="78"/>
        <v>43.034527673896086</v>
      </c>
      <c r="AN181" s="277">
        <f t="shared" si="78"/>
        <v>1.3801503036642727E-2</v>
      </c>
      <c r="AO181" s="277">
        <f t="shared" si="78"/>
        <v>0.10250810373022921</v>
      </c>
      <c r="AP181" s="277">
        <f t="shared" si="78"/>
        <v>0.32140060564134304</v>
      </c>
      <c r="AQ181" s="277">
        <f t="shared" si="78"/>
        <v>0.70819088008020181</v>
      </c>
      <c r="AR181" s="277">
        <f t="shared" si="78"/>
        <v>1.2865903014343147</v>
      </c>
      <c r="AS181" s="277">
        <f t="shared" si="78"/>
        <v>2.0692648651289542</v>
      </c>
      <c r="AT181" s="277">
        <f t="shared" si="78"/>
        <v>3.0602740346849182</v>
      </c>
      <c r="AU181" s="277">
        <f t="shared" si="78"/>
        <v>4.2570757029793187</v>
      </c>
      <c r="AV181" s="277">
        <f t="shared" si="78"/>
        <v>5.6521671458405169</v>
      </c>
    </row>
    <row r="182" spans="2:48" ht="12.95" customHeight="1" x14ac:dyDescent="0.2">
      <c r="B182" s="14"/>
      <c r="C182" s="372">
        <v>8</v>
      </c>
      <c r="D182" s="372"/>
      <c r="E182" s="372"/>
      <c r="F182" s="253" t="s">
        <v>492</v>
      </c>
      <c r="G182" s="253" t="s">
        <v>395</v>
      </c>
      <c r="H182" s="277"/>
      <c r="I182" s="277"/>
      <c r="J182" s="277"/>
      <c r="K182" s="277"/>
      <c r="L182" s="277"/>
      <c r="M182" s="277"/>
      <c r="N182" s="277"/>
      <c r="O182" s="277">
        <f t="shared" ref="O182:AV182" si="79">HLOOKUP(O141,t_growth,3)</f>
        <v>43.034527673896086</v>
      </c>
      <c r="P182" s="277">
        <f t="shared" si="79"/>
        <v>1.3801503036642727E-2</v>
      </c>
      <c r="Q182" s="277">
        <f t="shared" si="79"/>
        <v>0.10250810373022921</v>
      </c>
      <c r="R182" s="277">
        <f t="shared" si="79"/>
        <v>0.32140060564134304</v>
      </c>
      <c r="S182" s="277">
        <f t="shared" si="79"/>
        <v>0.70819088008020181</v>
      </c>
      <c r="T182" s="277">
        <f t="shared" si="79"/>
        <v>1.2865903014343147</v>
      </c>
      <c r="U182" s="277">
        <f t="shared" si="79"/>
        <v>2.0692648651289542</v>
      </c>
      <c r="V182" s="277">
        <f t="shared" si="79"/>
        <v>3.0602740346849182</v>
      </c>
      <c r="W182" s="277">
        <f t="shared" si="79"/>
        <v>4.2570757029793187</v>
      </c>
      <c r="X182" s="277">
        <f t="shared" si="79"/>
        <v>5.6521671458405169</v>
      </c>
      <c r="Y182" s="277">
        <f t="shared" si="79"/>
        <v>7.2344211823897746</v>
      </c>
      <c r="Z182" s="277">
        <f t="shared" si="79"/>
        <v>8.9901676693851371</v>
      </c>
      <c r="AA182" s="277">
        <f t="shared" si="79"/>
        <v>10.904062717666822</v>
      </c>
      <c r="AB182" s="277">
        <f t="shared" si="79"/>
        <v>12.959781431811036</v>
      </c>
      <c r="AC182" s="277">
        <f t="shared" si="79"/>
        <v>15.140564371508987</v>
      </c>
      <c r="AD182" s="277">
        <f t="shared" si="79"/>
        <v>17.4296431713258</v>
      </c>
      <c r="AE182" s="277">
        <f t="shared" si="79"/>
        <v>19.810566711342741</v>
      </c>
      <c r="AF182" s="277">
        <f t="shared" si="79"/>
        <v>22.267445799447479</v>
      </c>
      <c r="AG182" s="277">
        <f t="shared" si="79"/>
        <v>24.785131416603353</v>
      </c>
      <c r="AH182" s="277">
        <f t="shared" si="79"/>
        <v>27.349339112214277</v>
      </c>
      <c r="AI182" s="277">
        <f t="shared" si="79"/>
        <v>29.946730051786854</v>
      </c>
      <c r="AJ182" s="277">
        <f t="shared" si="79"/>
        <v>32.564957457117195</v>
      </c>
      <c r="AK182" s="277">
        <f t="shared" si="79"/>
        <v>35.192685692036868</v>
      </c>
      <c r="AL182" s="277">
        <f t="shared" si="79"/>
        <v>37.819587993197999</v>
      </c>
      <c r="AM182" s="277">
        <f t="shared" si="79"/>
        <v>40.436327790332221</v>
      </c>
      <c r="AN182" s="277">
        <f t="shared" si="79"/>
        <v>43.034527673896086</v>
      </c>
      <c r="AO182" s="277">
        <f t="shared" si="79"/>
        <v>1.3801503036642727E-2</v>
      </c>
      <c r="AP182" s="277">
        <f t="shared" si="79"/>
        <v>0.10250810373022921</v>
      </c>
      <c r="AQ182" s="277">
        <f t="shared" si="79"/>
        <v>0.32140060564134304</v>
      </c>
      <c r="AR182" s="277">
        <f t="shared" si="79"/>
        <v>0.70819088008020181</v>
      </c>
      <c r="AS182" s="277">
        <f t="shared" si="79"/>
        <v>1.2865903014343147</v>
      </c>
      <c r="AT182" s="277">
        <f t="shared" si="79"/>
        <v>2.0692648651289542</v>
      </c>
      <c r="AU182" s="277">
        <f t="shared" si="79"/>
        <v>3.0602740346849182</v>
      </c>
      <c r="AV182" s="277">
        <f t="shared" si="79"/>
        <v>4.2570757029793187</v>
      </c>
    </row>
    <row r="183" spans="2:48" ht="12.95" customHeight="1" x14ac:dyDescent="0.2">
      <c r="B183" s="14"/>
      <c r="C183" s="372">
        <v>9</v>
      </c>
      <c r="D183" s="372"/>
      <c r="E183" s="372"/>
      <c r="F183" s="253" t="s">
        <v>492</v>
      </c>
      <c r="G183" s="253" t="s">
        <v>395</v>
      </c>
      <c r="H183" s="277"/>
      <c r="I183" s="277"/>
      <c r="J183" s="277"/>
      <c r="K183" s="277"/>
      <c r="L183" s="277"/>
      <c r="M183" s="277"/>
      <c r="N183" s="277"/>
      <c r="O183" s="277"/>
      <c r="P183" s="277">
        <f t="shared" ref="P183:AV183" si="80">HLOOKUP(P142,t_growth,3)</f>
        <v>43.034527673896086</v>
      </c>
      <c r="Q183" s="277">
        <f t="shared" si="80"/>
        <v>1.3801503036642727E-2</v>
      </c>
      <c r="R183" s="277">
        <f t="shared" si="80"/>
        <v>0.10250810373022921</v>
      </c>
      <c r="S183" s="277">
        <f t="shared" si="80"/>
        <v>0.32140060564134304</v>
      </c>
      <c r="T183" s="277">
        <f t="shared" si="80"/>
        <v>0.70819088008020181</v>
      </c>
      <c r="U183" s="277">
        <f t="shared" si="80"/>
        <v>1.2865903014343147</v>
      </c>
      <c r="V183" s="277">
        <f t="shared" si="80"/>
        <v>2.0692648651289542</v>
      </c>
      <c r="W183" s="277">
        <f t="shared" si="80"/>
        <v>3.0602740346849182</v>
      </c>
      <c r="X183" s="277">
        <f t="shared" si="80"/>
        <v>4.2570757029793187</v>
      </c>
      <c r="Y183" s="277">
        <f t="shared" si="80"/>
        <v>5.6521671458405169</v>
      </c>
      <c r="Z183" s="277">
        <f t="shared" si="80"/>
        <v>7.2344211823897746</v>
      </c>
      <c r="AA183" s="277">
        <f t="shared" si="80"/>
        <v>8.9901676693851371</v>
      </c>
      <c r="AB183" s="277">
        <f t="shared" si="80"/>
        <v>10.904062717666822</v>
      </c>
      <c r="AC183" s="277">
        <f t="shared" si="80"/>
        <v>12.959781431811036</v>
      </c>
      <c r="AD183" s="277">
        <f t="shared" si="80"/>
        <v>15.140564371508987</v>
      </c>
      <c r="AE183" s="277">
        <f t="shared" si="80"/>
        <v>17.4296431713258</v>
      </c>
      <c r="AF183" s="277">
        <f t="shared" si="80"/>
        <v>19.810566711342741</v>
      </c>
      <c r="AG183" s="277">
        <f t="shared" si="80"/>
        <v>22.267445799447479</v>
      </c>
      <c r="AH183" s="277">
        <f t="shared" si="80"/>
        <v>24.785131416603353</v>
      </c>
      <c r="AI183" s="277">
        <f t="shared" si="80"/>
        <v>27.349339112214277</v>
      </c>
      <c r="AJ183" s="277">
        <f t="shared" si="80"/>
        <v>29.946730051786854</v>
      </c>
      <c r="AK183" s="277">
        <f t="shared" si="80"/>
        <v>32.564957457117195</v>
      </c>
      <c r="AL183" s="277">
        <f t="shared" si="80"/>
        <v>35.192685692036868</v>
      </c>
      <c r="AM183" s="277">
        <f t="shared" si="80"/>
        <v>37.819587993197999</v>
      </c>
      <c r="AN183" s="277">
        <f t="shared" si="80"/>
        <v>40.436327790332221</v>
      </c>
      <c r="AO183" s="277">
        <f t="shared" si="80"/>
        <v>43.034527673896086</v>
      </c>
      <c r="AP183" s="277">
        <f t="shared" si="80"/>
        <v>1.3801503036642727E-2</v>
      </c>
      <c r="AQ183" s="277">
        <f t="shared" si="80"/>
        <v>0.10250810373022921</v>
      </c>
      <c r="AR183" s="277">
        <f t="shared" si="80"/>
        <v>0.32140060564134304</v>
      </c>
      <c r="AS183" s="277">
        <f t="shared" si="80"/>
        <v>0.70819088008020181</v>
      </c>
      <c r="AT183" s="277">
        <f t="shared" si="80"/>
        <v>1.2865903014343147</v>
      </c>
      <c r="AU183" s="277">
        <f t="shared" si="80"/>
        <v>2.0692648651289542</v>
      </c>
      <c r="AV183" s="277">
        <f t="shared" si="80"/>
        <v>3.0602740346849182</v>
      </c>
    </row>
    <row r="184" spans="2:48" ht="12.95" customHeight="1" x14ac:dyDescent="0.2">
      <c r="B184" s="14"/>
      <c r="C184" s="372">
        <v>10</v>
      </c>
      <c r="D184" s="372"/>
      <c r="E184" s="372"/>
      <c r="F184" s="253" t="s">
        <v>492</v>
      </c>
      <c r="G184" s="253" t="s">
        <v>395</v>
      </c>
      <c r="H184" s="277"/>
      <c r="I184" s="277"/>
      <c r="J184" s="277"/>
      <c r="K184" s="277"/>
      <c r="L184" s="277"/>
      <c r="M184" s="277"/>
      <c r="N184" s="277"/>
      <c r="O184" s="277"/>
      <c r="P184" s="277"/>
      <c r="Q184" s="277">
        <f t="shared" ref="Q184:AV184" si="81">HLOOKUP(Q143,t_growth,3)</f>
        <v>43.034527673896086</v>
      </c>
      <c r="R184" s="277">
        <f t="shared" si="81"/>
        <v>1.3801503036642727E-2</v>
      </c>
      <c r="S184" s="277">
        <f t="shared" si="81"/>
        <v>0.10250810373022921</v>
      </c>
      <c r="T184" s="277">
        <f t="shared" si="81"/>
        <v>0.32140060564134304</v>
      </c>
      <c r="U184" s="277">
        <f t="shared" si="81"/>
        <v>0.70819088008020181</v>
      </c>
      <c r="V184" s="277">
        <f t="shared" si="81"/>
        <v>1.2865903014343147</v>
      </c>
      <c r="W184" s="277">
        <f t="shared" si="81"/>
        <v>2.0692648651289542</v>
      </c>
      <c r="X184" s="277">
        <f t="shared" si="81"/>
        <v>3.0602740346849182</v>
      </c>
      <c r="Y184" s="277">
        <f t="shared" si="81"/>
        <v>4.2570757029793187</v>
      </c>
      <c r="Z184" s="277">
        <f t="shared" si="81"/>
        <v>5.6521671458405169</v>
      </c>
      <c r="AA184" s="277">
        <f t="shared" si="81"/>
        <v>7.2344211823897746</v>
      </c>
      <c r="AB184" s="277">
        <f t="shared" si="81"/>
        <v>8.9901676693851371</v>
      </c>
      <c r="AC184" s="277">
        <f t="shared" si="81"/>
        <v>10.904062717666822</v>
      </c>
      <c r="AD184" s="277">
        <f t="shared" si="81"/>
        <v>12.959781431811036</v>
      </c>
      <c r="AE184" s="277">
        <f t="shared" si="81"/>
        <v>15.140564371508987</v>
      </c>
      <c r="AF184" s="277">
        <f t="shared" si="81"/>
        <v>17.4296431713258</v>
      </c>
      <c r="AG184" s="277">
        <f t="shared" si="81"/>
        <v>19.810566711342741</v>
      </c>
      <c r="AH184" s="277">
        <f t="shared" si="81"/>
        <v>22.267445799447479</v>
      </c>
      <c r="AI184" s="277">
        <f t="shared" si="81"/>
        <v>24.785131416603353</v>
      </c>
      <c r="AJ184" s="277">
        <f t="shared" si="81"/>
        <v>27.349339112214277</v>
      </c>
      <c r="AK184" s="277">
        <f t="shared" si="81"/>
        <v>29.946730051786854</v>
      </c>
      <c r="AL184" s="277">
        <f t="shared" si="81"/>
        <v>32.564957457117195</v>
      </c>
      <c r="AM184" s="277">
        <f t="shared" si="81"/>
        <v>35.192685692036868</v>
      </c>
      <c r="AN184" s="277">
        <f t="shared" si="81"/>
        <v>37.819587993197999</v>
      </c>
      <c r="AO184" s="277">
        <f t="shared" si="81"/>
        <v>40.436327790332221</v>
      </c>
      <c r="AP184" s="277">
        <f t="shared" si="81"/>
        <v>43.034527673896086</v>
      </c>
      <c r="AQ184" s="277">
        <f t="shared" si="81"/>
        <v>1.3801503036642727E-2</v>
      </c>
      <c r="AR184" s="277">
        <f t="shared" si="81"/>
        <v>0.10250810373022921</v>
      </c>
      <c r="AS184" s="277">
        <f t="shared" si="81"/>
        <v>0.32140060564134304</v>
      </c>
      <c r="AT184" s="277">
        <f t="shared" si="81"/>
        <v>0.70819088008020181</v>
      </c>
      <c r="AU184" s="277">
        <f t="shared" si="81"/>
        <v>1.2865903014343147</v>
      </c>
      <c r="AV184" s="277">
        <f t="shared" si="81"/>
        <v>2.0692648651289542</v>
      </c>
    </row>
    <row r="185" spans="2:48" ht="12.95" customHeight="1" x14ac:dyDescent="0.2">
      <c r="B185" s="14"/>
      <c r="C185" s="372">
        <v>11</v>
      </c>
      <c r="D185" s="372"/>
      <c r="E185" s="372"/>
      <c r="F185" s="253" t="s">
        <v>492</v>
      </c>
      <c r="G185" s="253" t="s">
        <v>395</v>
      </c>
      <c r="H185" s="277"/>
      <c r="I185" s="277"/>
      <c r="J185" s="277"/>
      <c r="K185" s="277"/>
      <c r="L185" s="277"/>
      <c r="M185" s="277"/>
      <c r="N185" s="277"/>
      <c r="O185" s="277"/>
      <c r="P185" s="277"/>
      <c r="Q185" s="277"/>
      <c r="R185" s="277">
        <f t="shared" ref="R185:AV185" si="82">HLOOKUP(R144,t_growth,3)</f>
        <v>43.034527673896086</v>
      </c>
      <c r="S185" s="277">
        <f t="shared" si="82"/>
        <v>1.3801503036642727E-2</v>
      </c>
      <c r="T185" s="277">
        <f t="shared" si="82"/>
        <v>0.10250810373022921</v>
      </c>
      <c r="U185" s="277">
        <f t="shared" si="82"/>
        <v>0.32140060564134304</v>
      </c>
      <c r="V185" s="277">
        <f t="shared" si="82"/>
        <v>0.70819088008020181</v>
      </c>
      <c r="W185" s="277">
        <f t="shared" si="82"/>
        <v>1.2865903014343147</v>
      </c>
      <c r="X185" s="277">
        <f t="shared" si="82"/>
        <v>2.0692648651289542</v>
      </c>
      <c r="Y185" s="277">
        <f t="shared" si="82"/>
        <v>3.0602740346849182</v>
      </c>
      <c r="Z185" s="277">
        <f t="shared" si="82"/>
        <v>4.2570757029793187</v>
      </c>
      <c r="AA185" s="277">
        <f t="shared" si="82"/>
        <v>5.6521671458405169</v>
      </c>
      <c r="AB185" s="277">
        <f t="shared" si="82"/>
        <v>7.2344211823897746</v>
      </c>
      <c r="AC185" s="277">
        <f t="shared" si="82"/>
        <v>8.9901676693851371</v>
      </c>
      <c r="AD185" s="277">
        <f t="shared" si="82"/>
        <v>10.904062717666822</v>
      </c>
      <c r="AE185" s="277">
        <f t="shared" si="82"/>
        <v>12.959781431811036</v>
      </c>
      <c r="AF185" s="277">
        <f t="shared" si="82"/>
        <v>15.140564371508987</v>
      </c>
      <c r="AG185" s="277">
        <f t="shared" si="82"/>
        <v>17.4296431713258</v>
      </c>
      <c r="AH185" s="277">
        <f t="shared" si="82"/>
        <v>19.810566711342741</v>
      </c>
      <c r="AI185" s="277">
        <f t="shared" si="82"/>
        <v>22.267445799447479</v>
      </c>
      <c r="AJ185" s="277">
        <f t="shared" si="82"/>
        <v>24.785131416603353</v>
      </c>
      <c r="AK185" s="277">
        <f t="shared" si="82"/>
        <v>27.349339112214277</v>
      </c>
      <c r="AL185" s="277">
        <f t="shared" si="82"/>
        <v>29.946730051786854</v>
      </c>
      <c r="AM185" s="277">
        <f t="shared" si="82"/>
        <v>32.564957457117195</v>
      </c>
      <c r="AN185" s="277">
        <f t="shared" si="82"/>
        <v>35.192685692036868</v>
      </c>
      <c r="AO185" s="277">
        <f t="shared" si="82"/>
        <v>37.819587993197999</v>
      </c>
      <c r="AP185" s="277">
        <f t="shared" si="82"/>
        <v>40.436327790332221</v>
      </c>
      <c r="AQ185" s="277">
        <f t="shared" si="82"/>
        <v>43.034527673896086</v>
      </c>
      <c r="AR185" s="277">
        <f t="shared" si="82"/>
        <v>1.3801503036642727E-2</v>
      </c>
      <c r="AS185" s="277">
        <f t="shared" si="82"/>
        <v>0.10250810373022921</v>
      </c>
      <c r="AT185" s="277">
        <f t="shared" si="82"/>
        <v>0.32140060564134304</v>
      </c>
      <c r="AU185" s="277">
        <f t="shared" si="82"/>
        <v>0.70819088008020181</v>
      </c>
      <c r="AV185" s="277">
        <f t="shared" si="82"/>
        <v>1.2865903014343147</v>
      </c>
    </row>
    <row r="186" spans="2:48" ht="12.95" customHeight="1" x14ac:dyDescent="0.2">
      <c r="B186" s="14"/>
      <c r="C186" s="372">
        <v>12</v>
      </c>
      <c r="D186" s="372"/>
      <c r="E186" s="372"/>
      <c r="F186" s="253" t="s">
        <v>492</v>
      </c>
      <c r="G186" s="253" t="s">
        <v>395</v>
      </c>
      <c r="H186" s="277"/>
      <c r="I186" s="277"/>
      <c r="J186" s="277"/>
      <c r="K186" s="277"/>
      <c r="L186" s="277"/>
      <c r="M186" s="277"/>
      <c r="N186" s="277"/>
      <c r="O186" s="277"/>
      <c r="P186" s="277"/>
      <c r="Q186" s="277"/>
      <c r="R186" s="277"/>
      <c r="S186" s="277">
        <f t="shared" ref="S186:AV186" si="83">HLOOKUP(S145,t_growth,3)</f>
        <v>43.034527673896086</v>
      </c>
      <c r="T186" s="277">
        <f t="shared" si="83"/>
        <v>1.3801503036642727E-2</v>
      </c>
      <c r="U186" s="277">
        <f t="shared" si="83"/>
        <v>0.10250810373022921</v>
      </c>
      <c r="V186" s="277">
        <f t="shared" si="83"/>
        <v>0.32140060564134304</v>
      </c>
      <c r="W186" s="277">
        <f t="shared" si="83"/>
        <v>0.70819088008020181</v>
      </c>
      <c r="X186" s="277">
        <f t="shared" si="83"/>
        <v>1.2865903014343147</v>
      </c>
      <c r="Y186" s="277">
        <f t="shared" si="83"/>
        <v>2.0692648651289542</v>
      </c>
      <c r="Z186" s="277">
        <f t="shared" si="83"/>
        <v>3.0602740346849182</v>
      </c>
      <c r="AA186" s="277">
        <f t="shared" si="83"/>
        <v>4.2570757029793187</v>
      </c>
      <c r="AB186" s="277">
        <f t="shared" si="83"/>
        <v>5.6521671458405169</v>
      </c>
      <c r="AC186" s="277">
        <f t="shared" si="83"/>
        <v>7.2344211823897746</v>
      </c>
      <c r="AD186" s="277">
        <f t="shared" si="83"/>
        <v>8.9901676693851371</v>
      </c>
      <c r="AE186" s="277">
        <f t="shared" si="83"/>
        <v>10.904062717666822</v>
      </c>
      <c r="AF186" s="277">
        <f t="shared" si="83"/>
        <v>12.959781431811036</v>
      </c>
      <c r="AG186" s="277">
        <f t="shared" si="83"/>
        <v>15.140564371508987</v>
      </c>
      <c r="AH186" s="277">
        <f t="shared" si="83"/>
        <v>17.4296431713258</v>
      </c>
      <c r="AI186" s="277">
        <f t="shared" si="83"/>
        <v>19.810566711342741</v>
      </c>
      <c r="AJ186" s="277">
        <f t="shared" si="83"/>
        <v>22.267445799447479</v>
      </c>
      <c r="AK186" s="277">
        <f t="shared" si="83"/>
        <v>24.785131416603353</v>
      </c>
      <c r="AL186" s="277">
        <f t="shared" si="83"/>
        <v>27.349339112214277</v>
      </c>
      <c r="AM186" s="277">
        <f t="shared" si="83"/>
        <v>29.946730051786854</v>
      </c>
      <c r="AN186" s="277">
        <f t="shared" si="83"/>
        <v>32.564957457117195</v>
      </c>
      <c r="AO186" s="277">
        <f t="shared" si="83"/>
        <v>35.192685692036868</v>
      </c>
      <c r="AP186" s="277">
        <f t="shared" si="83"/>
        <v>37.819587993197999</v>
      </c>
      <c r="AQ186" s="277">
        <f t="shared" si="83"/>
        <v>40.436327790332221</v>
      </c>
      <c r="AR186" s="277">
        <f t="shared" si="83"/>
        <v>43.034527673896086</v>
      </c>
      <c r="AS186" s="277">
        <f t="shared" si="83"/>
        <v>1.3801503036642727E-2</v>
      </c>
      <c r="AT186" s="277">
        <f t="shared" si="83"/>
        <v>0.10250810373022921</v>
      </c>
      <c r="AU186" s="277">
        <f t="shared" si="83"/>
        <v>0.32140060564134304</v>
      </c>
      <c r="AV186" s="277">
        <f t="shared" si="83"/>
        <v>0.70819088008020181</v>
      </c>
    </row>
    <row r="187" spans="2:48" ht="12.95" customHeight="1" x14ac:dyDescent="0.2">
      <c r="B187" s="14"/>
      <c r="C187" s="372">
        <v>13</v>
      </c>
      <c r="D187" s="372"/>
      <c r="E187" s="372"/>
      <c r="F187" s="253" t="s">
        <v>492</v>
      </c>
      <c r="G187" s="253" t="s">
        <v>395</v>
      </c>
      <c r="H187" s="277"/>
      <c r="I187" s="277"/>
      <c r="J187" s="277"/>
      <c r="K187" s="277"/>
      <c r="L187" s="277"/>
      <c r="M187" s="277"/>
      <c r="N187" s="277"/>
      <c r="O187" s="277"/>
      <c r="P187" s="277"/>
      <c r="Q187" s="277"/>
      <c r="R187" s="277"/>
      <c r="S187" s="277"/>
      <c r="T187" s="277">
        <f t="shared" ref="T187:AV187" si="84">HLOOKUP(T146,t_growth,3)</f>
        <v>43.034527673896086</v>
      </c>
      <c r="U187" s="277">
        <f t="shared" si="84"/>
        <v>1.3801503036642727E-2</v>
      </c>
      <c r="V187" s="277">
        <f t="shared" si="84"/>
        <v>0.10250810373022921</v>
      </c>
      <c r="W187" s="277">
        <f t="shared" si="84"/>
        <v>0.32140060564134304</v>
      </c>
      <c r="X187" s="277">
        <f t="shared" si="84"/>
        <v>0.70819088008020181</v>
      </c>
      <c r="Y187" s="277">
        <f t="shared" si="84"/>
        <v>1.2865903014343147</v>
      </c>
      <c r="Z187" s="277">
        <f t="shared" si="84"/>
        <v>2.0692648651289542</v>
      </c>
      <c r="AA187" s="277">
        <f t="shared" si="84"/>
        <v>3.0602740346849182</v>
      </c>
      <c r="AB187" s="277">
        <f t="shared" si="84"/>
        <v>4.2570757029793187</v>
      </c>
      <c r="AC187" s="277">
        <f t="shared" si="84"/>
        <v>5.6521671458405169</v>
      </c>
      <c r="AD187" s="277">
        <f t="shared" si="84"/>
        <v>7.2344211823897746</v>
      </c>
      <c r="AE187" s="277">
        <f t="shared" si="84"/>
        <v>8.9901676693851371</v>
      </c>
      <c r="AF187" s="277">
        <f t="shared" si="84"/>
        <v>10.904062717666822</v>
      </c>
      <c r="AG187" s="277">
        <f t="shared" si="84"/>
        <v>12.959781431811036</v>
      </c>
      <c r="AH187" s="277">
        <f t="shared" si="84"/>
        <v>15.140564371508987</v>
      </c>
      <c r="AI187" s="277">
        <f t="shared" si="84"/>
        <v>17.4296431713258</v>
      </c>
      <c r="AJ187" s="277">
        <f t="shared" si="84"/>
        <v>19.810566711342741</v>
      </c>
      <c r="AK187" s="277">
        <f t="shared" si="84"/>
        <v>22.267445799447479</v>
      </c>
      <c r="AL187" s="277">
        <f t="shared" si="84"/>
        <v>24.785131416603353</v>
      </c>
      <c r="AM187" s="277">
        <f t="shared" si="84"/>
        <v>27.349339112214277</v>
      </c>
      <c r="AN187" s="277">
        <f t="shared" si="84"/>
        <v>29.946730051786854</v>
      </c>
      <c r="AO187" s="277">
        <f t="shared" si="84"/>
        <v>32.564957457117195</v>
      </c>
      <c r="AP187" s="277">
        <f t="shared" si="84"/>
        <v>35.192685692036868</v>
      </c>
      <c r="AQ187" s="277">
        <f t="shared" si="84"/>
        <v>37.819587993197999</v>
      </c>
      <c r="AR187" s="277">
        <f t="shared" si="84"/>
        <v>40.436327790332221</v>
      </c>
      <c r="AS187" s="277">
        <f t="shared" si="84"/>
        <v>43.034527673896086</v>
      </c>
      <c r="AT187" s="277">
        <f t="shared" si="84"/>
        <v>1.3801503036642727E-2</v>
      </c>
      <c r="AU187" s="277">
        <f t="shared" si="84"/>
        <v>0.10250810373022921</v>
      </c>
      <c r="AV187" s="277">
        <f t="shared" si="84"/>
        <v>0.32140060564134304</v>
      </c>
    </row>
    <row r="188" spans="2:48" ht="12.95" customHeight="1" x14ac:dyDescent="0.2">
      <c r="B188" s="14"/>
      <c r="C188" s="372">
        <v>14</v>
      </c>
      <c r="D188" s="372"/>
      <c r="E188" s="372"/>
      <c r="F188" s="253" t="s">
        <v>492</v>
      </c>
      <c r="G188" s="253" t="s">
        <v>395</v>
      </c>
      <c r="H188" s="277"/>
      <c r="I188" s="277"/>
      <c r="J188" s="277"/>
      <c r="K188" s="277"/>
      <c r="L188" s="277"/>
      <c r="M188" s="277"/>
      <c r="N188" s="277"/>
      <c r="O188" s="277"/>
      <c r="P188" s="277"/>
      <c r="Q188" s="277"/>
      <c r="R188" s="277"/>
      <c r="S188" s="277"/>
      <c r="T188" s="277"/>
      <c r="U188" s="277">
        <f t="shared" ref="U188:AV188" si="85">HLOOKUP(U147,t_growth,3)</f>
        <v>43.034527673896086</v>
      </c>
      <c r="V188" s="277">
        <f t="shared" si="85"/>
        <v>1.3801503036642727E-2</v>
      </c>
      <c r="W188" s="277">
        <f t="shared" si="85"/>
        <v>0.10250810373022921</v>
      </c>
      <c r="X188" s="277">
        <f t="shared" si="85"/>
        <v>0.32140060564134304</v>
      </c>
      <c r="Y188" s="277">
        <f t="shared" si="85"/>
        <v>0.70819088008020181</v>
      </c>
      <c r="Z188" s="277">
        <f t="shared" si="85"/>
        <v>1.2865903014343147</v>
      </c>
      <c r="AA188" s="277">
        <f t="shared" si="85"/>
        <v>2.0692648651289542</v>
      </c>
      <c r="AB188" s="277">
        <f t="shared" si="85"/>
        <v>3.0602740346849182</v>
      </c>
      <c r="AC188" s="277">
        <f t="shared" si="85"/>
        <v>4.2570757029793187</v>
      </c>
      <c r="AD188" s="277">
        <f t="shared" si="85"/>
        <v>5.6521671458405169</v>
      </c>
      <c r="AE188" s="277">
        <f t="shared" si="85"/>
        <v>7.2344211823897746</v>
      </c>
      <c r="AF188" s="277">
        <f t="shared" si="85"/>
        <v>8.9901676693851371</v>
      </c>
      <c r="AG188" s="277">
        <f t="shared" si="85"/>
        <v>10.904062717666822</v>
      </c>
      <c r="AH188" s="277">
        <f t="shared" si="85"/>
        <v>12.959781431811036</v>
      </c>
      <c r="AI188" s="277">
        <f t="shared" si="85"/>
        <v>15.140564371508987</v>
      </c>
      <c r="AJ188" s="277">
        <f t="shared" si="85"/>
        <v>17.4296431713258</v>
      </c>
      <c r="AK188" s="277">
        <f t="shared" si="85"/>
        <v>19.810566711342741</v>
      </c>
      <c r="AL188" s="277">
        <f t="shared" si="85"/>
        <v>22.267445799447479</v>
      </c>
      <c r="AM188" s="277">
        <f t="shared" si="85"/>
        <v>24.785131416603353</v>
      </c>
      <c r="AN188" s="277">
        <f t="shared" si="85"/>
        <v>27.349339112214277</v>
      </c>
      <c r="AO188" s="277">
        <f t="shared" si="85"/>
        <v>29.946730051786854</v>
      </c>
      <c r="AP188" s="277">
        <f t="shared" si="85"/>
        <v>32.564957457117195</v>
      </c>
      <c r="AQ188" s="277">
        <f t="shared" si="85"/>
        <v>35.192685692036868</v>
      </c>
      <c r="AR188" s="277">
        <f t="shared" si="85"/>
        <v>37.819587993197999</v>
      </c>
      <c r="AS188" s="277">
        <f t="shared" si="85"/>
        <v>40.436327790332221</v>
      </c>
      <c r="AT188" s="277">
        <f t="shared" si="85"/>
        <v>43.034527673896086</v>
      </c>
      <c r="AU188" s="277">
        <f t="shared" si="85"/>
        <v>1.3801503036642727E-2</v>
      </c>
      <c r="AV188" s="277">
        <f t="shared" si="85"/>
        <v>0.10250810373022921</v>
      </c>
    </row>
    <row r="189" spans="2:48" ht="12.95" customHeight="1" x14ac:dyDescent="0.2">
      <c r="B189" s="14"/>
      <c r="C189" s="372">
        <v>15</v>
      </c>
      <c r="D189" s="372"/>
      <c r="E189" s="372"/>
      <c r="F189" s="253" t="s">
        <v>492</v>
      </c>
      <c r="G189" s="253" t="s">
        <v>395</v>
      </c>
      <c r="H189" s="277"/>
      <c r="I189" s="277"/>
      <c r="J189" s="277"/>
      <c r="K189" s="277"/>
      <c r="L189" s="277"/>
      <c r="M189" s="277"/>
      <c r="N189" s="277"/>
      <c r="O189" s="277"/>
      <c r="P189" s="277"/>
      <c r="Q189" s="277"/>
      <c r="R189" s="277"/>
      <c r="S189" s="277"/>
      <c r="T189" s="277"/>
      <c r="U189" s="277"/>
      <c r="V189" s="277">
        <f t="shared" ref="V189:AV189" si="86">HLOOKUP(V148,t_growth,3)</f>
        <v>43.034527673896086</v>
      </c>
      <c r="W189" s="277">
        <f t="shared" si="86"/>
        <v>1.3801503036642727E-2</v>
      </c>
      <c r="X189" s="277">
        <f t="shared" si="86"/>
        <v>0.10250810373022921</v>
      </c>
      <c r="Y189" s="277">
        <f t="shared" si="86"/>
        <v>0.32140060564134304</v>
      </c>
      <c r="Z189" s="277">
        <f t="shared" si="86"/>
        <v>0.70819088008020181</v>
      </c>
      <c r="AA189" s="277">
        <f t="shared" si="86"/>
        <v>1.2865903014343147</v>
      </c>
      <c r="AB189" s="277">
        <f t="shared" si="86"/>
        <v>2.0692648651289542</v>
      </c>
      <c r="AC189" s="277">
        <f t="shared" si="86"/>
        <v>3.0602740346849182</v>
      </c>
      <c r="AD189" s="277">
        <f t="shared" si="86"/>
        <v>4.2570757029793187</v>
      </c>
      <c r="AE189" s="277">
        <f t="shared" si="86"/>
        <v>5.6521671458405169</v>
      </c>
      <c r="AF189" s="277">
        <f t="shared" si="86"/>
        <v>7.2344211823897746</v>
      </c>
      <c r="AG189" s="277">
        <f t="shared" si="86"/>
        <v>8.9901676693851371</v>
      </c>
      <c r="AH189" s="277">
        <f t="shared" si="86"/>
        <v>10.904062717666822</v>
      </c>
      <c r="AI189" s="277">
        <f t="shared" si="86"/>
        <v>12.959781431811036</v>
      </c>
      <c r="AJ189" s="277">
        <f t="shared" si="86"/>
        <v>15.140564371508987</v>
      </c>
      <c r="AK189" s="277">
        <f t="shared" si="86"/>
        <v>17.4296431713258</v>
      </c>
      <c r="AL189" s="277">
        <f t="shared" si="86"/>
        <v>19.810566711342741</v>
      </c>
      <c r="AM189" s="277">
        <f t="shared" si="86"/>
        <v>22.267445799447479</v>
      </c>
      <c r="AN189" s="277">
        <f t="shared" si="86"/>
        <v>24.785131416603353</v>
      </c>
      <c r="AO189" s="277">
        <f t="shared" si="86"/>
        <v>27.349339112214277</v>
      </c>
      <c r="AP189" s="277">
        <f t="shared" si="86"/>
        <v>29.946730051786854</v>
      </c>
      <c r="AQ189" s="277">
        <f t="shared" si="86"/>
        <v>32.564957457117195</v>
      </c>
      <c r="AR189" s="277">
        <f t="shared" si="86"/>
        <v>35.192685692036868</v>
      </c>
      <c r="AS189" s="277">
        <f t="shared" si="86"/>
        <v>37.819587993197999</v>
      </c>
      <c r="AT189" s="277">
        <f t="shared" si="86"/>
        <v>40.436327790332221</v>
      </c>
      <c r="AU189" s="277">
        <f t="shared" si="86"/>
        <v>43.034527673896086</v>
      </c>
      <c r="AV189" s="277">
        <f t="shared" si="86"/>
        <v>1.3801503036642727E-2</v>
      </c>
    </row>
    <row r="190" spans="2:48" ht="12.95" customHeight="1" x14ac:dyDescent="0.2">
      <c r="B190" s="14"/>
      <c r="C190" s="372">
        <v>16</v>
      </c>
      <c r="D190" s="372"/>
      <c r="E190" s="372"/>
      <c r="F190" s="253" t="s">
        <v>492</v>
      </c>
      <c r="G190" s="253" t="s">
        <v>395</v>
      </c>
      <c r="H190" s="277"/>
      <c r="I190" s="277"/>
      <c r="J190" s="277"/>
      <c r="K190" s="277"/>
      <c r="L190" s="277"/>
      <c r="M190" s="277"/>
      <c r="N190" s="277"/>
      <c r="O190" s="277"/>
      <c r="P190" s="277"/>
      <c r="Q190" s="277"/>
      <c r="R190" s="277"/>
      <c r="S190" s="277"/>
      <c r="T190" s="277"/>
      <c r="U190" s="277"/>
      <c r="V190" s="277"/>
      <c r="W190" s="277">
        <f t="shared" ref="W190:AV190" si="87">HLOOKUP(W149,t_growth,3)</f>
        <v>43.034527673896086</v>
      </c>
      <c r="X190" s="277">
        <f t="shared" si="87"/>
        <v>1.3801503036642727E-2</v>
      </c>
      <c r="Y190" s="277">
        <f t="shared" si="87"/>
        <v>0.10250810373022921</v>
      </c>
      <c r="Z190" s="277">
        <f t="shared" si="87"/>
        <v>0.32140060564134304</v>
      </c>
      <c r="AA190" s="277">
        <f t="shared" si="87"/>
        <v>0.70819088008020181</v>
      </c>
      <c r="AB190" s="277">
        <f t="shared" si="87"/>
        <v>1.2865903014343147</v>
      </c>
      <c r="AC190" s="277">
        <f t="shared" si="87"/>
        <v>2.0692648651289542</v>
      </c>
      <c r="AD190" s="277">
        <f t="shared" si="87"/>
        <v>3.0602740346849182</v>
      </c>
      <c r="AE190" s="277">
        <f t="shared" si="87"/>
        <v>4.2570757029793187</v>
      </c>
      <c r="AF190" s="277">
        <f t="shared" si="87"/>
        <v>5.6521671458405169</v>
      </c>
      <c r="AG190" s="277">
        <f t="shared" si="87"/>
        <v>7.2344211823897746</v>
      </c>
      <c r="AH190" s="277">
        <f t="shared" si="87"/>
        <v>8.9901676693851371</v>
      </c>
      <c r="AI190" s="277">
        <f t="shared" si="87"/>
        <v>10.904062717666822</v>
      </c>
      <c r="AJ190" s="277">
        <f t="shared" si="87"/>
        <v>12.959781431811036</v>
      </c>
      <c r="AK190" s="277">
        <f t="shared" si="87"/>
        <v>15.140564371508987</v>
      </c>
      <c r="AL190" s="277">
        <f t="shared" si="87"/>
        <v>17.4296431713258</v>
      </c>
      <c r="AM190" s="277">
        <f t="shared" si="87"/>
        <v>19.810566711342741</v>
      </c>
      <c r="AN190" s="277">
        <f t="shared" si="87"/>
        <v>22.267445799447479</v>
      </c>
      <c r="AO190" s="277">
        <f t="shared" si="87"/>
        <v>24.785131416603353</v>
      </c>
      <c r="AP190" s="277">
        <f t="shared" si="87"/>
        <v>27.349339112214277</v>
      </c>
      <c r="AQ190" s="277">
        <f t="shared" si="87"/>
        <v>29.946730051786854</v>
      </c>
      <c r="AR190" s="277">
        <f t="shared" si="87"/>
        <v>32.564957457117195</v>
      </c>
      <c r="AS190" s="277">
        <f t="shared" si="87"/>
        <v>35.192685692036868</v>
      </c>
      <c r="AT190" s="277">
        <f t="shared" si="87"/>
        <v>37.819587993197999</v>
      </c>
      <c r="AU190" s="277">
        <f t="shared" si="87"/>
        <v>40.436327790332221</v>
      </c>
      <c r="AV190" s="277">
        <f t="shared" si="87"/>
        <v>43.034527673896086</v>
      </c>
    </row>
    <row r="191" spans="2:48" ht="12.95" customHeight="1" x14ac:dyDescent="0.2">
      <c r="B191" s="14"/>
      <c r="C191" s="372">
        <v>17</v>
      </c>
      <c r="D191" s="372"/>
      <c r="E191" s="372"/>
      <c r="F191" s="253" t="s">
        <v>492</v>
      </c>
      <c r="G191" s="253" t="s">
        <v>395</v>
      </c>
      <c r="H191" s="277"/>
      <c r="I191" s="277"/>
      <c r="J191" s="277"/>
      <c r="K191" s="277"/>
      <c r="L191" s="277"/>
      <c r="M191" s="277"/>
      <c r="N191" s="277"/>
      <c r="O191" s="277"/>
      <c r="P191" s="277"/>
      <c r="Q191" s="277"/>
      <c r="R191" s="277"/>
      <c r="S191" s="277"/>
      <c r="T191" s="277"/>
      <c r="U191" s="277"/>
      <c r="V191" s="277"/>
      <c r="W191" s="277"/>
      <c r="X191" s="277">
        <f t="shared" ref="X191:AV191" si="88">HLOOKUP(X150,t_growth,3)</f>
        <v>43.034527673896086</v>
      </c>
      <c r="Y191" s="277">
        <f t="shared" si="88"/>
        <v>1.3801503036642727E-2</v>
      </c>
      <c r="Z191" s="277">
        <f t="shared" si="88"/>
        <v>0.10250810373022921</v>
      </c>
      <c r="AA191" s="277">
        <f t="shared" si="88"/>
        <v>0.32140060564134304</v>
      </c>
      <c r="AB191" s="277">
        <f t="shared" si="88"/>
        <v>0.70819088008020181</v>
      </c>
      <c r="AC191" s="277">
        <f t="shared" si="88"/>
        <v>1.2865903014343147</v>
      </c>
      <c r="AD191" s="277">
        <f t="shared" si="88"/>
        <v>2.0692648651289542</v>
      </c>
      <c r="AE191" s="277">
        <f t="shared" si="88"/>
        <v>3.0602740346849182</v>
      </c>
      <c r="AF191" s="277">
        <f t="shared" si="88"/>
        <v>4.2570757029793187</v>
      </c>
      <c r="AG191" s="277">
        <f t="shared" si="88"/>
        <v>5.6521671458405169</v>
      </c>
      <c r="AH191" s="277">
        <f t="shared" si="88"/>
        <v>7.2344211823897746</v>
      </c>
      <c r="AI191" s="277">
        <f t="shared" si="88"/>
        <v>8.9901676693851371</v>
      </c>
      <c r="AJ191" s="277">
        <f t="shared" si="88"/>
        <v>10.904062717666822</v>
      </c>
      <c r="AK191" s="277">
        <f t="shared" si="88"/>
        <v>12.959781431811036</v>
      </c>
      <c r="AL191" s="277">
        <f t="shared" si="88"/>
        <v>15.140564371508987</v>
      </c>
      <c r="AM191" s="277">
        <f t="shared" si="88"/>
        <v>17.4296431713258</v>
      </c>
      <c r="AN191" s="277">
        <f t="shared" si="88"/>
        <v>19.810566711342741</v>
      </c>
      <c r="AO191" s="277">
        <f t="shared" si="88"/>
        <v>22.267445799447479</v>
      </c>
      <c r="AP191" s="277">
        <f t="shared" si="88"/>
        <v>24.785131416603353</v>
      </c>
      <c r="AQ191" s="277">
        <f t="shared" si="88"/>
        <v>27.349339112214277</v>
      </c>
      <c r="AR191" s="277">
        <f t="shared" si="88"/>
        <v>29.946730051786854</v>
      </c>
      <c r="AS191" s="277">
        <f t="shared" si="88"/>
        <v>32.564957457117195</v>
      </c>
      <c r="AT191" s="277">
        <f t="shared" si="88"/>
        <v>35.192685692036868</v>
      </c>
      <c r="AU191" s="277">
        <f t="shared" si="88"/>
        <v>37.819587993197999</v>
      </c>
      <c r="AV191" s="277">
        <f t="shared" si="88"/>
        <v>40.436327790332221</v>
      </c>
    </row>
    <row r="192" spans="2:48" ht="12.95" customHeight="1" x14ac:dyDescent="0.2">
      <c r="B192" s="14"/>
      <c r="C192" s="372">
        <v>18</v>
      </c>
      <c r="D192" s="372"/>
      <c r="E192" s="372"/>
      <c r="F192" s="253" t="s">
        <v>492</v>
      </c>
      <c r="G192" s="253" t="s">
        <v>395</v>
      </c>
      <c r="H192" s="277"/>
      <c r="I192" s="277"/>
      <c r="J192" s="277"/>
      <c r="K192" s="277"/>
      <c r="L192" s="277"/>
      <c r="M192" s="277"/>
      <c r="N192" s="277"/>
      <c r="O192" s="277"/>
      <c r="P192" s="277"/>
      <c r="Q192" s="277"/>
      <c r="R192" s="277"/>
      <c r="S192" s="277"/>
      <c r="T192" s="277"/>
      <c r="U192" s="277"/>
      <c r="V192" s="277"/>
      <c r="W192" s="277"/>
      <c r="X192" s="277"/>
      <c r="Y192" s="277">
        <f t="shared" ref="Y192:AV192" si="89">HLOOKUP(Y151,t_growth,3)</f>
        <v>43.034527673896086</v>
      </c>
      <c r="Z192" s="277">
        <f t="shared" si="89"/>
        <v>1.3801503036642727E-2</v>
      </c>
      <c r="AA192" s="277">
        <f t="shared" si="89"/>
        <v>0.10250810373022921</v>
      </c>
      <c r="AB192" s="277">
        <f t="shared" si="89"/>
        <v>0.32140060564134304</v>
      </c>
      <c r="AC192" s="277">
        <f t="shared" si="89"/>
        <v>0.70819088008020181</v>
      </c>
      <c r="AD192" s="277">
        <f t="shared" si="89"/>
        <v>1.2865903014343147</v>
      </c>
      <c r="AE192" s="277">
        <f t="shared" si="89"/>
        <v>2.0692648651289542</v>
      </c>
      <c r="AF192" s="277">
        <f t="shared" si="89"/>
        <v>3.0602740346849182</v>
      </c>
      <c r="AG192" s="277">
        <f t="shared" si="89"/>
        <v>4.2570757029793187</v>
      </c>
      <c r="AH192" s="277">
        <f t="shared" si="89"/>
        <v>5.6521671458405169</v>
      </c>
      <c r="AI192" s="277">
        <f t="shared" si="89"/>
        <v>7.2344211823897746</v>
      </c>
      <c r="AJ192" s="277">
        <f t="shared" si="89"/>
        <v>8.9901676693851371</v>
      </c>
      <c r="AK192" s="277">
        <f t="shared" si="89"/>
        <v>10.904062717666822</v>
      </c>
      <c r="AL192" s="277">
        <f t="shared" si="89"/>
        <v>12.959781431811036</v>
      </c>
      <c r="AM192" s="277">
        <f t="shared" si="89"/>
        <v>15.140564371508987</v>
      </c>
      <c r="AN192" s="277">
        <f t="shared" si="89"/>
        <v>17.4296431713258</v>
      </c>
      <c r="AO192" s="277">
        <f t="shared" si="89"/>
        <v>19.810566711342741</v>
      </c>
      <c r="AP192" s="277">
        <f t="shared" si="89"/>
        <v>22.267445799447479</v>
      </c>
      <c r="AQ192" s="277">
        <f t="shared" si="89"/>
        <v>24.785131416603353</v>
      </c>
      <c r="AR192" s="277">
        <f t="shared" si="89"/>
        <v>27.349339112214277</v>
      </c>
      <c r="AS192" s="277">
        <f t="shared" si="89"/>
        <v>29.946730051786854</v>
      </c>
      <c r="AT192" s="277">
        <f t="shared" si="89"/>
        <v>32.564957457117195</v>
      </c>
      <c r="AU192" s="277">
        <f t="shared" si="89"/>
        <v>35.192685692036868</v>
      </c>
      <c r="AV192" s="277">
        <f t="shared" si="89"/>
        <v>37.819587993197999</v>
      </c>
    </row>
    <row r="193" spans="2:48" ht="12.95" customHeight="1" x14ac:dyDescent="0.2">
      <c r="B193" s="14"/>
      <c r="C193" s="372">
        <v>19</v>
      </c>
      <c r="D193" s="372"/>
      <c r="E193" s="372"/>
      <c r="F193" s="253" t="s">
        <v>492</v>
      </c>
      <c r="G193" s="253" t="s">
        <v>395</v>
      </c>
      <c r="H193" s="277"/>
      <c r="I193" s="277"/>
      <c r="J193" s="277"/>
      <c r="K193" s="277"/>
      <c r="L193" s="277"/>
      <c r="M193" s="277"/>
      <c r="N193" s="277"/>
      <c r="O193" s="277"/>
      <c r="P193" s="277"/>
      <c r="Q193" s="277"/>
      <c r="R193" s="277"/>
      <c r="S193" s="277"/>
      <c r="T193" s="277"/>
      <c r="U193" s="277"/>
      <c r="V193" s="277"/>
      <c r="W193" s="277"/>
      <c r="X193" s="277"/>
      <c r="Y193" s="277"/>
      <c r="Z193" s="277">
        <f t="shared" ref="Z193:AV193" si="90">HLOOKUP(Z152,t_growth,3)</f>
        <v>43.034527673896086</v>
      </c>
      <c r="AA193" s="277">
        <f t="shared" si="90"/>
        <v>1.3801503036642727E-2</v>
      </c>
      <c r="AB193" s="277">
        <f t="shared" si="90"/>
        <v>0.10250810373022921</v>
      </c>
      <c r="AC193" s="277">
        <f t="shared" si="90"/>
        <v>0.32140060564134304</v>
      </c>
      <c r="AD193" s="277">
        <f t="shared" si="90"/>
        <v>0.70819088008020181</v>
      </c>
      <c r="AE193" s="277">
        <f t="shared" si="90"/>
        <v>1.2865903014343147</v>
      </c>
      <c r="AF193" s="277">
        <f t="shared" si="90"/>
        <v>2.0692648651289542</v>
      </c>
      <c r="AG193" s="277">
        <f t="shared" si="90"/>
        <v>3.0602740346849182</v>
      </c>
      <c r="AH193" s="277">
        <f t="shared" si="90"/>
        <v>4.2570757029793187</v>
      </c>
      <c r="AI193" s="277">
        <f t="shared" si="90"/>
        <v>5.6521671458405169</v>
      </c>
      <c r="AJ193" s="277">
        <f t="shared" si="90"/>
        <v>7.2344211823897746</v>
      </c>
      <c r="AK193" s="277">
        <f t="shared" si="90"/>
        <v>8.9901676693851371</v>
      </c>
      <c r="AL193" s="277">
        <f t="shared" si="90"/>
        <v>10.904062717666822</v>
      </c>
      <c r="AM193" s="277">
        <f t="shared" si="90"/>
        <v>12.959781431811036</v>
      </c>
      <c r="AN193" s="277">
        <f t="shared" si="90"/>
        <v>15.140564371508987</v>
      </c>
      <c r="AO193" s="277">
        <f t="shared" si="90"/>
        <v>17.4296431713258</v>
      </c>
      <c r="AP193" s="277">
        <f t="shared" si="90"/>
        <v>19.810566711342741</v>
      </c>
      <c r="AQ193" s="277">
        <f t="shared" si="90"/>
        <v>22.267445799447479</v>
      </c>
      <c r="AR193" s="277">
        <f t="shared" si="90"/>
        <v>24.785131416603353</v>
      </c>
      <c r="AS193" s="277">
        <f t="shared" si="90"/>
        <v>27.349339112214277</v>
      </c>
      <c r="AT193" s="277">
        <f t="shared" si="90"/>
        <v>29.946730051786854</v>
      </c>
      <c r="AU193" s="277">
        <f t="shared" si="90"/>
        <v>32.564957457117195</v>
      </c>
      <c r="AV193" s="277">
        <f t="shared" si="90"/>
        <v>35.192685692036868</v>
      </c>
    </row>
    <row r="194" spans="2:48" ht="12.95" customHeight="1" x14ac:dyDescent="0.2">
      <c r="B194" s="14"/>
      <c r="C194" s="372">
        <v>20</v>
      </c>
      <c r="D194" s="372"/>
      <c r="E194" s="372"/>
      <c r="F194" s="253" t="s">
        <v>492</v>
      </c>
      <c r="G194" s="253" t="s">
        <v>395</v>
      </c>
      <c r="H194" s="277"/>
      <c r="I194" s="277"/>
      <c r="J194" s="277"/>
      <c r="K194" s="277"/>
      <c r="L194" s="277"/>
      <c r="M194" s="277"/>
      <c r="N194" s="277"/>
      <c r="O194" s="277"/>
      <c r="P194" s="277"/>
      <c r="Q194" s="277"/>
      <c r="R194" s="277"/>
      <c r="S194" s="277"/>
      <c r="T194" s="277"/>
      <c r="U194" s="277"/>
      <c r="V194" s="277"/>
      <c r="W194" s="277"/>
      <c r="X194" s="277"/>
      <c r="Y194" s="277"/>
      <c r="Z194" s="277"/>
      <c r="AA194" s="277">
        <f t="shared" ref="AA194:AV194" si="91">HLOOKUP(AA153,t_growth,3)</f>
        <v>43.034527673896086</v>
      </c>
      <c r="AB194" s="277">
        <f t="shared" si="91"/>
        <v>1.3801503036642727E-2</v>
      </c>
      <c r="AC194" s="277">
        <f t="shared" si="91"/>
        <v>0.10250810373022921</v>
      </c>
      <c r="AD194" s="277">
        <f t="shared" si="91"/>
        <v>0.32140060564134304</v>
      </c>
      <c r="AE194" s="277">
        <f t="shared" si="91"/>
        <v>0.70819088008020181</v>
      </c>
      <c r="AF194" s="277">
        <f t="shared" si="91"/>
        <v>1.2865903014343147</v>
      </c>
      <c r="AG194" s="277">
        <f t="shared" si="91"/>
        <v>2.0692648651289542</v>
      </c>
      <c r="AH194" s="277">
        <f t="shared" si="91"/>
        <v>3.0602740346849182</v>
      </c>
      <c r="AI194" s="277">
        <f t="shared" si="91"/>
        <v>4.2570757029793187</v>
      </c>
      <c r="AJ194" s="277">
        <f t="shared" si="91"/>
        <v>5.6521671458405169</v>
      </c>
      <c r="AK194" s="277">
        <f t="shared" si="91"/>
        <v>7.2344211823897746</v>
      </c>
      <c r="AL194" s="277">
        <f t="shared" si="91"/>
        <v>8.9901676693851371</v>
      </c>
      <c r="AM194" s="277">
        <f t="shared" si="91"/>
        <v>10.904062717666822</v>
      </c>
      <c r="AN194" s="277">
        <f t="shared" si="91"/>
        <v>12.959781431811036</v>
      </c>
      <c r="AO194" s="277">
        <f t="shared" si="91"/>
        <v>15.140564371508987</v>
      </c>
      <c r="AP194" s="277">
        <f t="shared" si="91"/>
        <v>17.4296431713258</v>
      </c>
      <c r="AQ194" s="277">
        <f t="shared" si="91"/>
        <v>19.810566711342741</v>
      </c>
      <c r="AR194" s="277">
        <f t="shared" si="91"/>
        <v>22.267445799447479</v>
      </c>
      <c r="AS194" s="277">
        <f t="shared" si="91"/>
        <v>24.785131416603353</v>
      </c>
      <c r="AT194" s="277">
        <f t="shared" si="91"/>
        <v>27.349339112214277</v>
      </c>
      <c r="AU194" s="277">
        <f t="shared" si="91"/>
        <v>29.946730051786854</v>
      </c>
      <c r="AV194" s="277">
        <f t="shared" si="91"/>
        <v>32.564957457117195</v>
      </c>
    </row>
    <row r="195" spans="2:48" ht="12.95" customHeight="1" x14ac:dyDescent="0.2">
      <c r="B195" s="14"/>
      <c r="C195" s="372">
        <v>21</v>
      </c>
      <c r="D195" s="372"/>
      <c r="E195" s="372"/>
      <c r="F195" s="253" t="s">
        <v>492</v>
      </c>
      <c r="G195" s="253" t="s">
        <v>395</v>
      </c>
      <c r="H195" s="277"/>
      <c r="I195" s="277"/>
      <c r="J195" s="277"/>
      <c r="K195" s="277"/>
      <c r="L195" s="277"/>
      <c r="M195" s="277"/>
      <c r="N195" s="277"/>
      <c r="O195" s="277"/>
      <c r="P195" s="277"/>
      <c r="Q195" s="277"/>
      <c r="R195" s="277"/>
      <c r="S195" s="277"/>
      <c r="T195" s="277"/>
      <c r="U195" s="277"/>
      <c r="V195" s="277"/>
      <c r="W195" s="277"/>
      <c r="X195" s="277"/>
      <c r="Y195" s="277"/>
      <c r="Z195" s="277"/>
      <c r="AA195" s="277"/>
      <c r="AB195" s="277">
        <f t="shared" ref="AB195:AV195" si="92">HLOOKUP(AB154,t_growth,3)</f>
        <v>43.034527673896086</v>
      </c>
      <c r="AC195" s="277">
        <f t="shared" si="92"/>
        <v>1.3801503036642727E-2</v>
      </c>
      <c r="AD195" s="277">
        <f t="shared" si="92"/>
        <v>0.10250810373022921</v>
      </c>
      <c r="AE195" s="277">
        <f t="shared" si="92"/>
        <v>0.32140060564134304</v>
      </c>
      <c r="AF195" s="277">
        <f t="shared" si="92"/>
        <v>0.70819088008020181</v>
      </c>
      <c r="AG195" s="277">
        <f t="shared" si="92"/>
        <v>1.2865903014343147</v>
      </c>
      <c r="AH195" s="277">
        <f t="shared" si="92"/>
        <v>2.0692648651289542</v>
      </c>
      <c r="AI195" s="277">
        <f t="shared" si="92"/>
        <v>3.0602740346849182</v>
      </c>
      <c r="AJ195" s="277">
        <f t="shared" si="92"/>
        <v>4.2570757029793187</v>
      </c>
      <c r="AK195" s="277">
        <f t="shared" si="92"/>
        <v>5.6521671458405169</v>
      </c>
      <c r="AL195" s="277">
        <f t="shared" si="92"/>
        <v>7.2344211823897746</v>
      </c>
      <c r="AM195" s="277">
        <f t="shared" si="92"/>
        <v>8.9901676693851371</v>
      </c>
      <c r="AN195" s="277">
        <f t="shared" si="92"/>
        <v>10.904062717666822</v>
      </c>
      <c r="AO195" s="277">
        <f t="shared" si="92"/>
        <v>12.959781431811036</v>
      </c>
      <c r="AP195" s="277">
        <f t="shared" si="92"/>
        <v>15.140564371508987</v>
      </c>
      <c r="AQ195" s="277">
        <f t="shared" si="92"/>
        <v>17.4296431713258</v>
      </c>
      <c r="AR195" s="277">
        <f t="shared" si="92"/>
        <v>19.810566711342741</v>
      </c>
      <c r="AS195" s="277">
        <f t="shared" si="92"/>
        <v>22.267445799447479</v>
      </c>
      <c r="AT195" s="277">
        <f t="shared" si="92"/>
        <v>24.785131416603353</v>
      </c>
      <c r="AU195" s="277">
        <f t="shared" si="92"/>
        <v>27.349339112214277</v>
      </c>
      <c r="AV195" s="277">
        <f t="shared" si="92"/>
        <v>29.946730051786854</v>
      </c>
    </row>
    <row r="196" spans="2:48" ht="12.95" customHeight="1" x14ac:dyDescent="0.2">
      <c r="B196" s="14"/>
      <c r="C196" s="372">
        <v>22</v>
      </c>
      <c r="D196" s="372"/>
      <c r="E196" s="372"/>
      <c r="F196" s="253" t="s">
        <v>492</v>
      </c>
      <c r="G196" s="253" t="s">
        <v>395</v>
      </c>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f t="shared" ref="AC196:AV196" si="93">HLOOKUP(AC155,t_growth,3)</f>
        <v>43.034527673896086</v>
      </c>
      <c r="AD196" s="277">
        <f t="shared" si="93"/>
        <v>1.3801503036642727E-2</v>
      </c>
      <c r="AE196" s="277">
        <f t="shared" si="93"/>
        <v>0.10250810373022921</v>
      </c>
      <c r="AF196" s="277">
        <f t="shared" si="93"/>
        <v>0.32140060564134304</v>
      </c>
      <c r="AG196" s="277">
        <f t="shared" si="93"/>
        <v>0.70819088008020181</v>
      </c>
      <c r="AH196" s="277">
        <f t="shared" si="93"/>
        <v>1.2865903014343147</v>
      </c>
      <c r="AI196" s="277">
        <f t="shared" si="93"/>
        <v>2.0692648651289542</v>
      </c>
      <c r="AJ196" s="277">
        <f t="shared" si="93"/>
        <v>3.0602740346849182</v>
      </c>
      <c r="AK196" s="277">
        <f t="shared" si="93"/>
        <v>4.2570757029793187</v>
      </c>
      <c r="AL196" s="277">
        <f t="shared" si="93"/>
        <v>5.6521671458405169</v>
      </c>
      <c r="AM196" s="277">
        <f t="shared" si="93"/>
        <v>7.2344211823897746</v>
      </c>
      <c r="AN196" s="277">
        <f t="shared" si="93"/>
        <v>8.9901676693851371</v>
      </c>
      <c r="AO196" s="277">
        <f t="shared" si="93"/>
        <v>10.904062717666822</v>
      </c>
      <c r="AP196" s="277">
        <f t="shared" si="93"/>
        <v>12.959781431811036</v>
      </c>
      <c r="AQ196" s="277">
        <f t="shared" si="93"/>
        <v>15.140564371508987</v>
      </c>
      <c r="AR196" s="277">
        <f t="shared" si="93"/>
        <v>17.4296431713258</v>
      </c>
      <c r="AS196" s="277">
        <f t="shared" si="93"/>
        <v>19.810566711342741</v>
      </c>
      <c r="AT196" s="277">
        <f t="shared" si="93"/>
        <v>22.267445799447479</v>
      </c>
      <c r="AU196" s="277">
        <f t="shared" si="93"/>
        <v>24.785131416603353</v>
      </c>
      <c r="AV196" s="277">
        <f t="shared" si="93"/>
        <v>27.349339112214277</v>
      </c>
    </row>
    <row r="197" spans="2:48" ht="12.95" customHeight="1" x14ac:dyDescent="0.2">
      <c r="B197" s="14"/>
      <c r="C197" s="372">
        <v>23</v>
      </c>
      <c r="D197" s="372"/>
      <c r="E197" s="372"/>
      <c r="F197" s="253" t="s">
        <v>492</v>
      </c>
      <c r="G197" s="253" t="s">
        <v>395</v>
      </c>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77">
        <f t="shared" ref="AD197:AV197" si="94">HLOOKUP(AD156,t_growth,3)</f>
        <v>43.034527673896086</v>
      </c>
      <c r="AE197" s="277">
        <f t="shared" si="94"/>
        <v>1.3801503036642727E-2</v>
      </c>
      <c r="AF197" s="277">
        <f t="shared" si="94"/>
        <v>0.10250810373022921</v>
      </c>
      <c r="AG197" s="277">
        <f t="shared" si="94"/>
        <v>0.32140060564134304</v>
      </c>
      <c r="AH197" s="277">
        <f t="shared" si="94"/>
        <v>0.70819088008020181</v>
      </c>
      <c r="AI197" s="277">
        <f t="shared" si="94"/>
        <v>1.2865903014343147</v>
      </c>
      <c r="AJ197" s="277">
        <f t="shared" si="94"/>
        <v>2.0692648651289542</v>
      </c>
      <c r="AK197" s="277">
        <f t="shared" si="94"/>
        <v>3.0602740346849182</v>
      </c>
      <c r="AL197" s="277">
        <f t="shared" si="94"/>
        <v>4.2570757029793187</v>
      </c>
      <c r="AM197" s="277">
        <f t="shared" si="94"/>
        <v>5.6521671458405169</v>
      </c>
      <c r="AN197" s="277">
        <f t="shared" si="94"/>
        <v>7.2344211823897746</v>
      </c>
      <c r="AO197" s="277">
        <f t="shared" si="94"/>
        <v>8.9901676693851371</v>
      </c>
      <c r="AP197" s="277">
        <f t="shared" si="94"/>
        <v>10.904062717666822</v>
      </c>
      <c r="AQ197" s="277">
        <f t="shared" si="94"/>
        <v>12.959781431811036</v>
      </c>
      <c r="AR197" s="277">
        <f t="shared" si="94"/>
        <v>15.140564371508987</v>
      </c>
      <c r="AS197" s="277">
        <f t="shared" si="94"/>
        <v>17.4296431713258</v>
      </c>
      <c r="AT197" s="277">
        <f t="shared" si="94"/>
        <v>19.810566711342741</v>
      </c>
      <c r="AU197" s="277">
        <f t="shared" si="94"/>
        <v>22.267445799447479</v>
      </c>
      <c r="AV197" s="277">
        <f t="shared" si="94"/>
        <v>24.785131416603353</v>
      </c>
    </row>
    <row r="198" spans="2:48" ht="12.95" customHeight="1" x14ac:dyDescent="0.2">
      <c r="B198" s="14"/>
      <c r="C198" s="372">
        <v>24</v>
      </c>
      <c r="D198" s="372"/>
      <c r="E198" s="372"/>
      <c r="F198" s="253" t="s">
        <v>492</v>
      </c>
      <c r="G198" s="253" t="s">
        <v>395</v>
      </c>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77"/>
      <c r="AE198" s="277">
        <f t="shared" ref="AE198:AV198" si="95">HLOOKUP(AE157,t_growth,3)</f>
        <v>43.034527673896086</v>
      </c>
      <c r="AF198" s="277">
        <f t="shared" si="95"/>
        <v>1.3801503036642727E-2</v>
      </c>
      <c r="AG198" s="277">
        <f t="shared" si="95"/>
        <v>0.10250810373022921</v>
      </c>
      <c r="AH198" s="277">
        <f t="shared" si="95"/>
        <v>0.32140060564134304</v>
      </c>
      <c r="AI198" s="277">
        <f t="shared" si="95"/>
        <v>0.70819088008020181</v>
      </c>
      <c r="AJ198" s="277">
        <f t="shared" si="95"/>
        <v>1.2865903014343147</v>
      </c>
      <c r="AK198" s="277">
        <f t="shared" si="95"/>
        <v>2.0692648651289542</v>
      </c>
      <c r="AL198" s="277">
        <f t="shared" si="95"/>
        <v>3.0602740346849182</v>
      </c>
      <c r="AM198" s="277">
        <f t="shared" si="95"/>
        <v>4.2570757029793187</v>
      </c>
      <c r="AN198" s="277">
        <f t="shared" si="95"/>
        <v>5.6521671458405169</v>
      </c>
      <c r="AO198" s="277">
        <f t="shared" si="95"/>
        <v>7.2344211823897746</v>
      </c>
      <c r="AP198" s="277">
        <f t="shared" si="95"/>
        <v>8.9901676693851371</v>
      </c>
      <c r="AQ198" s="277">
        <f t="shared" si="95"/>
        <v>10.904062717666822</v>
      </c>
      <c r="AR198" s="277">
        <f t="shared" si="95"/>
        <v>12.959781431811036</v>
      </c>
      <c r="AS198" s="277">
        <f t="shared" si="95"/>
        <v>15.140564371508987</v>
      </c>
      <c r="AT198" s="277">
        <f t="shared" si="95"/>
        <v>17.4296431713258</v>
      </c>
      <c r="AU198" s="277">
        <f t="shared" si="95"/>
        <v>19.810566711342741</v>
      </c>
      <c r="AV198" s="277">
        <f t="shared" si="95"/>
        <v>22.267445799447479</v>
      </c>
    </row>
    <row r="199" spans="2:48" ht="12.95" customHeight="1" x14ac:dyDescent="0.2">
      <c r="B199" s="14"/>
      <c r="C199" s="372">
        <v>25</v>
      </c>
      <c r="D199" s="372"/>
      <c r="E199" s="372"/>
      <c r="F199" s="253" t="s">
        <v>492</v>
      </c>
      <c r="G199" s="253" t="s">
        <v>395</v>
      </c>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7"/>
      <c r="AD199" s="277"/>
      <c r="AE199" s="277"/>
      <c r="AF199" s="277">
        <f t="shared" ref="AF199:AV199" si="96">HLOOKUP(AF158,t_growth,3)</f>
        <v>43.034527673896086</v>
      </c>
      <c r="AG199" s="277">
        <f t="shared" si="96"/>
        <v>1.3801503036642727E-2</v>
      </c>
      <c r="AH199" s="277">
        <f t="shared" si="96"/>
        <v>0.10250810373022921</v>
      </c>
      <c r="AI199" s="277">
        <f t="shared" si="96"/>
        <v>0.32140060564134304</v>
      </c>
      <c r="AJ199" s="277">
        <f t="shared" si="96"/>
        <v>0.70819088008020181</v>
      </c>
      <c r="AK199" s="277">
        <f t="shared" si="96"/>
        <v>1.2865903014343147</v>
      </c>
      <c r="AL199" s="277">
        <f t="shared" si="96"/>
        <v>2.0692648651289542</v>
      </c>
      <c r="AM199" s="277">
        <f t="shared" si="96"/>
        <v>3.0602740346849182</v>
      </c>
      <c r="AN199" s="277">
        <f t="shared" si="96"/>
        <v>4.2570757029793187</v>
      </c>
      <c r="AO199" s="277">
        <f t="shared" si="96"/>
        <v>5.6521671458405169</v>
      </c>
      <c r="AP199" s="277">
        <f t="shared" si="96"/>
        <v>7.2344211823897746</v>
      </c>
      <c r="AQ199" s="277">
        <f t="shared" si="96"/>
        <v>8.9901676693851371</v>
      </c>
      <c r="AR199" s="277">
        <f t="shared" si="96"/>
        <v>10.904062717666822</v>
      </c>
      <c r="AS199" s="277">
        <f t="shared" si="96"/>
        <v>12.959781431811036</v>
      </c>
      <c r="AT199" s="277">
        <f t="shared" si="96"/>
        <v>15.140564371508987</v>
      </c>
      <c r="AU199" s="277">
        <f t="shared" si="96"/>
        <v>17.4296431713258</v>
      </c>
      <c r="AV199" s="277">
        <f t="shared" si="96"/>
        <v>19.810566711342741</v>
      </c>
    </row>
    <row r="200" spans="2:48" ht="12.95" customHeight="1" x14ac:dyDescent="0.2">
      <c r="B200" s="14"/>
      <c r="C200" s="372">
        <v>26</v>
      </c>
      <c r="D200" s="372"/>
      <c r="E200" s="372"/>
      <c r="F200" s="253" t="s">
        <v>492</v>
      </c>
      <c r="G200" s="253" t="s">
        <v>395</v>
      </c>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277"/>
      <c r="AE200" s="277"/>
      <c r="AF200" s="277"/>
      <c r="AG200" s="277">
        <f t="shared" ref="AG200:AV200" si="97">HLOOKUP(AG159,t_growth,3)</f>
        <v>0</v>
      </c>
      <c r="AH200" s="277">
        <f t="shared" si="97"/>
        <v>0</v>
      </c>
      <c r="AI200" s="277">
        <f t="shared" si="97"/>
        <v>0</v>
      </c>
      <c r="AJ200" s="277">
        <f t="shared" si="97"/>
        <v>0</v>
      </c>
      <c r="AK200" s="277">
        <f t="shared" si="97"/>
        <v>0</v>
      </c>
      <c r="AL200" s="277">
        <f t="shared" si="97"/>
        <v>0</v>
      </c>
      <c r="AM200" s="277">
        <f t="shared" si="97"/>
        <v>0</v>
      </c>
      <c r="AN200" s="277">
        <f t="shared" si="97"/>
        <v>0</v>
      </c>
      <c r="AO200" s="277">
        <f t="shared" si="97"/>
        <v>0</v>
      </c>
      <c r="AP200" s="277">
        <f t="shared" si="97"/>
        <v>0</v>
      </c>
      <c r="AQ200" s="277">
        <f t="shared" si="97"/>
        <v>0</v>
      </c>
      <c r="AR200" s="277">
        <f t="shared" si="97"/>
        <v>0</v>
      </c>
      <c r="AS200" s="277">
        <f t="shared" si="97"/>
        <v>0</v>
      </c>
      <c r="AT200" s="277">
        <f t="shared" si="97"/>
        <v>0</v>
      </c>
      <c r="AU200" s="277">
        <f t="shared" si="97"/>
        <v>0</v>
      </c>
      <c r="AV200" s="277">
        <f t="shared" si="97"/>
        <v>0</v>
      </c>
    </row>
    <row r="201" spans="2:48" ht="12.95" customHeight="1" x14ac:dyDescent="0.2">
      <c r="B201" s="14"/>
      <c r="C201" s="372">
        <v>27</v>
      </c>
      <c r="D201" s="372"/>
      <c r="E201" s="372"/>
      <c r="F201" s="253" t="s">
        <v>492</v>
      </c>
      <c r="G201" s="253" t="s">
        <v>395</v>
      </c>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277"/>
      <c r="AE201" s="277"/>
      <c r="AF201" s="277"/>
      <c r="AG201" s="277"/>
      <c r="AH201" s="277">
        <f t="shared" ref="AH201:AV201" si="98">HLOOKUP(AH160,t_growth,3)</f>
        <v>0</v>
      </c>
      <c r="AI201" s="277">
        <f t="shared" si="98"/>
        <v>0</v>
      </c>
      <c r="AJ201" s="277">
        <f t="shared" si="98"/>
        <v>0</v>
      </c>
      <c r="AK201" s="277">
        <f t="shared" si="98"/>
        <v>0</v>
      </c>
      <c r="AL201" s="277">
        <f t="shared" si="98"/>
        <v>0</v>
      </c>
      <c r="AM201" s="277">
        <f t="shared" si="98"/>
        <v>0</v>
      </c>
      <c r="AN201" s="277">
        <f t="shared" si="98"/>
        <v>0</v>
      </c>
      <c r="AO201" s="277">
        <f t="shared" si="98"/>
        <v>0</v>
      </c>
      <c r="AP201" s="277">
        <f t="shared" si="98"/>
        <v>0</v>
      </c>
      <c r="AQ201" s="277">
        <f t="shared" si="98"/>
        <v>0</v>
      </c>
      <c r="AR201" s="277">
        <f t="shared" si="98"/>
        <v>0</v>
      </c>
      <c r="AS201" s="277">
        <f t="shared" si="98"/>
        <v>0</v>
      </c>
      <c r="AT201" s="277">
        <f t="shared" si="98"/>
        <v>0</v>
      </c>
      <c r="AU201" s="277">
        <f t="shared" si="98"/>
        <v>0</v>
      </c>
      <c r="AV201" s="277">
        <f t="shared" si="98"/>
        <v>0</v>
      </c>
    </row>
    <row r="202" spans="2:48" ht="12.95" customHeight="1" x14ac:dyDescent="0.2">
      <c r="B202" s="14"/>
      <c r="C202" s="372">
        <v>28</v>
      </c>
      <c r="D202" s="372"/>
      <c r="E202" s="372"/>
      <c r="F202" s="253" t="s">
        <v>492</v>
      </c>
      <c r="G202" s="253" t="s">
        <v>395</v>
      </c>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77"/>
      <c r="AE202" s="277"/>
      <c r="AF202" s="277"/>
      <c r="AG202" s="277"/>
      <c r="AH202" s="277"/>
      <c r="AI202" s="277">
        <f t="shared" ref="AI202:AV202" si="99">HLOOKUP(AI161,t_growth,3)</f>
        <v>0</v>
      </c>
      <c r="AJ202" s="277">
        <f t="shared" si="99"/>
        <v>0</v>
      </c>
      <c r="AK202" s="277">
        <f t="shared" si="99"/>
        <v>0</v>
      </c>
      <c r="AL202" s="277">
        <f t="shared" si="99"/>
        <v>0</v>
      </c>
      <c r="AM202" s="277">
        <f t="shared" si="99"/>
        <v>0</v>
      </c>
      <c r="AN202" s="277">
        <f t="shared" si="99"/>
        <v>0</v>
      </c>
      <c r="AO202" s="277">
        <f t="shared" si="99"/>
        <v>0</v>
      </c>
      <c r="AP202" s="277">
        <f t="shared" si="99"/>
        <v>0</v>
      </c>
      <c r="AQ202" s="277">
        <f t="shared" si="99"/>
        <v>0</v>
      </c>
      <c r="AR202" s="277">
        <f t="shared" si="99"/>
        <v>0</v>
      </c>
      <c r="AS202" s="277">
        <f t="shared" si="99"/>
        <v>0</v>
      </c>
      <c r="AT202" s="277">
        <f t="shared" si="99"/>
        <v>0</v>
      </c>
      <c r="AU202" s="277">
        <f t="shared" si="99"/>
        <v>0</v>
      </c>
      <c r="AV202" s="277">
        <f t="shared" si="99"/>
        <v>0</v>
      </c>
    </row>
    <row r="203" spans="2:48" ht="12.95" customHeight="1" x14ac:dyDescent="0.2">
      <c r="B203" s="14"/>
      <c r="C203" s="372">
        <v>29</v>
      </c>
      <c r="D203" s="372"/>
      <c r="E203" s="372"/>
      <c r="F203" s="253" t="s">
        <v>492</v>
      </c>
      <c r="G203" s="253" t="s">
        <v>395</v>
      </c>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77"/>
      <c r="AE203" s="277"/>
      <c r="AF203" s="277"/>
      <c r="AG203" s="277"/>
      <c r="AH203" s="277"/>
      <c r="AI203" s="277"/>
      <c r="AJ203" s="277">
        <f t="shared" ref="AJ203:AV203" si="100">HLOOKUP(AJ162,t_growth,3)</f>
        <v>0</v>
      </c>
      <c r="AK203" s="277">
        <f t="shared" si="100"/>
        <v>0</v>
      </c>
      <c r="AL203" s="277">
        <f t="shared" si="100"/>
        <v>0</v>
      </c>
      <c r="AM203" s="277">
        <f t="shared" si="100"/>
        <v>0</v>
      </c>
      <c r="AN203" s="277">
        <f t="shared" si="100"/>
        <v>0</v>
      </c>
      <c r="AO203" s="277">
        <f t="shared" si="100"/>
        <v>0</v>
      </c>
      <c r="AP203" s="277">
        <f t="shared" si="100"/>
        <v>0</v>
      </c>
      <c r="AQ203" s="277">
        <f t="shared" si="100"/>
        <v>0</v>
      </c>
      <c r="AR203" s="277">
        <f t="shared" si="100"/>
        <v>0</v>
      </c>
      <c r="AS203" s="277">
        <f t="shared" si="100"/>
        <v>0</v>
      </c>
      <c r="AT203" s="277">
        <f t="shared" si="100"/>
        <v>0</v>
      </c>
      <c r="AU203" s="277">
        <f t="shared" si="100"/>
        <v>0</v>
      </c>
      <c r="AV203" s="277">
        <f t="shared" si="100"/>
        <v>0</v>
      </c>
    </row>
    <row r="204" spans="2:48" ht="12.95" customHeight="1" x14ac:dyDescent="0.2">
      <c r="B204" s="14"/>
      <c r="C204" s="372">
        <v>30</v>
      </c>
      <c r="D204" s="372"/>
      <c r="E204" s="372"/>
      <c r="F204" s="253" t="s">
        <v>492</v>
      </c>
      <c r="G204" s="253" t="s">
        <v>395</v>
      </c>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77"/>
      <c r="AE204" s="277"/>
      <c r="AF204" s="277"/>
      <c r="AG204" s="277"/>
      <c r="AH204" s="277"/>
      <c r="AI204" s="277"/>
      <c r="AJ204" s="277"/>
      <c r="AK204" s="277">
        <f t="shared" ref="AK204:AV204" si="101">HLOOKUP(AK163,t_growth,3)</f>
        <v>0</v>
      </c>
      <c r="AL204" s="277">
        <f t="shared" si="101"/>
        <v>0</v>
      </c>
      <c r="AM204" s="277">
        <f t="shared" si="101"/>
        <v>0</v>
      </c>
      <c r="AN204" s="277">
        <f t="shared" si="101"/>
        <v>0</v>
      </c>
      <c r="AO204" s="277">
        <f t="shared" si="101"/>
        <v>0</v>
      </c>
      <c r="AP204" s="277">
        <f t="shared" si="101"/>
        <v>0</v>
      </c>
      <c r="AQ204" s="277">
        <f t="shared" si="101"/>
        <v>0</v>
      </c>
      <c r="AR204" s="277">
        <f t="shared" si="101"/>
        <v>0</v>
      </c>
      <c r="AS204" s="277">
        <f t="shared" si="101"/>
        <v>0</v>
      </c>
      <c r="AT204" s="277">
        <f t="shared" si="101"/>
        <v>0</v>
      </c>
      <c r="AU204" s="277">
        <f t="shared" si="101"/>
        <v>0</v>
      </c>
      <c r="AV204" s="277">
        <f t="shared" si="101"/>
        <v>0</v>
      </c>
    </row>
    <row r="205" spans="2:48" ht="12.95" customHeight="1" x14ac:dyDescent="0.2">
      <c r="B205" s="14"/>
      <c r="C205" s="372">
        <v>31</v>
      </c>
      <c r="D205" s="372"/>
      <c r="E205" s="372"/>
      <c r="F205" s="253" t="s">
        <v>492</v>
      </c>
      <c r="G205" s="253" t="s">
        <v>395</v>
      </c>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77"/>
      <c r="AE205" s="277"/>
      <c r="AF205" s="277"/>
      <c r="AG205" s="277"/>
      <c r="AH205" s="277"/>
      <c r="AI205" s="277"/>
      <c r="AJ205" s="277"/>
      <c r="AK205" s="277"/>
      <c r="AL205" s="277">
        <f t="shared" ref="AL205:AV205" si="102">HLOOKUP(AL164,t_growth,3)</f>
        <v>0</v>
      </c>
      <c r="AM205" s="277">
        <f t="shared" si="102"/>
        <v>0</v>
      </c>
      <c r="AN205" s="277">
        <f t="shared" si="102"/>
        <v>0</v>
      </c>
      <c r="AO205" s="277">
        <f t="shared" si="102"/>
        <v>0</v>
      </c>
      <c r="AP205" s="277">
        <f t="shared" si="102"/>
        <v>0</v>
      </c>
      <c r="AQ205" s="277">
        <f t="shared" si="102"/>
        <v>0</v>
      </c>
      <c r="AR205" s="277">
        <f t="shared" si="102"/>
        <v>0</v>
      </c>
      <c r="AS205" s="277">
        <f t="shared" si="102"/>
        <v>0</v>
      </c>
      <c r="AT205" s="277">
        <f t="shared" si="102"/>
        <v>0</v>
      </c>
      <c r="AU205" s="277">
        <f t="shared" si="102"/>
        <v>0</v>
      </c>
      <c r="AV205" s="277">
        <f t="shared" si="102"/>
        <v>0</v>
      </c>
    </row>
    <row r="206" spans="2:48" ht="12.95" customHeight="1" x14ac:dyDescent="0.2">
      <c r="B206" s="14"/>
      <c r="C206" s="372">
        <v>32</v>
      </c>
      <c r="D206" s="372"/>
      <c r="E206" s="372"/>
      <c r="F206" s="253" t="s">
        <v>492</v>
      </c>
      <c r="G206" s="253" t="s">
        <v>395</v>
      </c>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77"/>
      <c r="AE206" s="277"/>
      <c r="AF206" s="277"/>
      <c r="AG206" s="277"/>
      <c r="AH206" s="277"/>
      <c r="AI206" s="277"/>
      <c r="AJ206" s="277"/>
      <c r="AK206" s="277"/>
      <c r="AL206" s="277"/>
      <c r="AM206" s="277">
        <f t="shared" ref="AM206:AV206" si="103">HLOOKUP(AM165,t_growth,3)</f>
        <v>0</v>
      </c>
      <c r="AN206" s="277">
        <f t="shared" si="103"/>
        <v>0</v>
      </c>
      <c r="AO206" s="277">
        <f t="shared" si="103"/>
        <v>0</v>
      </c>
      <c r="AP206" s="277">
        <f t="shared" si="103"/>
        <v>0</v>
      </c>
      <c r="AQ206" s="277">
        <f t="shared" si="103"/>
        <v>0</v>
      </c>
      <c r="AR206" s="277">
        <f t="shared" si="103"/>
        <v>0</v>
      </c>
      <c r="AS206" s="277">
        <f t="shared" si="103"/>
        <v>0</v>
      </c>
      <c r="AT206" s="277">
        <f t="shared" si="103"/>
        <v>0</v>
      </c>
      <c r="AU206" s="277">
        <f t="shared" si="103"/>
        <v>0</v>
      </c>
      <c r="AV206" s="277">
        <f t="shared" si="103"/>
        <v>0</v>
      </c>
    </row>
    <row r="207" spans="2:48" ht="12.95" customHeight="1" x14ac:dyDescent="0.2">
      <c r="B207" s="14"/>
      <c r="C207" s="372">
        <v>33</v>
      </c>
      <c r="D207" s="372"/>
      <c r="E207" s="372"/>
      <c r="F207" s="253" t="s">
        <v>492</v>
      </c>
      <c r="G207" s="253" t="s">
        <v>395</v>
      </c>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277"/>
      <c r="AF207" s="277"/>
      <c r="AG207" s="277"/>
      <c r="AH207" s="277"/>
      <c r="AI207" s="277"/>
      <c r="AJ207" s="277"/>
      <c r="AK207" s="277"/>
      <c r="AL207" s="277"/>
      <c r="AM207" s="277"/>
      <c r="AN207" s="277">
        <f t="shared" ref="AN207:AV207" si="104">HLOOKUP(AN166,t_growth,3)</f>
        <v>0</v>
      </c>
      <c r="AO207" s="277">
        <f t="shared" si="104"/>
        <v>0</v>
      </c>
      <c r="AP207" s="277">
        <f t="shared" si="104"/>
        <v>0</v>
      </c>
      <c r="AQ207" s="277">
        <f t="shared" si="104"/>
        <v>0</v>
      </c>
      <c r="AR207" s="277">
        <f t="shared" si="104"/>
        <v>0</v>
      </c>
      <c r="AS207" s="277">
        <f t="shared" si="104"/>
        <v>0</v>
      </c>
      <c r="AT207" s="277">
        <f t="shared" si="104"/>
        <v>0</v>
      </c>
      <c r="AU207" s="277">
        <f t="shared" si="104"/>
        <v>0</v>
      </c>
      <c r="AV207" s="277">
        <f t="shared" si="104"/>
        <v>0</v>
      </c>
    </row>
    <row r="208" spans="2:48" ht="12.95" customHeight="1" x14ac:dyDescent="0.2">
      <c r="B208" s="14"/>
      <c r="C208" s="372">
        <v>34</v>
      </c>
      <c r="D208" s="372"/>
      <c r="E208" s="372"/>
      <c r="F208" s="253" t="s">
        <v>492</v>
      </c>
      <c r="G208" s="253" t="s">
        <v>395</v>
      </c>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77"/>
      <c r="AE208" s="277"/>
      <c r="AF208" s="277"/>
      <c r="AG208" s="277"/>
      <c r="AH208" s="277"/>
      <c r="AI208" s="277"/>
      <c r="AJ208" s="277"/>
      <c r="AK208" s="277"/>
      <c r="AL208" s="277"/>
      <c r="AM208" s="277"/>
      <c r="AN208" s="277"/>
      <c r="AO208" s="277">
        <f t="shared" ref="AO208:AV208" si="105">HLOOKUP(AO167,t_growth,3)</f>
        <v>0</v>
      </c>
      <c r="AP208" s="277">
        <f t="shared" si="105"/>
        <v>0</v>
      </c>
      <c r="AQ208" s="277">
        <f t="shared" si="105"/>
        <v>0</v>
      </c>
      <c r="AR208" s="277">
        <f t="shared" si="105"/>
        <v>0</v>
      </c>
      <c r="AS208" s="277">
        <f t="shared" si="105"/>
        <v>0</v>
      </c>
      <c r="AT208" s="277">
        <f t="shared" si="105"/>
        <v>0</v>
      </c>
      <c r="AU208" s="277">
        <f t="shared" si="105"/>
        <v>0</v>
      </c>
      <c r="AV208" s="277">
        <f t="shared" si="105"/>
        <v>0</v>
      </c>
    </row>
    <row r="209" spans="2:48" ht="12.95" customHeight="1" x14ac:dyDescent="0.2">
      <c r="B209" s="14"/>
      <c r="C209" s="372">
        <v>35</v>
      </c>
      <c r="D209" s="372"/>
      <c r="E209" s="372"/>
      <c r="F209" s="253" t="s">
        <v>492</v>
      </c>
      <c r="G209" s="253" t="s">
        <v>395</v>
      </c>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77"/>
      <c r="AE209" s="277"/>
      <c r="AF209" s="277"/>
      <c r="AG209" s="277"/>
      <c r="AH209" s="277"/>
      <c r="AI209" s="277"/>
      <c r="AJ209" s="277"/>
      <c r="AK209" s="277"/>
      <c r="AL209" s="277"/>
      <c r="AM209" s="277"/>
      <c r="AN209" s="277"/>
      <c r="AO209" s="277"/>
      <c r="AP209" s="277">
        <f t="shared" ref="AP209:AV209" si="106">HLOOKUP(AP168,t_growth,3)</f>
        <v>0</v>
      </c>
      <c r="AQ209" s="277">
        <f t="shared" si="106"/>
        <v>0</v>
      </c>
      <c r="AR209" s="277">
        <f t="shared" si="106"/>
        <v>0</v>
      </c>
      <c r="AS209" s="277">
        <f t="shared" si="106"/>
        <v>0</v>
      </c>
      <c r="AT209" s="277">
        <f t="shared" si="106"/>
        <v>0</v>
      </c>
      <c r="AU209" s="277">
        <f t="shared" si="106"/>
        <v>0</v>
      </c>
      <c r="AV209" s="277">
        <f t="shared" si="106"/>
        <v>0</v>
      </c>
    </row>
    <row r="210" spans="2:48" ht="12.95" customHeight="1" x14ac:dyDescent="0.2">
      <c r="B210" s="14"/>
      <c r="C210" s="372">
        <v>36</v>
      </c>
      <c r="D210" s="372"/>
      <c r="E210" s="372"/>
      <c r="F210" s="253" t="s">
        <v>492</v>
      </c>
      <c r="G210" s="253" t="s">
        <v>395</v>
      </c>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77"/>
      <c r="AE210" s="277"/>
      <c r="AF210" s="277"/>
      <c r="AG210" s="277"/>
      <c r="AH210" s="277"/>
      <c r="AI210" s="277"/>
      <c r="AJ210" s="277"/>
      <c r="AK210" s="277"/>
      <c r="AL210" s="277"/>
      <c r="AM210" s="277"/>
      <c r="AN210" s="277"/>
      <c r="AO210" s="277"/>
      <c r="AP210" s="277"/>
      <c r="AQ210" s="277">
        <f t="shared" ref="AQ210:AV210" si="107">HLOOKUP(AQ169,t_growth,3)</f>
        <v>0</v>
      </c>
      <c r="AR210" s="277">
        <f t="shared" si="107"/>
        <v>0</v>
      </c>
      <c r="AS210" s="277">
        <f t="shared" si="107"/>
        <v>0</v>
      </c>
      <c r="AT210" s="277">
        <f t="shared" si="107"/>
        <v>0</v>
      </c>
      <c r="AU210" s="277">
        <f t="shared" si="107"/>
        <v>0</v>
      </c>
      <c r="AV210" s="277">
        <f t="shared" si="107"/>
        <v>0</v>
      </c>
    </row>
    <row r="211" spans="2:48" ht="12.95" customHeight="1" x14ac:dyDescent="0.2">
      <c r="B211" s="14"/>
      <c r="C211" s="372">
        <v>37</v>
      </c>
      <c r="D211" s="372"/>
      <c r="E211" s="372"/>
      <c r="F211" s="253" t="s">
        <v>492</v>
      </c>
      <c r="G211" s="253" t="s">
        <v>395</v>
      </c>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277"/>
      <c r="AE211" s="277"/>
      <c r="AF211" s="277"/>
      <c r="AG211" s="277"/>
      <c r="AH211" s="277"/>
      <c r="AI211" s="277"/>
      <c r="AJ211" s="277"/>
      <c r="AK211" s="277"/>
      <c r="AL211" s="277"/>
      <c r="AM211" s="277"/>
      <c r="AN211" s="277"/>
      <c r="AO211" s="277"/>
      <c r="AP211" s="277"/>
      <c r="AQ211" s="277"/>
      <c r="AR211" s="277">
        <f>HLOOKUP(AR170,t_growth,3)</f>
        <v>0</v>
      </c>
      <c r="AS211" s="277">
        <f>HLOOKUP(AS170,t_growth,3)</f>
        <v>0</v>
      </c>
      <c r="AT211" s="277">
        <f>HLOOKUP(AT170,t_growth,3)</f>
        <v>0</v>
      </c>
      <c r="AU211" s="277">
        <f>HLOOKUP(AU170,t_growth,3)</f>
        <v>0</v>
      </c>
      <c r="AV211" s="277">
        <f>HLOOKUP(AV170,t_growth,3)</f>
        <v>0</v>
      </c>
    </row>
    <row r="212" spans="2:48" ht="12.95" customHeight="1" x14ac:dyDescent="0.2">
      <c r="B212" s="14"/>
      <c r="C212" s="372">
        <v>38</v>
      </c>
      <c r="D212" s="372"/>
      <c r="E212" s="372"/>
      <c r="F212" s="253" t="s">
        <v>492</v>
      </c>
      <c r="G212" s="253" t="s">
        <v>395</v>
      </c>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277"/>
      <c r="AE212" s="277"/>
      <c r="AF212" s="277"/>
      <c r="AG212" s="277"/>
      <c r="AH212" s="277"/>
      <c r="AI212" s="277"/>
      <c r="AJ212" s="277"/>
      <c r="AK212" s="277"/>
      <c r="AL212" s="277"/>
      <c r="AM212" s="277"/>
      <c r="AN212" s="277"/>
      <c r="AO212" s="277"/>
      <c r="AP212" s="277"/>
      <c r="AQ212" s="277"/>
      <c r="AR212" s="277"/>
      <c r="AS212" s="277">
        <f>HLOOKUP(AS171,t_growth,3)</f>
        <v>0</v>
      </c>
      <c r="AT212" s="277">
        <f>HLOOKUP(AT171,t_growth,3)</f>
        <v>0</v>
      </c>
      <c r="AU212" s="277">
        <f>HLOOKUP(AU171,t_growth,3)</f>
        <v>0</v>
      </c>
      <c r="AV212" s="277">
        <f>HLOOKUP(AV171,t_growth,3)</f>
        <v>0</v>
      </c>
    </row>
    <row r="213" spans="2:48" ht="12.95" customHeight="1" x14ac:dyDescent="0.2">
      <c r="B213" s="14"/>
      <c r="C213" s="372">
        <v>39</v>
      </c>
      <c r="D213" s="372"/>
      <c r="E213" s="372"/>
      <c r="F213" s="253" t="s">
        <v>492</v>
      </c>
      <c r="G213" s="253" t="s">
        <v>395</v>
      </c>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77"/>
      <c r="AE213" s="277"/>
      <c r="AF213" s="277"/>
      <c r="AG213" s="277"/>
      <c r="AH213" s="277"/>
      <c r="AI213" s="277"/>
      <c r="AJ213" s="277"/>
      <c r="AK213" s="277"/>
      <c r="AL213" s="277"/>
      <c r="AM213" s="277"/>
      <c r="AN213" s="277"/>
      <c r="AO213" s="277"/>
      <c r="AP213" s="277"/>
      <c r="AQ213" s="277"/>
      <c r="AR213" s="277"/>
      <c r="AS213" s="277"/>
      <c r="AT213" s="277">
        <f>HLOOKUP(AT172,t_growth,3)</f>
        <v>0</v>
      </c>
      <c r="AU213" s="277">
        <f>HLOOKUP(AU172,t_growth,3)</f>
        <v>0</v>
      </c>
      <c r="AV213" s="277">
        <f>HLOOKUP(AV172,t_growth,3)</f>
        <v>0</v>
      </c>
    </row>
    <row r="214" spans="2:48" ht="12.95" customHeight="1" x14ac:dyDescent="0.2">
      <c r="B214" s="14"/>
      <c r="C214" s="372">
        <v>40</v>
      </c>
      <c r="D214" s="372"/>
      <c r="E214" s="372"/>
      <c r="F214" s="253" t="s">
        <v>492</v>
      </c>
      <c r="G214" s="253" t="s">
        <v>395</v>
      </c>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277"/>
      <c r="AF214" s="277"/>
      <c r="AG214" s="277"/>
      <c r="AH214" s="277"/>
      <c r="AI214" s="277"/>
      <c r="AJ214" s="277"/>
      <c r="AK214" s="277"/>
      <c r="AL214" s="277"/>
      <c r="AM214" s="277"/>
      <c r="AN214" s="277"/>
      <c r="AO214" s="277"/>
      <c r="AP214" s="277"/>
      <c r="AQ214" s="277"/>
      <c r="AR214" s="277"/>
      <c r="AS214" s="277"/>
      <c r="AT214" s="277"/>
      <c r="AU214" s="277">
        <f>HLOOKUP(AU173,t_growth,3)</f>
        <v>0</v>
      </c>
      <c r="AV214" s="277">
        <f>HLOOKUP(AV173,t_growth,3)</f>
        <v>0</v>
      </c>
    </row>
    <row r="215" spans="2:48" ht="12.95" customHeight="1" x14ac:dyDescent="0.2">
      <c r="B215" s="14" t="s">
        <v>496</v>
      </c>
      <c r="H215" s="171"/>
      <c r="I215" s="171"/>
      <c r="J215" s="171"/>
      <c r="K215" s="171"/>
      <c r="L215" s="171"/>
      <c r="M215" s="171"/>
      <c r="N215" s="171"/>
      <c r="O215" s="171"/>
      <c r="P215" s="171"/>
      <c r="Q215" s="171"/>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c r="AN215" s="171"/>
      <c r="AO215" s="171"/>
      <c r="AP215" s="171"/>
      <c r="AQ215" s="171"/>
      <c r="AR215" s="171"/>
      <c r="AS215" s="171"/>
      <c r="AT215" s="171"/>
      <c r="AU215" s="171"/>
      <c r="AV215" s="171"/>
    </row>
    <row r="216" spans="2:48" ht="12.95" customHeight="1" x14ac:dyDescent="0.2">
      <c r="B216" s="14"/>
      <c r="C216" s="253" t="s">
        <v>858</v>
      </c>
      <c r="F216" s="253" t="s">
        <v>493</v>
      </c>
      <c r="G216" s="253" t="s">
        <v>395</v>
      </c>
      <c r="H216" s="147"/>
      <c r="I216" s="147">
        <f t="shared" ref="I216:AV216" si="108">IF(I134=1,I175,I175-H175)</f>
        <v>1.3801503036642727E-2</v>
      </c>
      <c r="J216" s="147">
        <f t="shared" si="108"/>
        <v>8.870660069358649E-2</v>
      </c>
      <c r="K216" s="147">
        <f t="shared" si="108"/>
        <v>0.21889250191111381</v>
      </c>
      <c r="L216" s="147">
        <f t="shared" si="108"/>
        <v>0.38679027443885877</v>
      </c>
      <c r="M216" s="147">
        <f t="shared" si="108"/>
        <v>0.57839942135411293</v>
      </c>
      <c r="N216" s="147">
        <f t="shared" si="108"/>
        <v>0.7826745636946395</v>
      </c>
      <c r="O216" s="147">
        <f t="shared" si="108"/>
        <v>0.99100916955596396</v>
      </c>
      <c r="P216" s="147">
        <f t="shared" si="108"/>
        <v>1.1968016682944005</v>
      </c>
      <c r="Q216" s="147">
        <f t="shared" si="108"/>
        <v>1.3950914428611982</v>
      </c>
      <c r="R216" s="147">
        <f t="shared" si="108"/>
        <v>1.5822540365492577</v>
      </c>
      <c r="S216" s="147">
        <f t="shared" si="108"/>
        <v>1.7557464869953625</v>
      </c>
      <c r="T216" s="147">
        <f t="shared" si="108"/>
        <v>1.9138950482816846</v>
      </c>
      <c r="U216" s="147">
        <f t="shared" si="108"/>
        <v>2.0557187141442146</v>
      </c>
      <c r="V216" s="147">
        <f t="shared" si="108"/>
        <v>2.1807829396979503</v>
      </c>
      <c r="W216" s="147">
        <f t="shared" si="108"/>
        <v>2.2890787998168136</v>
      </c>
      <c r="X216" s="147">
        <f t="shared" si="108"/>
        <v>2.3809235400169406</v>
      </c>
      <c r="Y216" s="147">
        <f t="shared" si="108"/>
        <v>2.4568790881047384</v>
      </c>
      <c r="Z216" s="147">
        <f t="shared" si="108"/>
        <v>2.5176856171558732</v>
      </c>
      <c r="AA216" s="147">
        <f t="shared" si="108"/>
        <v>2.564207695610925</v>
      </c>
      <c r="AB216" s="147">
        <f t="shared" si="108"/>
        <v>2.5973909395725769</v>
      </c>
      <c r="AC216" s="147">
        <f t="shared" si="108"/>
        <v>2.6182274053303409</v>
      </c>
      <c r="AD216" s="147">
        <f t="shared" si="108"/>
        <v>2.6277282349196724</v>
      </c>
      <c r="AE216" s="147">
        <f t="shared" si="108"/>
        <v>2.626902301161131</v>
      </c>
      <c r="AF216" s="147">
        <f t="shared" si="108"/>
        <v>2.6167397971342226</v>
      </c>
      <c r="AG216" s="147">
        <f t="shared" si="108"/>
        <v>2.5981998835638649</v>
      </c>
      <c r="AH216" s="147">
        <f t="shared" si="108"/>
        <v>1.3801503036642727E-2</v>
      </c>
      <c r="AI216" s="147">
        <f t="shared" si="108"/>
        <v>8.870660069358649E-2</v>
      </c>
      <c r="AJ216" s="147">
        <f t="shared" si="108"/>
        <v>0.21889250191111381</v>
      </c>
      <c r="AK216" s="147">
        <f t="shared" si="108"/>
        <v>0.38679027443885877</v>
      </c>
      <c r="AL216" s="147">
        <f t="shared" si="108"/>
        <v>0.57839942135411293</v>
      </c>
      <c r="AM216" s="147">
        <f t="shared" si="108"/>
        <v>0.7826745636946395</v>
      </c>
      <c r="AN216" s="147">
        <f t="shared" si="108"/>
        <v>0.99100916955596396</v>
      </c>
      <c r="AO216" s="147">
        <f t="shared" si="108"/>
        <v>1.1968016682944005</v>
      </c>
      <c r="AP216" s="147">
        <f t="shared" si="108"/>
        <v>1.3950914428611982</v>
      </c>
      <c r="AQ216" s="147">
        <f t="shared" si="108"/>
        <v>1.5822540365492577</v>
      </c>
      <c r="AR216" s="147">
        <f t="shared" si="108"/>
        <v>1.7557464869953625</v>
      </c>
      <c r="AS216" s="147">
        <f t="shared" si="108"/>
        <v>1.9138950482816846</v>
      </c>
      <c r="AT216" s="147">
        <f t="shared" si="108"/>
        <v>2.0557187141442146</v>
      </c>
      <c r="AU216" s="147">
        <f t="shared" si="108"/>
        <v>2.1807829396979503</v>
      </c>
      <c r="AV216" s="147">
        <f t="shared" si="108"/>
        <v>2.2890787998168136</v>
      </c>
    </row>
    <row r="217" spans="2:48" ht="12.95" customHeight="1" x14ac:dyDescent="0.2">
      <c r="B217" s="14"/>
      <c r="C217" s="253" t="s">
        <v>859</v>
      </c>
      <c r="F217" s="253" t="s">
        <v>493</v>
      </c>
      <c r="G217" s="253" t="s">
        <v>395</v>
      </c>
      <c r="H217" s="147"/>
      <c r="I217" s="147"/>
      <c r="J217" s="147">
        <f t="shared" ref="J217:AV217" si="109">IF(J135=1,J176,J176-I176)</f>
        <v>1.3801503036642727E-2</v>
      </c>
      <c r="K217" s="147">
        <f t="shared" si="109"/>
        <v>8.870660069358649E-2</v>
      </c>
      <c r="L217" s="147">
        <f t="shared" si="109"/>
        <v>0.21889250191111381</v>
      </c>
      <c r="M217" s="147">
        <f t="shared" si="109"/>
        <v>0.38679027443885877</v>
      </c>
      <c r="N217" s="147">
        <f t="shared" si="109"/>
        <v>0.57839942135411293</v>
      </c>
      <c r="O217" s="147">
        <f t="shared" si="109"/>
        <v>0.7826745636946395</v>
      </c>
      <c r="P217" s="147">
        <f t="shared" si="109"/>
        <v>0.99100916955596396</v>
      </c>
      <c r="Q217" s="147">
        <f t="shared" si="109"/>
        <v>1.1968016682944005</v>
      </c>
      <c r="R217" s="147">
        <f t="shared" si="109"/>
        <v>1.3950914428611982</v>
      </c>
      <c r="S217" s="147">
        <f t="shared" si="109"/>
        <v>1.5822540365492577</v>
      </c>
      <c r="T217" s="147">
        <f t="shared" si="109"/>
        <v>1.7557464869953625</v>
      </c>
      <c r="U217" s="147">
        <f t="shared" si="109"/>
        <v>1.9138950482816846</v>
      </c>
      <c r="V217" s="147">
        <f t="shared" si="109"/>
        <v>2.0557187141442146</v>
      </c>
      <c r="W217" s="147">
        <f t="shared" si="109"/>
        <v>2.1807829396979503</v>
      </c>
      <c r="X217" s="147">
        <f t="shared" si="109"/>
        <v>2.2890787998168136</v>
      </c>
      <c r="Y217" s="147">
        <f t="shared" si="109"/>
        <v>2.3809235400169406</v>
      </c>
      <c r="Z217" s="147">
        <f t="shared" si="109"/>
        <v>2.4568790881047384</v>
      </c>
      <c r="AA217" s="147">
        <f t="shared" si="109"/>
        <v>2.5176856171558732</v>
      </c>
      <c r="AB217" s="147">
        <f t="shared" si="109"/>
        <v>2.564207695610925</v>
      </c>
      <c r="AC217" s="147">
        <f t="shared" si="109"/>
        <v>2.5973909395725769</v>
      </c>
      <c r="AD217" s="147">
        <f t="shared" si="109"/>
        <v>2.6182274053303409</v>
      </c>
      <c r="AE217" s="147">
        <f t="shared" si="109"/>
        <v>2.6277282349196724</v>
      </c>
      <c r="AF217" s="147">
        <f t="shared" si="109"/>
        <v>2.626902301161131</v>
      </c>
      <c r="AG217" s="147">
        <f t="shared" si="109"/>
        <v>2.6167397971342226</v>
      </c>
      <c r="AH217" s="147">
        <f t="shared" si="109"/>
        <v>2.5981998835638649</v>
      </c>
      <c r="AI217" s="147">
        <f t="shared" si="109"/>
        <v>1.3801503036642727E-2</v>
      </c>
      <c r="AJ217" s="147">
        <f t="shared" si="109"/>
        <v>8.870660069358649E-2</v>
      </c>
      <c r="AK217" s="147">
        <f t="shared" si="109"/>
        <v>0.21889250191111381</v>
      </c>
      <c r="AL217" s="147">
        <f t="shared" si="109"/>
        <v>0.38679027443885877</v>
      </c>
      <c r="AM217" s="147">
        <f t="shared" si="109"/>
        <v>0.57839942135411293</v>
      </c>
      <c r="AN217" s="147">
        <f t="shared" si="109"/>
        <v>0.7826745636946395</v>
      </c>
      <c r="AO217" s="147">
        <f t="shared" si="109"/>
        <v>0.99100916955596396</v>
      </c>
      <c r="AP217" s="147">
        <f t="shared" si="109"/>
        <v>1.1968016682944005</v>
      </c>
      <c r="AQ217" s="147">
        <f t="shared" si="109"/>
        <v>1.3950914428611982</v>
      </c>
      <c r="AR217" s="147">
        <f t="shared" si="109"/>
        <v>1.5822540365492577</v>
      </c>
      <c r="AS217" s="147">
        <f t="shared" si="109"/>
        <v>1.7557464869953625</v>
      </c>
      <c r="AT217" s="147">
        <f t="shared" si="109"/>
        <v>1.9138950482816846</v>
      </c>
      <c r="AU217" s="147">
        <f t="shared" si="109"/>
        <v>2.0557187141442146</v>
      </c>
      <c r="AV217" s="147">
        <f t="shared" si="109"/>
        <v>2.1807829396979503</v>
      </c>
    </row>
    <row r="218" spans="2:48" ht="12.95" customHeight="1" x14ac:dyDescent="0.2">
      <c r="B218" s="14"/>
      <c r="C218" s="253" t="s">
        <v>860</v>
      </c>
      <c r="F218" s="253" t="s">
        <v>493</v>
      </c>
      <c r="G218" s="253" t="s">
        <v>395</v>
      </c>
      <c r="H218" s="277"/>
      <c r="I218" s="147"/>
      <c r="J218" s="147"/>
      <c r="K218" s="147">
        <f t="shared" ref="K218:AV218" si="110">IF(K136=1,K177,K177-J177)</f>
        <v>1.3801503036642727E-2</v>
      </c>
      <c r="L218" s="147">
        <f t="shared" si="110"/>
        <v>8.870660069358649E-2</v>
      </c>
      <c r="M218" s="147">
        <f t="shared" si="110"/>
        <v>0.21889250191111381</v>
      </c>
      <c r="N218" s="147">
        <f t="shared" si="110"/>
        <v>0.38679027443885877</v>
      </c>
      <c r="O218" s="147">
        <f t="shared" si="110"/>
        <v>0.57839942135411293</v>
      </c>
      <c r="P218" s="147">
        <f t="shared" si="110"/>
        <v>0.7826745636946395</v>
      </c>
      <c r="Q218" s="147">
        <f t="shared" si="110"/>
        <v>0.99100916955596396</v>
      </c>
      <c r="R218" s="147">
        <f t="shared" si="110"/>
        <v>1.1968016682944005</v>
      </c>
      <c r="S218" s="147">
        <f t="shared" si="110"/>
        <v>1.3950914428611982</v>
      </c>
      <c r="T218" s="147">
        <f t="shared" si="110"/>
        <v>1.5822540365492577</v>
      </c>
      <c r="U218" s="147">
        <f t="shared" si="110"/>
        <v>1.7557464869953625</v>
      </c>
      <c r="V218" s="147">
        <f t="shared" si="110"/>
        <v>1.9138950482816846</v>
      </c>
      <c r="W218" s="147">
        <f t="shared" si="110"/>
        <v>2.0557187141442146</v>
      </c>
      <c r="X218" s="147">
        <f t="shared" si="110"/>
        <v>2.1807829396979503</v>
      </c>
      <c r="Y218" s="147">
        <f t="shared" si="110"/>
        <v>2.2890787998168136</v>
      </c>
      <c r="Z218" s="147">
        <f t="shared" si="110"/>
        <v>2.3809235400169406</v>
      </c>
      <c r="AA218" s="147">
        <f t="shared" si="110"/>
        <v>2.4568790881047384</v>
      </c>
      <c r="AB218" s="147">
        <f t="shared" si="110"/>
        <v>2.5176856171558732</v>
      </c>
      <c r="AC218" s="147">
        <f t="shared" si="110"/>
        <v>2.564207695610925</v>
      </c>
      <c r="AD218" s="147">
        <f t="shared" si="110"/>
        <v>2.5973909395725769</v>
      </c>
      <c r="AE218" s="147">
        <f t="shared" si="110"/>
        <v>2.6182274053303409</v>
      </c>
      <c r="AF218" s="147">
        <f t="shared" si="110"/>
        <v>2.6277282349196724</v>
      </c>
      <c r="AG218" s="147">
        <f t="shared" si="110"/>
        <v>2.626902301161131</v>
      </c>
      <c r="AH218" s="147">
        <f t="shared" si="110"/>
        <v>2.6167397971342226</v>
      </c>
      <c r="AI218" s="147">
        <f t="shared" si="110"/>
        <v>2.5981998835638649</v>
      </c>
      <c r="AJ218" s="147">
        <f t="shared" si="110"/>
        <v>1.3801503036642727E-2</v>
      </c>
      <c r="AK218" s="147">
        <f t="shared" si="110"/>
        <v>8.870660069358649E-2</v>
      </c>
      <c r="AL218" s="147">
        <f t="shared" si="110"/>
        <v>0.21889250191111381</v>
      </c>
      <c r="AM218" s="147">
        <f t="shared" si="110"/>
        <v>0.38679027443885877</v>
      </c>
      <c r="AN218" s="147">
        <f t="shared" si="110"/>
        <v>0.57839942135411293</v>
      </c>
      <c r="AO218" s="147">
        <f t="shared" si="110"/>
        <v>0.7826745636946395</v>
      </c>
      <c r="AP218" s="147">
        <f t="shared" si="110"/>
        <v>0.99100916955596396</v>
      </c>
      <c r="AQ218" s="147">
        <f t="shared" si="110"/>
        <v>1.1968016682944005</v>
      </c>
      <c r="AR218" s="147">
        <f t="shared" si="110"/>
        <v>1.3950914428611982</v>
      </c>
      <c r="AS218" s="147">
        <f t="shared" si="110"/>
        <v>1.5822540365492577</v>
      </c>
      <c r="AT218" s="147">
        <f t="shared" si="110"/>
        <v>1.7557464869953625</v>
      </c>
      <c r="AU218" s="147">
        <f t="shared" si="110"/>
        <v>1.9138950482816846</v>
      </c>
      <c r="AV218" s="147">
        <f t="shared" si="110"/>
        <v>2.0557187141442146</v>
      </c>
    </row>
    <row r="219" spans="2:48" ht="12.95" customHeight="1" x14ac:dyDescent="0.2">
      <c r="B219" s="14"/>
      <c r="C219" s="253" t="s">
        <v>861</v>
      </c>
      <c r="F219" s="253" t="s">
        <v>493</v>
      </c>
      <c r="G219" s="253" t="s">
        <v>395</v>
      </c>
      <c r="H219" s="277"/>
      <c r="I219" s="147"/>
      <c r="J219" s="147"/>
      <c r="K219" s="147"/>
      <c r="L219" s="147">
        <f t="shared" ref="L219:AV219" si="111">IF(L137=1,L178,L178-K178)</f>
        <v>1.3801503036642727E-2</v>
      </c>
      <c r="M219" s="147">
        <f t="shared" si="111"/>
        <v>8.870660069358649E-2</v>
      </c>
      <c r="N219" s="147">
        <f t="shared" si="111"/>
        <v>0.21889250191111381</v>
      </c>
      <c r="O219" s="147">
        <f t="shared" si="111"/>
        <v>0.38679027443885877</v>
      </c>
      <c r="P219" s="147">
        <f t="shared" si="111"/>
        <v>0.57839942135411293</v>
      </c>
      <c r="Q219" s="147">
        <f t="shared" si="111"/>
        <v>0.7826745636946395</v>
      </c>
      <c r="R219" s="147">
        <f t="shared" si="111"/>
        <v>0.99100916955596396</v>
      </c>
      <c r="S219" s="147">
        <f t="shared" si="111"/>
        <v>1.1968016682944005</v>
      </c>
      <c r="T219" s="147">
        <f t="shared" si="111"/>
        <v>1.3950914428611982</v>
      </c>
      <c r="U219" s="147">
        <f t="shared" si="111"/>
        <v>1.5822540365492577</v>
      </c>
      <c r="V219" s="147">
        <f t="shared" si="111"/>
        <v>1.7557464869953625</v>
      </c>
      <c r="W219" s="147">
        <f t="shared" si="111"/>
        <v>1.9138950482816846</v>
      </c>
      <c r="X219" s="147">
        <f t="shared" si="111"/>
        <v>2.0557187141442146</v>
      </c>
      <c r="Y219" s="147">
        <f t="shared" si="111"/>
        <v>2.1807829396979503</v>
      </c>
      <c r="Z219" s="147">
        <f t="shared" si="111"/>
        <v>2.2890787998168136</v>
      </c>
      <c r="AA219" s="147">
        <f t="shared" si="111"/>
        <v>2.3809235400169406</v>
      </c>
      <c r="AB219" s="147">
        <f t="shared" si="111"/>
        <v>2.4568790881047384</v>
      </c>
      <c r="AC219" s="147">
        <f t="shared" si="111"/>
        <v>2.5176856171558732</v>
      </c>
      <c r="AD219" s="147">
        <f t="shared" si="111"/>
        <v>2.564207695610925</v>
      </c>
      <c r="AE219" s="147">
        <f t="shared" si="111"/>
        <v>2.5973909395725769</v>
      </c>
      <c r="AF219" s="147">
        <f t="shared" si="111"/>
        <v>2.6182274053303409</v>
      </c>
      <c r="AG219" s="147">
        <f t="shared" si="111"/>
        <v>2.6277282349196724</v>
      </c>
      <c r="AH219" s="147">
        <f t="shared" si="111"/>
        <v>2.626902301161131</v>
      </c>
      <c r="AI219" s="147">
        <f t="shared" si="111"/>
        <v>2.6167397971342226</v>
      </c>
      <c r="AJ219" s="147">
        <f t="shared" si="111"/>
        <v>2.5981998835638649</v>
      </c>
      <c r="AK219" s="147">
        <f t="shared" si="111"/>
        <v>1.3801503036642727E-2</v>
      </c>
      <c r="AL219" s="147">
        <f t="shared" si="111"/>
        <v>8.870660069358649E-2</v>
      </c>
      <c r="AM219" s="147">
        <f t="shared" si="111"/>
        <v>0.21889250191111381</v>
      </c>
      <c r="AN219" s="147">
        <f t="shared" si="111"/>
        <v>0.38679027443885877</v>
      </c>
      <c r="AO219" s="147">
        <f t="shared" si="111"/>
        <v>0.57839942135411293</v>
      </c>
      <c r="AP219" s="147">
        <f t="shared" si="111"/>
        <v>0.7826745636946395</v>
      </c>
      <c r="AQ219" s="147">
        <f t="shared" si="111"/>
        <v>0.99100916955596396</v>
      </c>
      <c r="AR219" s="147">
        <f t="shared" si="111"/>
        <v>1.1968016682944005</v>
      </c>
      <c r="AS219" s="147">
        <f t="shared" si="111"/>
        <v>1.3950914428611982</v>
      </c>
      <c r="AT219" s="147">
        <f t="shared" si="111"/>
        <v>1.5822540365492577</v>
      </c>
      <c r="AU219" s="147">
        <f t="shared" si="111"/>
        <v>1.7557464869953625</v>
      </c>
      <c r="AV219" s="147">
        <f t="shared" si="111"/>
        <v>1.9138950482816846</v>
      </c>
    </row>
    <row r="220" spans="2:48" ht="12.95" customHeight="1" x14ac:dyDescent="0.2">
      <c r="B220" s="14"/>
      <c r="C220" s="253" t="s">
        <v>862</v>
      </c>
      <c r="F220" s="253" t="s">
        <v>493</v>
      </c>
      <c r="G220" s="253" t="s">
        <v>395</v>
      </c>
      <c r="H220" s="277"/>
      <c r="I220" s="147"/>
      <c r="J220" s="147"/>
      <c r="K220" s="147"/>
      <c r="L220" s="147"/>
      <c r="M220" s="147">
        <f t="shared" ref="M220:AV220" si="112">IF(M138=1,M179,M179-L179)</f>
        <v>1.3801503036642727E-2</v>
      </c>
      <c r="N220" s="147">
        <f t="shared" si="112"/>
        <v>8.870660069358649E-2</v>
      </c>
      <c r="O220" s="147">
        <f t="shared" si="112"/>
        <v>0.21889250191111381</v>
      </c>
      <c r="P220" s="147">
        <f t="shared" si="112"/>
        <v>0.38679027443885877</v>
      </c>
      <c r="Q220" s="147">
        <f t="shared" si="112"/>
        <v>0.57839942135411293</v>
      </c>
      <c r="R220" s="147">
        <f t="shared" si="112"/>
        <v>0.7826745636946395</v>
      </c>
      <c r="S220" s="147">
        <f t="shared" si="112"/>
        <v>0.99100916955596396</v>
      </c>
      <c r="T220" s="147">
        <f t="shared" si="112"/>
        <v>1.1968016682944005</v>
      </c>
      <c r="U220" s="147">
        <f t="shared" si="112"/>
        <v>1.3950914428611982</v>
      </c>
      <c r="V220" s="147">
        <f t="shared" si="112"/>
        <v>1.5822540365492577</v>
      </c>
      <c r="W220" s="147">
        <f t="shared" si="112"/>
        <v>1.7557464869953625</v>
      </c>
      <c r="X220" s="147">
        <f t="shared" si="112"/>
        <v>1.9138950482816846</v>
      </c>
      <c r="Y220" s="147">
        <f t="shared" si="112"/>
        <v>2.0557187141442146</v>
      </c>
      <c r="Z220" s="147">
        <f t="shared" si="112"/>
        <v>2.1807829396979503</v>
      </c>
      <c r="AA220" s="147">
        <f t="shared" si="112"/>
        <v>2.2890787998168136</v>
      </c>
      <c r="AB220" s="147">
        <f t="shared" si="112"/>
        <v>2.3809235400169406</v>
      </c>
      <c r="AC220" s="147">
        <f t="shared" si="112"/>
        <v>2.4568790881047384</v>
      </c>
      <c r="AD220" s="147">
        <f t="shared" si="112"/>
        <v>2.5176856171558732</v>
      </c>
      <c r="AE220" s="147">
        <f t="shared" si="112"/>
        <v>2.564207695610925</v>
      </c>
      <c r="AF220" s="147">
        <f t="shared" si="112"/>
        <v>2.5973909395725769</v>
      </c>
      <c r="AG220" s="147">
        <f t="shared" si="112"/>
        <v>2.6182274053303409</v>
      </c>
      <c r="AH220" s="147">
        <f t="shared" si="112"/>
        <v>2.6277282349196724</v>
      </c>
      <c r="AI220" s="147">
        <f t="shared" si="112"/>
        <v>2.626902301161131</v>
      </c>
      <c r="AJ220" s="147">
        <f t="shared" si="112"/>
        <v>2.6167397971342226</v>
      </c>
      <c r="AK220" s="147">
        <f t="shared" si="112"/>
        <v>2.5981998835638649</v>
      </c>
      <c r="AL220" s="147">
        <f t="shared" si="112"/>
        <v>1.3801503036642727E-2</v>
      </c>
      <c r="AM220" s="147">
        <f t="shared" si="112"/>
        <v>8.870660069358649E-2</v>
      </c>
      <c r="AN220" s="147">
        <f t="shared" si="112"/>
        <v>0.21889250191111381</v>
      </c>
      <c r="AO220" s="147">
        <f t="shared" si="112"/>
        <v>0.38679027443885877</v>
      </c>
      <c r="AP220" s="147">
        <f t="shared" si="112"/>
        <v>0.57839942135411293</v>
      </c>
      <c r="AQ220" s="147">
        <f t="shared" si="112"/>
        <v>0.7826745636946395</v>
      </c>
      <c r="AR220" s="147">
        <f t="shared" si="112"/>
        <v>0.99100916955596396</v>
      </c>
      <c r="AS220" s="147">
        <f t="shared" si="112"/>
        <v>1.1968016682944005</v>
      </c>
      <c r="AT220" s="147">
        <f t="shared" si="112"/>
        <v>1.3950914428611982</v>
      </c>
      <c r="AU220" s="147">
        <f t="shared" si="112"/>
        <v>1.5822540365492577</v>
      </c>
      <c r="AV220" s="147">
        <f t="shared" si="112"/>
        <v>1.7557464869953625</v>
      </c>
    </row>
    <row r="221" spans="2:48" ht="12.95" customHeight="1" x14ac:dyDescent="0.2">
      <c r="B221" s="14"/>
      <c r="C221" s="253" t="s">
        <v>863</v>
      </c>
      <c r="F221" s="253" t="s">
        <v>493</v>
      </c>
      <c r="G221" s="253" t="s">
        <v>395</v>
      </c>
      <c r="H221" s="277"/>
      <c r="I221" s="147"/>
      <c r="J221" s="147"/>
      <c r="K221" s="147"/>
      <c r="L221" s="147"/>
      <c r="M221" s="147"/>
      <c r="N221" s="147">
        <f t="shared" ref="N221:AV221" si="113">IF(N139=1,N180,N180-M180)</f>
        <v>1.3801503036642727E-2</v>
      </c>
      <c r="O221" s="147">
        <f t="shared" si="113"/>
        <v>8.870660069358649E-2</v>
      </c>
      <c r="P221" s="147">
        <f t="shared" si="113"/>
        <v>0.21889250191111381</v>
      </c>
      <c r="Q221" s="147">
        <f t="shared" si="113"/>
        <v>0.38679027443885877</v>
      </c>
      <c r="R221" s="147">
        <f t="shared" si="113"/>
        <v>0.57839942135411293</v>
      </c>
      <c r="S221" s="147">
        <f t="shared" si="113"/>
        <v>0.7826745636946395</v>
      </c>
      <c r="T221" s="147">
        <f t="shared" si="113"/>
        <v>0.99100916955596396</v>
      </c>
      <c r="U221" s="147">
        <f t="shared" si="113"/>
        <v>1.1968016682944005</v>
      </c>
      <c r="V221" s="147">
        <f t="shared" si="113"/>
        <v>1.3950914428611982</v>
      </c>
      <c r="W221" s="147">
        <f t="shared" si="113"/>
        <v>1.5822540365492577</v>
      </c>
      <c r="X221" s="147">
        <f t="shared" si="113"/>
        <v>1.7557464869953625</v>
      </c>
      <c r="Y221" s="147">
        <f t="shared" si="113"/>
        <v>1.9138950482816846</v>
      </c>
      <c r="Z221" s="147">
        <f t="shared" si="113"/>
        <v>2.0557187141442146</v>
      </c>
      <c r="AA221" s="147">
        <f t="shared" si="113"/>
        <v>2.1807829396979503</v>
      </c>
      <c r="AB221" s="147">
        <f t="shared" si="113"/>
        <v>2.2890787998168136</v>
      </c>
      <c r="AC221" s="147">
        <f t="shared" si="113"/>
        <v>2.3809235400169406</v>
      </c>
      <c r="AD221" s="147">
        <f t="shared" si="113"/>
        <v>2.4568790881047384</v>
      </c>
      <c r="AE221" s="147">
        <f t="shared" si="113"/>
        <v>2.5176856171558732</v>
      </c>
      <c r="AF221" s="147">
        <f t="shared" si="113"/>
        <v>2.564207695610925</v>
      </c>
      <c r="AG221" s="147">
        <f t="shared" si="113"/>
        <v>2.5973909395725769</v>
      </c>
      <c r="AH221" s="147">
        <f t="shared" si="113"/>
        <v>2.6182274053303409</v>
      </c>
      <c r="AI221" s="147">
        <f t="shared" si="113"/>
        <v>2.6277282349196724</v>
      </c>
      <c r="AJ221" s="147">
        <f t="shared" si="113"/>
        <v>2.626902301161131</v>
      </c>
      <c r="AK221" s="147">
        <f t="shared" si="113"/>
        <v>2.6167397971342226</v>
      </c>
      <c r="AL221" s="147">
        <f t="shared" si="113"/>
        <v>2.5981998835638649</v>
      </c>
      <c r="AM221" s="147">
        <f t="shared" si="113"/>
        <v>1.3801503036642727E-2</v>
      </c>
      <c r="AN221" s="147">
        <f t="shared" si="113"/>
        <v>8.870660069358649E-2</v>
      </c>
      <c r="AO221" s="147">
        <f t="shared" si="113"/>
        <v>0.21889250191111381</v>
      </c>
      <c r="AP221" s="147">
        <f t="shared" si="113"/>
        <v>0.38679027443885877</v>
      </c>
      <c r="AQ221" s="147">
        <f t="shared" si="113"/>
        <v>0.57839942135411293</v>
      </c>
      <c r="AR221" s="147">
        <f t="shared" si="113"/>
        <v>0.7826745636946395</v>
      </c>
      <c r="AS221" s="147">
        <f t="shared" si="113"/>
        <v>0.99100916955596396</v>
      </c>
      <c r="AT221" s="147">
        <f t="shared" si="113"/>
        <v>1.1968016682944005</v>
      </c>
      <c r="AU221" s="147">
        <f t="shared" si="113"/>
        <v>1.3950914428611982</v>
      </c>
      <c r="AV221" s="147">
        <f t="shared" si="113"/>
        <v>1.5822540365492577</v>
      </c>
    </row>
    <row r="222" spans="2:48" ht="12.95" customHeight="1" x14ac:dyDescent="0.2">
      <c r="B222" s="14"/>
      <c r="C222" s="253" t="s">
        <v>864</v>
      </c>
      <c r="F222" s="253" t="s">
        <v>493</v>
      </c>
      <c r="G222" s="253" t="s">
        <v>395</v>
      </c>
      <c r="H222" s="277"/>
      <c r="I222" s="147"/>
      <c r="J222" s="147"/>
      <c r="K222" s="147"/>
      <c r="L222" s="147"/>
      <c r="M222" s="147"/>
      <c r="N222" s="147"/>
      <c r="O222" s="147">
        <f t="shared" ref="O222:AV222" si="114">IF(O140=1,O181,O181-N181)</f>
        <v>1.3801503036642727E-2</v>
      </c>
      <c r="P222" s="147">
        <f t="shared" si="114"/>
        <v>8.870660069358649E-2</v>
      </c>
      <c r="Q222" s="147">
        <f t="shared" si="114"/>
        <v>0.21889250191111381</v>
      </c>
      <c r="R222" s="147">
        <f t="shared" si="114"/>
        <v>0.38679027443885877</v>
      </c>
      <c r="S222" s="147">
        <f t="shared" si="114"/>
        <v>0.57839942135411293</v>
      </c>
      <c r="T222" s="147">
        <f t="shared" si="114"/>
        <v>0.7826745636946395</v>
      </c>
      <c r="U222" s="147">
        <f t="shared" si="114"/>
        <v>0.99100916955596396</v>
      </c>
      <c r="V222" s="147">
        <f t="shared" si="114"/>
        <v>1.1968016682944005</v>
      </c>
      <c r="W222" s="147">
        <f t="shared" si="114"/>
        <v>1.3950914428611982</v>
      </c>
      <c r="X222" s="147">
        <f t="shared" si="114"/>
        <v>1.5822540365492577</v>
      </c>
      <c r="Y222" s="147">
        <f t="shared" si="114"/>
        <v>1.7557464869953625</v>
      </c>
      <c r="Z222" s="147">
        <f t="shared" si="114"/>
        <v>1.9138950482816846</v>
      </c>
      <c r="AA222" s="147">
        <f t="shared" si="114"/>
        <v>2.0557187141442146</v>
      </c>
      <c r="AB222" s="147">
        <f t="shared" si="114"/>
        <v>2.1807829396979503</v>
      </c>
      <c r="AC222" s="147">
        <f t="shared" si="114"/>
        <v>2.2890787998168136</v>
      </c>
      <c r="AD222" s="147">
        <f t="shared" si="114"/>
        <v>2.3809235400169406</v>
      </c>
      <c r="AE222" s="147">
        <f t="shared" si="114"/>
        <v>2.4568790881047384</v>
      </c>
      <c r="AF222" s="147">
        <f t="shared" si="114"/>
        <v>2.5176856171558732</v>
      </c>
      <c r="AG222" s="147">
        <f t="shared" si="114"/>
        <v>2.564207695610925</v>
      </c>
      <c r="AH222" s="147">
        <f t="shared" si="114"/>
        <v>2.5973909395725769</v>
      </c>
      <c r="AI222" s="147">
        <f t="shared" si="114"/>
        <v>2.6182274053303409</v>
      </c>
      <c r="AJ222" s="147">
        <f t="shared" si="114"/>
        <v>2.6277282349196724</v>
      </c>
      <c r="AK222" s="147">
        <f t="shared" si="114"/>
        <v>2.626902301161131</v>
      </c>
      <c r="AL222" s="147">
        <f t="shared" si="114"/>
        <v>2.6167397971342226</v>
      </c>
      <c r="AM222" s="147">
        <f t="shared" si="114"/>
        <v>2.5981998835638649</v>
      </c>
      <c r="AN222" s="147">
        <f t="shared" si="114"/>
        <v>1.3801503036642727E-2</v>
      </c>
      <c r="AO222" s="147">
        <f t="shared" si="114"/>
        <v>8.870660069358649E-2</v>
      </c>
      <c r="AP222" s="147">
        <f t="shared" si="114"/>
        <v>0.21889250191111381</v>
      </c>
      <c r="AQ222" s="147">
        <f t="shared" si="114"/>
        <v>0.38679027443885877</v>
      </c>
      <c r="AR222" s="147">
        <f t="shared" si="114"/>
        <v>0.57839942135411293</v>
      </c>
      <c r="AS222" s="147">
        <f t="shared" si="114"/>
        <v>0.7826745636946395</v>
      </c>
      <c r="AT222" s="147">
        <f t="shared" si="114"/>
        <v>0.99100916955596396</v>
      </c>
      <c r="AU222" s="147">
        <f t="shared" si="114"/>
        <v>1.1968016682944005</v>
      </c>
      <c r="AV222" s="147">
        <f t="shared" si="114"/>
        <v>1.3950914428611982</v>
      </c>
    </row>
    <row r="223" spans="2:48" ht="12.95" customHeight="1" x14ac:dyDescent="0.2">
      <c r="B223" s="14"/>
      <c r="C223" s="253" t="s">
        <v>865</v>
      </c>
      <c r="F223" s="253" t="s">
        <v>493</v>
      </c>
      <c r="G223" s="253" t="s">
        <v>395</v>
      </c>
      <c r="H223" s="277"/>
      <c r="I223" s="147"/>
      <c r="J223" s="147"/>
      <c r="K223" s="147"/>
      <c r="L223" s="147"/>
      <c r="M223" s="147"/>
      <c r="N223" s="147"/>
      <c r="O223" s="147"/>
      <c r="P223" s="147">
        <f t="shared" ref="P223:AV223" si="115">IF(P141=1,P182,P182-O182)</f>
        <v>1.3801503036642727E-2</v>
      </c>
      <c r="Q223" s="147">
        <f t="shared" si="115"/>
        <v>8.870660069358649E-2</v>
      </c>
      <c r="R223" s="147">
        <f t="shared" si="115"/>
        <v>0.21889250191111381</v>
      </c>
      <c r="S223" s="147">
        <f t="shared" si="115"/>
        <v>0.38679027443885877</v>
      </c>
      <c r="T223" s="147">
        <f t="shared" si="115"/>
        <v>0.57839942135411293</v>
      </c>
      <c r="U223" s="147">
        <f t="shared" si="115"/>
        <v>0.7826745636946395</v>
      </c>
      <c r="V223" s="147">
        <f t="shared" si="115"/>
        <v>0.99100916955596396</v>
      </c>
      <c r="W223" s="147">
        <f t="shared" si="115"/>
        <v>1.1968016682944005</v>
      </c>
      <c r="X223" s="147">
        <f t="shared" si="115"/>
        <v>1.3950914428611982</v>
      </c>
      <c r="Y223" s="147">
        <f t="shared" si="115"/>
        <v>1.5822540365492577</v>
      </c>
      <c r="Z223" s="147">
        <f t="shared" si="115"/>
        <v>1.7557464869953625</v>
      </c>
      <c r="AA223" s="147">
        <f t="shared" si="115"/>
        <v>1.9138950482816846</v>
      </c>
      <c r="AB223" s="147">
        <f t="shared" si="115"/>
        <v>2.0557187141442146</v>
      </c>
      <c r="AC223" s="147">
        <f t="shared" si="115"/>
        <v>2.1807829396979503</v>
      </c>
      <c r="AD223" s="147">
        <f t="shared" si="115"/>
        <v>2.2890787998168136</v>
      </c>
      <c r="AE223" s="147">
        <f t="shared" si="115"/>
        <v>2.3809235400169406</v>
      </c>
      <c r="AF223" s="147">
        <f t="shared" si="115"/>
        <v>2.4568790881047384</v>
      </c>
      <c r="AG223" s="147">
        <f t="shared" si="115"/>
        <v>2.5176856171558732</v>
      </c>
      <c r="AH223" s="147">
        <f t="shared" si="115"/>
        <v>2.564207695610925</v>
      </c>
      <c r="AI223" s="147">
        <f t="shared" si="115"/>
        <v>2.5973909395725769</v>
      </c>
      <c r="AJ223" s="147">
        <f t="shared" si="115"/>
        <v>2.6182274053303409</v>
      </c>
      <c r="AK223" s="147">
        <f t="shared" si="115"/>
        <v>2.6277282349196724</v>
      </c>
      <c r="AL223" s="147">
        <f t="shared" si="115"/>
        <v>2.626902301161131</v>
      </c>
      <c r="AM223" s="147">
        <f t="shared" si="115"/>
        <v>2.6167397971342226</v>
      </c>
      <c r="AN223" s="147">
        <f t="shared" si="115"/>
        <v>2.5981998835638649</v>
      </c>
      <c r="AO223" s="147">
        <f t="shared" si="115"/>
        <v>1.3801503036642727E-2</v>
      </c>
      <c r="AP223" s="147">
        <f t="shared" si="115"/>
        <v>8.870660069358649E-2</v>
      </c>
      <c r="AQ223" s="147">
        <f t="shared" si="115"/>
        <v>0.21889250191111381</v>
      </c>
      <c r="AR223" s="147">
        <f t="shared" si="115"/>
        <v>0.38679027443885877</v>
      </c>
      <c r="AS223" s="147">
        <f t="shared" si="115"/>
        <v>0.57839942135411293</v>
      </c>
      <c r="AT223" s="147">
        <f t="shared" si="115"/>
        <v>0.7826745636946395</v>
      </c>
      <c r="AU223" s="147">
        <f t="shared" si="115"/>
        <v>0.99100916955596396</v>
      </c>
      <c r="AV223" s="147">
        <f t="shared" si="115"/>
        <v>1.1968016682944005</v>
      </c>
    </row>
    <row r="224" spans="2:48" ht="12.95" customHeight="1" x14ac:dyDescent="0.2">
      <c r="B224" s="14"/>
      <c r="C224" s="253" t="s">
        <v>866</v>
      </c>
      <c r="F224" s="253" t="s">
        <v>493</v>
      </c>
      <c r="G224" s="253" t="s">
        <v>395</v>
      </c>
      <c r="H224" s="277"/>
      <c r="I224" s="147"/>
      <c r="J224" s="147"/>
      <c r="K224" s="147"/>
      <c r="L224" s="147"/>
      <c r="M224" s="147"/>
      <c r="N224" s="147"/>
      <c r="O224" s="147"/>
      <c r="P224" s="147"/>
      <c r="Q224" s="147">
        <f t="shared" ref="Q224:AV224" si="116">IF(Q142=1,Q183,Q183-P183)</f>
        <v>1.3801503036642727E-2</v>
      </c>
      <c r="R224" s="147">
        <f t="shared" si="116"/>
        <v>8.870660069358649E-2</v>
      </c>
      <c r="S224" s="147">
        <f t="shared" si="116"/>
        <v>0.21889250191111381</v>
      </c>
      <c r="T224" s="147">
        <f t="shared" si="116"/>
        <v>0.38679027443885877</v>
      </c>
      <c r="U224" s="147">
        <f t="shared" si="116"/>
        <v>0.57839942135411293</v>
      </c>
      <c r="V224" s="147">
        <f t="shared" si="116"/>
        <v>0.7826745636946395</v>
      </c>
      <c r="W224" s="147">
        <f t="shared" si="116"/>
        <v>0.99100916955596396</v>
      </c>
      <c r="X224" s="147">
        <f t="shared" si="116"/>
        <v>1.1968016682944005</v>
      </c>
      <c r="Y224" s="147">
        <f t="shared" si="116"/>
        <v>1.3950914428611982</v>
      </c>
      <c r="Z224" s="147">
        <f t="shared" si="116"/>
        <v>1.5822540365492577</v>
      </c>
      <c r="AA224" s="147">
        <f t="shared" si="116"/>
        <v>1.7557464869953625</v>
      </c>
      <c r="AB224" s="147">
        <f t="shared" si="116"/>
        <v>1.9138950482816846</v>
      </c>
      <c r="AC224" s="147">
        <f t="shared" si="116"/>
        <v>2.0557187141442146</v>
      </c>
      <c r="AD224" s="147">
        <f t="shared" si="116"/>
        <v>2.1807829396979503</v>
      </c>
      <c r="AE224" s="147">
        <f t="shared" si="116"/>
        <v>2.2890787998168136</v>
      </c>
      <c r="AF224" s="147">
        <f t="shared" si="116"/>
        <v>2.3809235400169406</v>
      </c>
      <c r="AG224" s="147">
        <f t="shared" si="116"/>
        <v>2.4568790881047384</v>
      </c>
      <c r="AH224" s="147">
        <f t="shared" si="116"/>
        <v>2.5176856171558732</v>
      </c>
      <c r="AI224" s="147">
        <f t="shared" si="116"/>
        <v>2.564207695610925</v>
      </c>
      <c r="AJ224" s="147">
        <f t="shared" si="116"/>
        <v>2.5973909395725769</v>
      </c>
      <c r="AK224" s="147">
        <f t="shared" si="116"/>
        <v>2.6182274053303409</v>
      </c>
      <c r="AL224" s="147">
        <f t="shared" si="116"/>
        <v>2.6277282349196724</v>
      </c>
      <c r="AM224" s="147">
        <f t="shared" si="116"/>
        <v>2.626902301161131</v>
      </c>
      <c r="AN224" s="147">
        <f t="shared" si="116"/>
        <v>2.6167397971342226</v>
      </c>
      <c r="AO224" s="147">
        <f t="shared" si="116"/>
        <v>2.5981998835638649</v>
      </c>
      <c r="AP224" s="147">
        <f t="shared" si="116"/>
        <v>1.3801503036642727E-2</v>
      </c>
      <c r="AQ224" s="147">
        <f t="shared" si="116"/>
        <v>8.870660069358649E-2</v>
      </c>
      <c r="AR224" s="147">
        <f t="shared" si="116"/>
        <v>0.21889250191111381</v>
      </c>
      <c r="AS224" s="147">
        <f t="shared" si="116"/>
        <v>0.38679027443885877</v>
      </c>
      <c r="AT224" s="147">
        <f t="shared" si="116"/>
        <v>0.57839942135411293</v>
      </c>
      <c r="AU224" s="147">
        <f t="shared" si="116"/>
        <v>0.7826745636946395</v>
      </c>
      <c r="AV224" s="147">
        <f t="shared" si="116"/>
        <v>0.99100916955596396</v>
      </c>
    </row>
    <row r="225" spans="2:48" ht="12.95" customHeight="1" x14ac:dyDescent="0.2">
      <c r="B225" s="14"/>
      <c r="C225" s="253" t="s">
        <v>867</v>
      </c>
      <c r="F225" s="253" t="s">
        <v>493</v>
      </c>
      <c r="G225" s="253" t="s">
        <v>395</v>
      </c>
      <c r="H225" s="277"/>
      <c r="I225" s="147"/>
      <c r="J225" s="147"/>
      <c r="K225" s="147"/>
      <c r="L225" s="147"/>
      <c r="M225" s="147"/>
      <c r="N225" s="147"/>
      <c r="O225" s="147"/>
      <c r="P225" s="147"/>
      <c r="Q225" s="147"/>
      <c r="R225" s="147">
        <f t="shared" ref="R225:AV225" si="117">IF(R143=1,R184,R184-Q184)</f>
        <v>1.3801503036642727E-2</v>
      </c>
      <c r="S225" s="147">
        <f t="shared" si="117"/>
        <v>8.870660069358649E-2</v>
      </c>
      <c r="T225" s="147">
        <f t="shared" si="117"/>
        <v>0.21889250191111381</v>
      </c>
      <c r="U225" s="147">
        <f t="shared" si="117"/>
        <v>0.38679027443885877</v>
      </c>
      <c r="V225" s="147">
        <f t="shared" si="117"/>
        <v>0.57839942135411293</v>
      </c>
      <c r="W225" s="147">
        <f t="shared" si="117"/>
        <v>0.7826745636946395</v>
      </c>
      <c r="X225" s="147">
        <f t="shared" si="117"/>
        <v>0.99100916955596396</v>
      </c>
      <c r="Y225" s="147">
        <f t="shared" si="117"/>
        <v>1.1968016682944005</v>
      </c>
      <c r="Z225" s="147">
        <f t="shared" si="117"/>
        <v>1.3950914428611982</v>
      </c>
      <c r="AA225" s="147">
        <f t="shared" si="117"/>
        <v>1.5822540365492577</v>
      </c>
      <c r="AB225" s="147">
        <f t="shared" si="117"/>
        <v>1.7557464869953625</v>
      </c>
      <c r="AC225" s="147">
        <f t="shared" si="117"/>
        <v>1.9138950482816846</v>
      </c>
      <c r="AD225" s="147">
        <f t="shared" si="117"/>
        <v>2.0557187141442146</v>
      </c>
      <c r="AE225" s="147">
        <f t="shared" si="117"/>
        <v>2.1807829396979503</v>
      </c>
      <c r="AF225" s="147">
        <f t="shared" si="117"/>
        <v>2.2890787998168136</v>
      </c>
      <c r="AG225" s="147">
        <f t="shared" si="117"/>
        <v>2.3809235400169406</v>
      </c>
      <c r="AH225" s="147">
        <f t="shared" si="117"/>
        <v>2.4568790881047384</v>
      </c>
      <c r="AI225" s="147">
        <f t="shared" si="117"/>
        <v>2.5176856171558732</v>
      </c>
      <c r="AJ225" s="147">
        <f t="shared" si="117"/>
        <v>2.564207695610925</v>
      </c>
      <c r="AK225" s="147">
        <f t="shared" si="117"/>
        <v>2.5973909395725769</v>
      </c>
      <c r="AL225" s="147">
        <f t="shared" si="117"/>
        <v>2.6182274053303409</v>
      </c>
      <c r="AM225" s="147">
        <f t="shared" si="117"/>
        <v>2.6277282349196724</v>
      </c>
      <c r="AN225" s="147">
        <f t="shared" si="117"/>
        <v>2.626902301161131</v>
      </c>
      <c r="AO225" s="147">
        <f t="shared" si="117"/>
        <v>2.6167397971342226</v>
      </c>
      <c r="AP225" s="147">
        <f t="shared" si="117"/>
        <v>2.5981998835638649</v>
      </c>
      <c r="AQ225" s="147">
        <f t="shared" si="117"/>
        <v>1.3801503036642727E-2</v>
      </c>
      <c r="AR225" s="147">
        <f t="shared" si="117"/>
        <v>8.870660069358649E-2</v>
      </c>
      <c r="AS225" s="147">
        <f t="shared" si="117"/>
        <v>0.21889250191111381</v>
      </c>
      <c r="AT225" s="147">
        <f t="shared" si="117"/>
        <v>0.38679027443885877</v>
      </c>
      <c r="AU225" s="147">
        <f t="shared" si="117"/>
        <v>0.57839942135411293</v>
      </c>
      <c r="AV225" s="147">
        <f t="shared" si="117"/>
        <v>0.7826745636946395</v>
      </c>
    </row>
    <row r="226" spans="2:48" ht="12.95" customHeight="1" x14ac:dyDescent="0.2">
      <c r="B226" s="14"/>
      <c r="C226" s="253" t="s">
        <v>868</v>
      </c>
      <c r="F226" s="253" t="s">
        <v>493</v>
      </c>
      <c r="G226" s="253" t="s">
        <v>395</v>
      </c>
      <c r="H226" s="277"/>
      <c r="I226" s="147"/>
      <c r="J226" s="147"/>
      <c r="K226" s="147"/>
      <c r="L226" s="147"/>
      <c r="M226" s="147"/>
      <c r="N226" s="147"/>
      <c r="O226" s="147"/>
      <c r="P226" s="147"/>
      <c r="Q226" s="147"/>
      <c r="R226" s="147"/>
      <c r="S226" s="147">
        <f t="shared" ref="S226:AV226" si="118">IF(S144=1,S185,S185-R185)</f>
        <v>1.3801503036642727E-2</v>
      </c>
      <c r="T226" s="147">
        <f t="shared" si="118"/>
        <v>8.870660069358649E-2</v>
      </c>
      <c r="U226" s="147">
        <f t="shared" si="118"/>
        <v>0.21889250191111381</v>
      </c>
      <c r="V226" s="147">
        <f t="shared" si="118"/>
        <v>0.38679027443885877</v>
      </c>
      <c r="W226" s="147">
        <f t="shared" si="118"/>
        <v>0.57839942135411293</v>
      </c>
      <c r="X226" s="147">
        <f t="shared" si="118"/>
        <v>0.7826745636946395</v>
      </c>
      <c r="Y226" s="147">
        <f t="shared" si="118"/>
        <v>0.99100916955596396</v>
      </c>
      <c r="Z226" s="147">
        <f t="shared" si="118"/>
        <v>1.1968016682944005</v>
      </c>
      <c r="AA226" s="147">
        <f t="shared" si="118"/>
        <v>1.3950914428611982</v>
      </c>
      <c r="AB226" s="147">
        <f t="shared" si="118"/>
        <v>1.5822540365492577</v>
      </c>
      <c r="AC226" s="147">
        <f t="shared" si="118"/>
        <v>1.7557464869953625</v>
      </c>
      <c r="AD226" s="147">
        <f t="shared" si="118"/>
        <v>1.9138950482816846</v>
      </c>
      <c r="AE226" s="147">
        <f t="shared" si="118"/>
        <v>2.0557187141442146</v>
      </c>
      <c r="AF226" s="147">
        <f t="shared" si="118"/>
        <v>2.1807829396979503</v>
      </c>
      <c r="AG226" s="147">
        <f t="shared" si="118"/>
        <v>2.2890787998168136</v>
      </c>
      <c r="AH226" s="147">
        <f t="shared" si="118"/>
        <v>2.3809235400169406</v>
      </c>
      <c r="AI226" s="147">
        <f t="shared" si="118"/>
        <v>2.4568790881047384</v>
      </c>
      <c r="AJ226" s="147">
        <f t="shared" si="118"/>
        <v>2.5176856171558732</v>
      </c>
      <c r="AK226" s="147">
        <f t="shared" si="118"/>
        <v>2.564207695610925</v>
      </c>
      <c r="AL226" s="147">
        <f t="shared" si="118"/>
        <v>2.5973909395725769</v>
      </c>
      <c r="AM226" s="147">
        <f t="shared" si="118"/>
        <v>2.6182274053303409</v>
      </c>
      <c r="AN226" s="147">
        <f t="shared" si="118"/>
        <v>2.6277282349196724</v>
      </c>
      <c r="AO226" s="147">
        <f t="shared" si="118"/>
        <v>2.626902301161131</v>
      </c>
      <c r="AP226" s="147">
        <f t="shared" si="118"/>
        <v>2.6167397971342226</v>
      </c>
      <c r="AQ226" s="147">
        <f t="shared" si="118"/>
        <v>2.5981998835638649</v>
      </c>
      <c r="AR226" s="147">
        <f t="shared" si="118"/>
        <v>1.3801503036642727E-2</v>
      </c>
      <c r="AS226" s="147">
        <f t="shared" si="118"/>
        <v>8.870660069358649E-2</v>
      </c>
      <c r="AT226" s="147">
        <f t="shared" si="118"/>
        <v>0.21889250191111381</v>
      </c>
      <c r="AU226" s="147">
        <f t="shared" si="118"/>
        <v>0.38679027443885877</v>
      </c>
      <c r="AV226" s="147">
        <f t="shared" si="118"/>
        <v>0.57839942135411293</v>
      </c>
    </row>
    <row r="227" spans="2:48" ht="12.95" customHeight="1" x14ac:dyDescent="0.2">
      <c r="B227" s="14"/>
      <c r="C227" s="253" t="s">
        <v>869</v>
      </c>
      <c r="F227" s="253" t="s">
        <v>493</v>
      </c>
      <c r="G227" s="253" t="s">
        <v>395</v>
      </c>
      <c r="H227" s="277"/>
      <c r="I227" s="147"/>
      <c r="J227" s="147"/>
      <c r="K227" s="147"/>
      <c r="L227" s="147"/>
      <c r="M227" s="147"/>
      <c r="N227" s="147"/>
      <c r="O227" s="147"/>
      <c r="P227" s="147"/>
      <c r="Q227" s="147"/>
      <c r="R227" s="147"/>
      <c r="S227" s="147"/>
      <c r="T227" s="147">
        <f t="shared" ref="T227:AV227" si="119">IF(T145=1,T186,T186-S186)</f>
        <v>1.3801503036642727E-2</v>
      </c>
      <c r="U227" s="147">
        <f t="shared" si="119"/>
        <v>8.870660069358649E-2</v>
      </c>
      <c r="V227" s="147">
        <f t="shared" si="119"/>
        <v>0.21889250191111381</v>
      </c>
      <c r="W227" s="147">
        <f t="shared" si="119"/>
        <v>0.38679027443885877</v>
      </c>
      <c r="X227" s="147">
        <f t="shared" si="119"/>
        <v>0.57839942135411293</v>
      </c>
      <c r="Y227" s="147">
        <f t="shared" si="119"/>
        <v>0.7826745636946395</v>
      </c>
      <c r="Z227" s="147">
        <f t="shared" si="119"/>
        <v>0.99100916955596396</v>
      </c>
      <c r="AA227" s="147">
        <f t="shared" si="119"/>
        <v>1.1968016682944005</v>
      </c>
      <c r="AB227" s="147">
        <f t="shared" si="119"/>
        <v>1.3950914428611982</v>
      </c>
      <c r="AC227" s="147">
        <f t="shared" si="119"/>
        <v>1.5822540365492577</v>
      </c>
      <c r="AD227" s="147">
        <f t="shared" si="119"/>
        <v>1.7557464869953625</v>
      </c>
      <c r="AE227" s="147">
        <f t="shared" si="119"/>
        <v>1.9138950482816846</v>
      </c>
      <c r="AF227" s="147">
        <f t="shared" si="119"/>
        <v>2.0557187141442146</v>
      </c>
      <c r="AG227" s="147">
        <f t="shared" si="119"/>
        <v>2.1807829396979503</v>
      </c>
      <c r="AH227" s="147">
        <f t="shared" si="119"/>
        <v>2.2890787998168136</v>
      </c>
      <c r="AI227" s="147">
        <f t="shared" si="119"/>
        <v>2.3809235400169406</v>
      </c>
      <c r="AJ227" s="147">
        <f t="shared" si="119"/>
        <v>2.4568790881047384</v>
      </c>
      <c r="AK227" s="147">
        <f t="shared" si="119"/>
        <v>2.5176856171558732</v>
      </c>
      <c r="AL227" s="147">
        <f t="shared" si="119"/>
        <v>2.564207695610925</v>
      </c>
      <c r="AM227" s="147">
        <f t="shared" si="119"/>
        <v>2.5973909395725769</v>
      </c>
      <c r="AN227" s="147">
        <f t="shared" si="119"/>
        <v>2.6182274053303409</v>
      </c>
      <c r="AO227" s="147">
        <f t="shared" si="119"/>
        <v>2.6277282349196724</v>
      </c>
      <c r="AP227" s="147">
        <f t="shared" si="119"/>
        <v>2.626902301161131</v>
      </c>
      <c r="AQ227" s="147">
        <f t="shared" si="119"/>
        <v>2.6167397971342226</v>
      </c>
      <c r="AR227" s="147">
        <f t="shared" si="119"/>
        <v>2.5981998835638649</v>
      </c>
      <c r="AS227" s="147">
        <f t="shared" si="119"/>
        <v>1.3801503036642727E-2</v>
      </c>
      <c r="AT227" s="147">
        <f t="shared" si="119"/>
        <v>8.870660069358649E-2</v>
      </c>
      <c r="AU227" s="147">
        <f t="shared" si="119"/>
        <v>0.21889250191111381</v>
      </c>
      <c r="AV227" s="147">
        <f t="shared" si="119"/>
        <v>0.38679027443885877</v>
      </c>
    </row>
    <row r="228" spans="2:48" ht="12.95" customHeight="1" x14ac:dyDescent="0.2">
      <c r="B228" s="14"/>
      <c r="C228" s="253" t="s">
        <v>870</v>
      </c>
      <c r="F228" s="253" t="s">
        <v>493</v>
      </c>
      <c r="G228" s="253" t="s">
        <v>395</v>
      </c>
      <c r="H228" s="277"/>
      <c r="I228" s="147"/>
      <c r="J228" s="147"/>
      <c r="K228" s="147"/>
      <c r="L228" s="147"/>
      <c r="M228" s="147"/>
      <c r="N228" s="147"/>
      <c r="O228" s="147"/>
      <c r="P228" s="147"/>
      <c r="Q228" s="147"/>
      <c r="R228" s="147"/>
      <c r="S228" s="147"/>
      <c r="T228" s="147"/>
      <c r="U228" s="147">
        <f t="shared" ref="U228:AV228" si="120">IF(U146=1,U187,U187-T187)</f>
        <v>1.3801503036642727E-2</v>
      </c>
      <c r="V228" s="147">
        <f t="shared" si="120"/>
        <v>8.870660069358649E-2</v>
      </c>
      <c r="W228" s="147">
        <f t="shared" si="120"/>
        <v>0.21889250191111381</v>
      </c>
      <c r="X228" s="147">
        <f t="shared" si="120"/>
        <v>0.38679027443885877</v>
      </c>
      <c r="Y228" s="147">
        <f t="shared" si="120"/>
        <v>0.57839942135411293</v>
      </c>
      <c r="Z228" s="147">
        <f t="shared" si="120"/>
        <v>0.7826745636946395</v>
      </c>
      <c r="AA228" s="147">
        <f t="shared" si="120"/>
        <v>0.99100916955596396</v>
      </c>
      <c r="AB228" s="147">
        <f t="shared" si="120"/>
        <v>1.1968016682944005</v>
      </c>
      <c r="AC228" s="147">
        <f t="shared" si="120"/>
        <v>1.3950914428611982</v>
      </c>
      <c r="AD228" s="147">
        <f t="shared" si="120"/>
        <v>1.5822540365492577</v>
      </c>
      <c r="AE228" s="147">
        <f t="shared" si="120"/>
        <v>1.7557464869953625</v>
      </c>
      <c r="AF228" s="147">
        <f t="shared" si="120"/>
        <v>1.9138950482816846</v>
      </c>
      <c r="AG228" s="147">
        <f t="shared" si="120"/>
        <v>2.0557187141442146</v>
      </c>
      <c r="AH228" s="147">
        <f t="shared" si="120"/>
        <v>2.1807829396979503</v>
      </c>
      <c r="AI228" s="147">
        <f t="shared" si="120"/>
        <v>2.2890787998168136</v>
      </c>
      <c r="AJ228" s="147">
        <f t="shared" si="120"/>
        <v>2.3809235400169406</v>
      </c>
      <c r="AK228" s="147">
        <f t="shared" si="120"/>
        <v>2.4568790881047384</v>
      </c>
      <c r="AL228" s="147">
        <f t="shared" si="120"/>
        <v>2.5176856171558732</v>
      </c>
      <c r="AM228" s="147">
        <f t="shared" si="120"/>
        <v>2.564207695610925</v>
      </c>
      <c r="AN228" s="147">
        <f t="shared" si="120"/>
        <v>2.5973909395725769</v>
      </c>
      <c r="AO228" s="147">
        <f t="shared" si="120"/>
        <v>2.6182274053303409</v>
      </c>
      <c r="AP228" s="147">
        <f t="shared" si="120"/>
        <v>2.6277282349196724</v>
      </c>
      <c r="AQ228" s="147">
        <f t="shared" si="120"/>
        <v>2.626902301161131</v>
      </c>
      <c r="AR228" s="147">
        <f t="shared" si="120"/>
        <v>2.6167397971342226</v>
      </c>
      <c r="AS228" s="147">
        <f t="shared" si="120"/>
        <v>2.5981998835638649</v>
      </c>
      <c r="AT228" s="147">
        <f t="shared" si="120"/>
        <v>1.3801503036642727E-2</v>
      </c>
      <c r="AU228" s="147">
        <f t="shared" si="120"/>
        <v>8.870660069358649E-2</v>
      </c>
      <c r="AV228" s="147">
        <f t="shared" si="120"/>
        <v>0.21889250191111381</v>
      </c>
    </row>
    <row r="229" spans="2:48" ht="12.95" customHeight="1" x14ac:dyDescent="0.2">
      <c r="B229" s="14"/>
      <c r="C229" s="253" t="s">
        <v>871</v>
      </c>
      <c r="F229" s="253" t="s">
        <v>493</v>
      </c>
      <c r="G229" s="253" t="s">
        <v>395</v>
      </c>
      <c r="H229" s="277"/>
      <c r="I229" s="147"/>
      <c r="J229" s="147"/>
      <c r="K229" s="147"/>
      <c r="L229" s="147"/>
      <c r="M229" s="147"/>
      <c r="N229" s="147"/>
      <c r="O229" s="147"/>
      <c r="P229" s="147"/>
      <c r="Q229" s="147"/>
      <c r="R229" s="147"/>
      <c r="S229" s="147"/>
      <c r="T229" s="147"/>
      <c r="U229" s="147"/>
      <c r="V229" s="147">
        <f t="shared" ref="V229:AV229" si="121">IF(V147=1,V188,V188-U188)</f>
        <v>1.3801503036642727E-2</v>
      </c>
      <c r="W229" s="147">
        <f t="shared" si="121"/>
        <v>8.870660069358649E-2</v>
      </c>
      <c r="X229" s="147">
        <f t="shared" si="121"/>
        <v>0.21889250191111381</v>
      </c>
      <c r="Y229" s="147">
        <f t="shared" si="121"/>
        <v>0.38679027443885877</v>
      </c>
      <c r="Z229" s="147">
        <f t="shared" si="121"/>
        <v>0.57839942135411293</v>
      </c>
      <c r="AA229" s="147">
        <f t="shared" si="121"/>
        <v>0.7826745636946395</v>
      </c>
      <c r="AB229" s="147">
        <f t="shared" si="121"/>
        <v>0.99100916955596396</v>
      </c>
      <c r="AC229" s="147">
        <f t="shared" si="121"/>
        <v>1.1968016682944005</v>
      </c>
      <c r="AD229" s="147">
        <f t="shared" si="121"/>
        <v>1.3950914428611982</v>
      </c>
      <c r="AE229" s="147">
        <f t="shared" si="121"/>
        <v>1.5822540365492577</v>
      </c>
      <c r="AF229" s="147">
        <f t="shared" si="121"/>
        <v>1.7557464869953625</v>
      </c>
      <c r="AG229" s="147">
        <f t="shared" si="121"/>
        <v>1.9138950482816846</v>
      </c>
      <c r="AH229" s="147">
        <f t="shared" si="121"/>
        <v>2.0557187141442146</v>
      </c>
      <c r="AI229" s="147">
        <f t="shared" si="121"/>
        <v>2.1807829396979503</v>
      </c>
      <c r="AJ229" s="147">
        <f t="shared" si="121"/>
        <v>2.2890787998168136</v>
      </c>
      <c r="AK229" s="147">
        <f t="shared" si="121"/>
        <v>2.3809235400169406</v>
      </c>
      <c r="AL229" s="147">
        <f t="shared" si="121"/>
        <v>2.4568790881047384</v>
      </c>
      <c r="AM229" s="147">
        <f t="shared" si="121"/>
        <v>2.5176856171558732</v>
      </c>
      <c r="AN229" s="147">
        <f t="shared" si="121"/>
        <v>2.564207695610925</v>
      </c>
      <c r="AO229" s="147">
        <f t="shared" si="121"/>
        <v>2.5973909395725769</v>
      </c>
      <c r="AP229" s="147">
        <f t="shared" si="121"/>
        <v>2.6182274053303409</v>
      </c>
      <c r="AQ229" s="147">
        <f t="shared" si="121"/>
        <v>2.6277282349196724</v>
      </c>
      <c r="AR229" s="147">
        <f t="shared" si="121"/>
        <v>2.626902301161131</v>
      </c>
      <c r="AS229" s="147">
        <f t="shared" si="121"/>
        <v>2.6167397971342226</v>
      </c>
      <c r="AT229" s="147">
        <f t="shared" si="121"/>
        <v>2.5981998835638649</v>
      </c>
      <c r="AU229" s="147">
        <f t="shared" si="121"/>
        <v>1.3801503036642727E-2</v>
      </c>
      <c r="AV229" s="147">
        <f t="shared" si="121"/>
        <v>8.870660069358649E-2</v>
      </c>
    </row>
    <row r="230" spans="2:48" ht="12.95" customHeight="1" x14ac:dyDescent="0.2">
      <c r="B230" s="14"/>
      <c r="C230" s="253" t="s">
        <v>872</v>
      </c>
      <c r="F230" s="253" t="s">
        <v>493</v>
      </c>
      <c r="G230" s="253" t="s">
        <v>395</v>
      </c>
      <c r="H230" s="277"/>
      <c r="I230" s="147"/>
      <c r="J230" s="147"/>
      <c r="K230" s="147"/>
      <c r="L230" s="147"/>
      <c r="M230" s="147"/>
      <c r="N230" s="147"/>
      <c r="O230" s="147"/>
      <c r="P230" s="147"/>
      <c r="Q230" s="147"/>
      <c r="R230" s="147"/>
      <c r="S230" s="147"/>
      <c r="T230" s="147"/>
      <c r="U230" s="147"/>
      <c r="V230" s="147"/>
      <c r="W230" s="147">
        <f t="shared" ref="W230:AV230" si="122">IF(W148=1,W189,W189-V189)</f>
        <v>1.3801503036642727E-2</v>
      </c>
      <c r="X230" s="147">
        <f t="shared" si="122"/>
        <v>8.870660069358649E-2</v>
      </c>
      <c r="Y230" s="147">
        <f t="shared" si="122"/>
        <v>0.21889250191111381</v>
      </c>
      <c r="Z230" s="147">
        <f t="shared" si="122"/>
        <v>0.38679027443885877</v>
      </c>
      <c r="AA230" s="147">
        <f t="shared" si="122"/>
        <v>0.57839942135411293</v>
      </c>
      <c r="AB230" s="147">
        <f t="shared" si="122"/>
        <v>0.7826745636946395</v>
      </c>
      <c r="AC230" s="147">
        <f t="shared" si="122"/>
        <v>0.99100916955596396</v>
      </c>
      <c r="AD230" s="147">
        <f t="shared" si="122"/>
        <v>1.1968016682944005</v>
      </c>
      <c r="AE230" s="147">
        <f t="shared" si="122"/>
        <v>1.3950914428611982</v>
      </c>
      <c r="AF230" s="147">
        <f t="shared" si="122"/>
        <v>1.5822540365492577</v>
      </c>
      <c r="AG230" s="147">
        <f t="shared" si="122"/>
        <v>1.7557464869953625</v>
      </c>
      <c r="AH230" s="147">
        <f t="shared" si="122"/>
        <v>1.9138950482816846</v>
      </c>
      <c r="AI230" s="147">
        <f t="shared" si="122"/>
        <v>2.0557187141442146</v>
      </c>
      <c r="AJ230" s="147">
        <f t="shared" si="122"/>
        <v>2.1807829396979503</v>
      </c>
      <c r="AK230" s="147">
        <f t="shared" si="122"/>
        <v>2.2890787998168136</v>
      </c>
      <c r="AL230" s="147">
        <f t="shared" si="122"/>
        <v>2.3809235400169406</v>
      </c>
      <c r="AM230" s="147">
        <f t="shared" si="122"/>
        <v>2.4568790881047384</v>
      </c>
      <c r="AN230" s="147">
        <f t="shared" si="122"/>
        <v>2.5176856171558732</v>
      </c>
      <c r="AO230" s="147">
        <f t="shared" si="122"/>
        <v>2.564207695610925</v>
      </c>
      <c r="AP230" s="147">
        <f t="shared" si="122"/>
        <v>2.5973909395725769</v>
      </c>
      <c r="AQ230" s="147">
        <f t="shared" si="122"/>
        <v>2.6182274053303409</v>
      </c>
      <c r="AR230" s="147">
        <f t="shared" si="122"/>
        <v>2.6277282349196724</v>
      </c>
      <c r="AS230" s="147">
        <f t="shared" si="122"/>
        <v>2.626902301161131</v>
      </c>
      <c r="AT230" s="147">
        <f t="shared" si="122"/>
        <v>2.6167397971342226</v>
      </c>
      <c r="AU230" s="147">
        <f t="shared" si="122"/>
        <v>2.5981998835638649</v>
      </c>
      <c r="AV230" s="147">
        <f t="shared" si="122"/>
        <v>1.3801503036642727E-2</v>
      </c>
    </row>
    <row r="231" spans="2:48" ht="12.95" customHeight="1" x14ac:dyDescent="0.2">
      <c r="B231" s="14"/>
      <c r="C231" s="253" t="s">
        <v>873</v>
      </c>
      <c r="F231" s="253" t="s">
        <v>493</v>
      </c>
      <c r="G231" s="253" t="s">
        <v>395</v>
      </c>
      <c r="H231" s="277"/>
      <c r="I231" s="147"/>
      <c r="J231" s="147"/>
      <c r="K231" s="147"/>
      <c r="L231" s="147"/>
      <c r="M231" s="147"/>
      <c r="N231" s="147"/>
      <c r="O231" s="147"/>
      <c r="P231" s="147"/>
      <c r="Q231" s="147"/>
      <c r="R231" s="147"/>
      <c r="S231" s="147"/>
      <c r="T231" s="147"/>
      <c r="U231" s="147"/>
      <c r="V231" s="147"/>
      <c r="W231" s="147"/>
      <c r="X231" s="147">
        <f t="shared" ref="X231:AV231" si="123">IF(X149=1,X190,X190-W190)</f>
        <v>1.3801503036642727E-2</v>
      </c>
      <c r="Y231" s="147">
        <f t="shared" si="123"/>
        <v>8.870660069358649E-2</v>
      </c>
      <c r="Z231" s="147">
        <f t="shared" si="123"/>
        <v>0.21889250191111381</v>
      </c>
      <c r="AA231" s="147">
        <f t="shared" si="123"/>
        <v>0.38679027443885877</v>
      </c>
      <c r="AB231" s="147">
        <f t="shared" si="123"/>
        <v>0.57839942135411293</v>
      </c>
      <c r="AC231" s="147">
        <f t="shared" si="123"/>
        <v>0.7826745636946395</v>
      </c>
      <c r="AD231" s="147">
        <f t="shared" si="123"/>
        <v>0.99100916955596396</v>
      </c>
      <c r="AE231" s="147">
        <f t="shared" si="123"/>
        <v>1.1968016682944005</v>
      </c>
      <c r="AF231" s="147">
        <f t="shared" si="123"/>
        <v>1.3950914428611982</v>
      </c>
      <c r="AG231" s="147">
        <f t="shared" si="123"/>
        <v>1.5822540365492577</v>
      </c>
      <c r="AH231" s="147">
        <f t="shared" si="123"/>
        <v>1.7557464869953625</v>
      </c>
      <c r="AI231" s="147">
        <f t="shared" si="123"/>
        <v>1.9138950482816846</v>
      </c>
      <c r="AJ231" s="147">
        <f t="shared" si="123"/>
        <v>2.0557187141442146</v>
      </c>
      <c r="AK231" s="147">
        <f t="shared" si="123"/>
        <v>2.1807829396979503</v>
      </c>
      <c r="AL231" s="147">
        <f t="shared" si="123"/>
        <v>2.2890787998168136</v>
      </c>
      <c r="AM231" s="147">
        <f t="shared" si="123"/>
        <v>2.3809235400169406</v>
      </c>
      <c r="AN231" s="147">
        <f t="shared" si="123"/>
        <v>2.4568790881047384</v>
      </c>
      <c r="AO231" s="147">
        <f t="shared" si="123"/>
        <v>2.5176856171558732</v>
      </c>
      <c r="AP231" s="147">
        <f t="shared" si="123"/>
        <v>2.564207695610925</v>
      </c>
      <c r="AQ231" s="147">
        <f t="shared" si="123"/>
        <v>2.5973909395725769</v>
      </c>
      <c r="AR231" s="147">
        <f t="shared" si="123"/>
        <v>2.6182274053303409</v>
      </c>
      <c r="AS231" s="147">
        <f t="shared" si="123"/>
        <v>2.6277282349196724</v>
      </c>
      <c r="AT231" s="147">
        <f t="shared" si="123"/>
        <v>2.626902301161131</v>
      </c>
      <c r="AU231" s="147">
        <f t="shared" si="123"/>
        <v>2.6167397971342226</v>
      </c>
      <c r="AV231" s="147">
        <f t="shared" si="123"/>
        <v>2.5981998835638649</v>
      </c>
    </row>
    <row r="232" spans="2:48" ht="12.95" customHeight="1" x14ac:dyDescent="0.2">
      <c r="B232" s="14"/>
      <c r="C232" s="253" t="s">
        <v>874</v>
      </c>
      <c r="F232" s="253" t="s">
        <v>493</v>
      </c>
      <c r="G232" s="253" t="s">
        <v>395</v>
      </c>
      <c r="H232" s="277"/>
      <c r="I232" s="147"/>
      <c r="J232" s="147"/>
      <c r="K232" s="147"/>
      <c r="L232" s="147"/>
      <c r="M232" s="147"/>
      <c r="N232" s="147"/>
      <c r="O232" s="147"/>
      <c r="P232" s="147"/>
      <c r="Q232" s="147"/>
      <c r="R232" s="147"/>
      <c r="S232" s="147"/>
      <c r="T232" s="147"/>
      <c r="U232" s="147"/>
      <c r="V232" s="147"/>
      <c r="W232" s="147"/>
      <c r="X232" s="147"/>
      <c r="Y232" s="147">
        <f t="shared" ref="Y232:AV232" si="124">IF(Y150=1,Y191,Y191-X191)</f>
        <v>1.3801503036642727E-2</v>
      </c>
      <c r="Z232" s="147">
        <f t="shared" si="124"/>
        <v>8.870660069358649E-2</v>
      </c>
      <c r="AA232" s="147">
        <f t="shared" si="124"/>
        <v>0.21889250191111381</v>
      </c>
      <c r="AB232" s="147">
        <f t="shared" si="124"/>
        <v>0.38679027443885877</v>
      </c>
      <c r="AC232" s="147">
        <f t="shared" si="124"/>
        <v>0.57839942135411293</v>
      </c>
      <c r="AD232" s="147">
        <f t="shared" si="124"/>
        <v>0.7826745636946395</v>
      </c>
      <c r="AE232" s="147">
        <f t="shared" si="124"/>
        <v>0.99100916955596396</v>
      </c>
      <c r="AF232" s="147">
        <f t="shared" si="124"/>
        <v>1.1968016682944005</v>
      </c>
      <c r="AG232" s="147">
        <f t="shared" si="124"/>
        <v>1.3950914428611982</v>
      </c>
      <c r="AH232" s="147">
        <f t="shared" si="124"/>
        <v>1.5822540365492577</v>
      </c>
      <c r="AI232" s="147">
        <f t="shared" si="124"/>
        <v>1.7557464869953625</v>
      </c>
      <c r="AJ232" s="147">
        <f t="shared" si="124"/>
        <v>1.9138950482816846</v>
      </c>
      <c r="AK232" s="147">
        <f t="shared" si="124"/>
        <v>2.0557187141442146</v>
      </c>
      <c r="AL232" s="147">
        <f t="shared" si="124"/>
        <v>2.1807829396979503</v>
      </c>
      <c r="AM232" s="147">
        <f t="shared" si="124"/>
        <v>2.2890787998168136</v>
      </c>
      <c r="AN232" s="147">
        <f t="shared" si="124"/>
        <v>2.3809235400169406</v>
      </c>
      <c r="AO232" s="147">
        <f t="shared" si="124"/>
        <v>2.4568790881047384</v>
      </c>
      <c r="AP232" s="147">
        <f t="shared" si="124"/>
        <v>2.5176856171558732</v>
      </c>
      <c r="AQ232" s="147">
        <f t="shared" si="124"/>
        <v>2.564207695610925</v>
      </c>
      <c r="AR232" s="147">
        <f t="shared" si="124"/>
        <v>2.5973909395725769</v>
      </c>
      <c r="AS232" s="147">
        <f t="shared" si="124"/>
        <v>2.6182274053303409</v>
      </c>
      <c r="AT232" s="147">
        <f t="shared" si="124"/>
        <v>2.6277282349196724</v>
      </c>
      <c r="AU232" s="147">
        <f t="shared" si="124"/>
        <v>2.626902301161131</v>
      </c>
      <c r="AV232" s="147">
        <f t="shared" si="124"/>
        <v>2.6167397971342226</v>
      </c>
    </row>
    <row r="233" spans="2:48" ht="12.95" customHeight="1" x14ac:dyDescent="0.2">
      <c r="B233" s="14"/>
      <c r="C233" s="253" t="s">
        <v>875</v>
      </c>
      <c r="F233" s="253" t="s">
        <v>493</v>
      </c>
      <c r="G233" s="253" t="s">
        <v>395</v>
      </c>
      <c r="H233" s="277"/>
      <c r="I233" s="147"/>
      <c r="J233" s="147"/>
      <c r="K233" s="147"/>
      <c r="L233" s="147"/>
      <c r="M233" s="147"/>
      <c r="N233" s="147"/>
      <c r="O233" s="147"/>
      <c r="P233" s="147"/>
      <c r="Q233" s="147"/>
      <c r="R233" s="147"/>
      <c r="S233" s="147"/>
      <c r="T233" s="147"/>
      <c r="U233" s="147"/>
      <c r="V233" s="147"/>
      <c r="W233" s="147"/>
      <c r="X233" s="147"/>
      <c r="Y233" s="147"/>
      <c r="Z233" s="147">
        <f t="shared" ref="Z233:AV233" si="125">IF(Z151=1,Z192,Z192-Y192)</f>
        <v>1.3801503036642727E-2</v>
      </c>
      <c r="AA233" s="147">
        <f t="shared" si="125"/>
        <v>8.870660069358649E-2</v>
      </c>
      <c r="AB233" s="147">
        <f t="shared" si="125"/>
        <v>0.21889250191111381</v>
      </c>
      <c r="AC233" s="147">
        <f t="shared" si="125"/>
        <v>0.38679027443885877</v>
      </c>
      <c r="AD233" s="147">
        <f t="shared" si="125"/>
        <v>0.57839942135411293</v>
      </c>
      <c r="AE233" s="147">
        <f t="shared" si="125"/>
        <v>0.7826745636946395</v>
      </c>
      <c r="AF233" s="147">
        <f t="shared" si="125"/>
        <v>0.99100916955596396</v>
      </c>
      <c r="AG233" s="147">
        <f t="shared" si="125"/>
        <v>1.1968016682944005</v>
      </c>
      <c r="AH233" s="147">
        <f t="shared" si="125"/>
        <v>1.3950914428611982</v>
      </c>
      <c r="AI233" s="147">
        <f t="shared" si="125"/>
        <v>1.5822540365492577</v>
      </c>
      <c r="AJ233" s="147">
        <f t="shared" si="125"/>
        <v>1.7557464869953625</v>
      </c>
      <c r="AK233" s="147">
        <f t="shared" si="125"/>
        <v>1.9138950482816846</v>
      </c>
      <c r="AL233" s="147">
        <f t="shared" si="125"/>
        <v>2.0557187141442146</v>
      </c>
      <c r="AM233" s="147">
        <f t="shared" si="125"/>
        <v>2.1807829396979503</v>
      </c>
      <c r="AN233" s="147">
        <f t="shared" si="125"/>
        <v>2.2890787998168136</v>
      </c>
      <c r="AO233" s="147">
        <f t="shared" si="125"/>
        <v>2.3809235400169406</v>
      </c>
      <c r="AP233" s="147">
        <f t="shared" si="125"/>
        <v>2.4568790881047384</v>
      </c>
      <c r="AQ233" s="147">
        <f t="shared" si="125"/>
        <v>2.5176856171558732</v>
      </c>
      <c r="AR233" s="147">
        <f t="shared" si="125"/>
        <v>2.564207695610925</v>
      </c>
      <c r="AS233" s="147">
        <f t="shared" si="125"/>
        <v>2.5973909395725769</v>
      </c>
      <c r="AT233" s="147">
        <f t="shared" si="125"/>
        <v>2.6182274053303409</v>
      </c>
      <c r="AU233" s="147">
        <f t="shared" si="125"/>
        <v>2.6277282349196724</v>
      </c>
      <c r="AV233" s="147">
        <f t="shared" si="125"/>
        <v>2.626902301161131</v>
      </c>
    </row>
    <row r="234" spans="2:48" ht="12.95" customHeight="1" x14ac:dyDescent="0.2">
      <c r="B234" s="14"/>
      <c r="C234" s="253" t="s">
        <v>876</v>
      </c>
      <c r="F234" s="253" t="s">
        <v>493</v>
      </c>
      <c r="G234" s="253" t="s">
        <v>395</v>
      </c>
      <c r="H234" s="277"/>
      <c r="I234" s="147"/>
      <c r="J234" s="147"/>
      <c r="K234" s="147"/>
      <c r="L234" s="147"/>
      <c r="M234" s="147"/>
      <c r="N234" s="147"/>
      <c r="O234" s="147"/>
      <c r="P234" s="147"/>
      <c r="Q234" s="147"/>
      <c r="R234" s="147"/>
      <c r="S234" s="147"/>
      <c r="T234" s="147"/>
      <c r="U234" s="147"/>
      <c r="V234" s="147"/>
      <c r="W234" s="147"/>
      <c r="X234" s="147"/>
      <c r="Y234" s="147"/>
      <c r="Z234" s="147"/>
      <c r="AA234" s="147">
        <f t="shared" ref="AA234:AV234" si="126">IF(AA152=1,AA193,AA193-Z193)</f>
        <v>1.3801503036642727E-2</v>
      </c>
      <c r="AB234" s="147">
        <f t="shared" si="126"/>
        <v>8.870660069358649E-2</v>
      </c>
      <c r="AC234" s="147">
        <f t="shared" si="126"/>
        <v>0.21889250191111381</v>
      </c>
      <c r="AD234" s="147">
        <f t="shared" si="126"/>
        <v>0.38679027443885877</v>
      </c>
      <c r="AE234" s="147">
        <f t="shared" si="126"/>
        <v>0.57839942135411293</v>
      </c>
      <c r="AF234" s="147">
        <f t="shared" si="126"/>
        <v>0.7826745636946395</v>
      </c>
      <c r="AG234" s="147">
        <f t="shared" si="126"/>
        <v>0.99100916955596396</v>
      </c>
      <c r="AH234" s="147">
        <f t="shared" si="126"/>
        <v>1.1968016682944005</v>
      </c>
      <c r="AI234" s="147">
        <f t="shared" si="126"/>
        <v>1.3950914428611982</v>
      </c>
      <c r="AJ234" s="147">
        <f t="shared" si="126"/>
        <v>1.5822540365492577</v>
      </c>
      <c r="AK234" s="147">
        <f t="shared" si="126"/>
        <v>1.7557464869953625</v>
      </c>
      <c r="AL234" s="147">
        <f t="shared" si="126"/>
        <v>1.9138950482816846</v>
      </c>
      <c r="AM234" s="147">
        <f t="shared" si="126"/>
        <v>2.0557187141442146</v>
      </c>
      <c r="AN234" s="147">
        <f t="shared" si="126"/>
        <v>2.1807829396979503</v>
      </c>
      <c r="AO234" s="147">
        <f t="shared" si="126"/>
        <v>2.2890787998168136</v>
      </c>
      <c r="AP234" s="147">
        <f t="shared" si="126"/>
        <v>2.3809235400169406</v>
      </c>
      <c r="AQ234" s="147">
        <f t="shared" si="126"/>
        <v>2.4568790881047384</v>
      </c>
      <c r="AR234" s="147">
        <f t="shared" si="126"/>
        <v>2.5176856171558732</v>
      </c>
      <c r="AS234" s="147">
        <f t="shared" si="126"/>
        <v>2.564207695610925</v>
      </c>
      <c r="AT234" s="147">
        <f t="shared" si="126"/>
        <v>2.5973909395725769</v>
      </c>
      <c r="AU234" s="147">
        <f t="shared" si="126"/>
        <v>2.6182274053303409</v>
      </c>
      <c r="AV234" s="147">
        <f t="shared" si="126"/>
        <v>2.6277282349196724</v>
      </c>
    </row>
    <row r="235" spans="2:48" ht="12.95" customHeight="1" x14ac:dyDescent="0.2">
      <c r="B235" s="14"/>
      <c r="C235" s="253" t="s">
        <v>877</v>
      </c>
      <c r="F235" s="253" t="s">
        <v>493</v>
      </c>
      <c r="G235" s="253" t="s">
        <v>395</v>
      </c>
      <c r="H235" s="277"/>
      <c r="I235" s="147"/>
      <c r="J235" s="147"/>
      <c r="K235" s="147"/>
      <c r="L235" s="147"/>
      <c r="M235" s="147"/>
      <c r="N235" s="281"/>
      <c r="O235" s="147"/>
      <c r="P235" s="147"/>
      <c r="Q235" s="147"/>
      <c r="R235" s="147"/>
      <c r="S235" s="147"/>
      <c r="T235" s="147"/>
      <c r="U235" s="147"/>
      <c r="V235" s="147"/>
      <c r="W235" s="147"/>
      <c r="X235" s="147"/>
      <c r="Y235" s="147"/>
      <c r="Z235" s="147"/>
      <c r="AA235" s="147"/>
      <c r="AB235" s="147">
        <f t="shared" ref="AB235:AV235" si="127">IF(AB153=1,AB194,AB194-AA194)</f>
        <v>1.3801503036642727E-2</v>
      </c>
      <c r="AC235" s="147">
        <f t="shared" si="127"/>
        <v>8.870660069358649E-2</v>
      </c>
      <c r="AD235" s="147">
        <f t="shared" si="127"/>
        <v>0.21889250191111381</v>
      </c>
      <c r="AE235" s="147">
        <f t="shared" si="127"/>
        <v>0.38679027443885877</v>
      </c>
      <c r="AF235" s="147">
        <f t="shared" si="127"/>
        <v>0.57839942135411293</v>
      </c>
      <c r="AG235" s="147">
        <f t="shared" si="127"/>
        <v>0.7826745636946395</v>
      </c>
      <c r="AH235" s="147">
        <f t="shared" si="127"/>
        <v>0.99100916955596396</v>
      </c>
      <c r="AI235" s="147">
        <f t="shared" si="127"/>
        <v>1.1968016682944005</v>
      </c>
      <c r="AJ235" s="147">
        <f t="shared" si="127"/>
        <v>1.3950914428611982</v>
      </c>
      <c r="AK235" s="147">
        <f t="shared" si="127"/>
        <v>1.5822540365492577</v>
      </c>
      <c r="AL235" s="147">
        <f t="shared" si="127"/>
        <v>1.7557464869953625</v>
      </c>
      <c r="AM235" s="147">
        <f t="shared" si="127"/>
        <v>1.9138950482816846</v>
      </c>
      <c r="AN235" s="147">
        <f t="shared" si="127"/>
        <v>2.0557187141442146</v>
      </c>
      <c r="AO235" s="147">
        <f t="shared" si="127"/>
        <v>2.1807829396979503</v>
      </c>
      <c r="AP235" s="147">
        <f t="shared" si="127"/>
        <v>2.2890787998168136</v>
      </c>
      <c r="AQ235" s="147">
        <f t="shared" si="127"/>
        <v>2.3809235400169406</v>
      </c>
      <c r="AR235" s="147">
        <f t="shared" si="127"/>
        <v>2.4568790881047384</v>
      </c>
      <c r="AS235" s="147">
        <f t="shared" si="127"/>
        <v>2.5176856171558732</v>
      </c>
      <c r="AT235" s="147">
        <f t="shared" si="127"/>
        <v>2.564207695610925</v>
      </c>
      <c r="AU235" s="147">
        <f t="shared" si="127"/>
        <v>2.5973909395725769</v>
      </c>
      <c r="AV235" s="147">
        <f t="shared" si="127"/>
        <v>2.6182274053303409</v>
      </c>
    </row>
    <row r="236" spans="2:48" ht="12.95" customHeight="1" x14ac:dyDescent="0.2">
      <c r="B236" s="14"/>
      <c r="C236" s="253" t="s">
        <v>878</v>
      </c>
      <c r="F236" s="253" t="s">
        <v>493</v>
      </c>
      <c r="G236" s="253" t="s">
        <v>395</v>
      </c>
      <c r="H236" s="277"/>
      <c r="I236" s="147"/>
      <c r="J236" s="147"/>
      <c r="K236" s="147"/>
      <c r="L236" s="147"/>
      <c r="M236" s="147"/>
      <c r="N236" s="147"/>
      <c r="O236" s="147"/>
      <c r="P236" s="147"/>
      <c r="Q236" s="147"/>
      <c r="R236" s="147"/>
      <c r="S236" s="147"/>
      <c r="T236" s="147"/>
      <c r="U236" s="147"/>
      <c r="V236" s="147"/>
      <c r="W236" s="147"/>
      <c r="X236" s="147"/>
      <c r="Y236" s="147"/>
      <c r="Z236" s="147"/>
      <c r="AA236" s="147"/>
      <c r="AB236" s="147"/>
      <c r="AC236" s="147">
        <f t="shared" ref="AC236:AV236" si="128">IF(AC154=1,AC195,AC195-AB195)</f>
        <v>1.3801503036642727E-2</v>
      </c>
      <c r="AD236" s="147">
        <f t="shared" si="128"/>
        <v>8.870660069358649E-2</v>
      </c>
      <c r="AE236" s="147">
        <f t="shared" si="128"/>
        <v>0.21889250191111381</v>
      </c>
      <c r="AF236" s="147">
        <f t="shared" si="128"/>
        <v>0.38679027443885877</v>
      </c>
      <c r="AG236" s="147">
        <f t="shared" si="128"/>
        <v>0.57839942135411293</v>
      </c>
      <c r="AH236" s="147">
        <f t="shared" si="128"/>
        <v>0.7826745636946395</v>
      </c>
      <c r="AI236" s="147">
        <f t="shared" si="128"/>
        <v>0.99100916955596396</v>
      </c>
      <c r="AJ236" s="147">
        <f t="shared" si="128"/>
        <v>1.1968016682944005</v>
      </c>
      <c r="AK236" s="147">
        <f t="shared" si="128"/>
        <v>1.3950914428611982</v>
      </c>
      <c r="AL236" s="147">
        <f t="shared" si="128"/>
        <v>1.5822540365492577</v>
      </c>
      <c r="AM236" s="147">
        <f t="shared" si="128"/>
        <v>1.7557464869953625</v>
      </c>
      <c r="AN236" s="147">
        <f t="shared" si="128"/>
        <v>1.9138950482816846</v>
      </c>
      <c r="AO236" s="147">
        <f t="shared" si="128"/>
        <v>2.0557187141442146</v>
      </c>
      <c r="AP236" s="147">
        <f t="shared" si="128"/>
        <v>2.1807829396979503</v>
      </c>
      <c r="AQ236" s="147">
        <f t="shared" si="128"/>
        <v>2.2890787998168136</v>
      </c>
      <c r="AR236" s="147">
        <f t="shared" si="128"/>
        <v>2.3809235400169406</v>
      </c>
      <c r="AS236" s="147">
        <f t="shared" si="128"/>
        <v>2.4568790881047384</v>
      </c>
      <c r="AT236" s="147">
        <f t="shared" si="128"/>
        <v>2.5176856171558732</v>
      </c>
      <c r="AU236" s="147">
        <f t="shared" si="128"/>
        <v>2.564207695610925</v>
      </c>
      <c r="AV236" s="147">
        <f t="shared" si="128"/>
        <v>2.5973909395725769</v>
      </c>
    </row>
    <row r="237" spans="2:48" ht="12.95" customHeight="1" x14ac:dyDescent="0.2">
      <c r="B237" s="14"/>
      <c r="C237" s="253" t="s">
        <v>879</v>
      </c>
      <c r="F237" s="253" t="s">
        <v>493</v>
      </c>
      <c r="G237" s="253" t="s">
        <v>395</v>
      </c>
      <c r="H237" s="277"/>
      <c r="I237" s="147"/>
      <c r="J237" s="147"/>
      <c r="K237" s="147"/>
      <c r="L237" s="147"/>
      <c r="M237" s="147"/>
      <c r="N237" s="147"/>
      <c r="O237" s="147"/>
      <c r="P237" s="147"/>
      <c r="Q237" s="147"/>
      <c r="R237" s="147"/>
      <c r="S237" s="147"/>
      <c r="T237" s="147"/>
      <c r="U237" s="147"/>
      <c r="V237" s="147"/>
      <c r="W237" s="147"/>
      <c r="X237" s="147"/>
      <c r="Y237" s="147"/>
      <c r="Z237" s="147"/>
      <c r="AA237" s="147"/>
      <c r="AB237" s="147"/>
      <c r="AC237" s="147"/>
      <c r="AD237" s="147">
        <f t="shared" ref="AD237:AV237" si="129">IF(AD155=1,AD196,AD196-AC196)</f>
        <v>1.3801503036642727E-2</v>
      </c>
      <c r="AE237" s="147">
        <f t="shared" si="129"/>
        <v>8.870660069358649E-2</v>
      </c>
      <c r="AF237" s="147">
        <f t="shared" si="129"/>
        <v>0.21889250191111381</v>
      </c>
      <c r="AG237" s="147">
        <f t="shared" si="129"/>
        <v>0.38679027443885877</v>
      </c>
      <c r="AH237" s="147">
        <f t="shared" si="129"/>
        <v>0.57839942135411293</v>
      </c>
      <c r="AI237" s="147">
        <f t="shared" si="129"/>
        <v>0.7826745636946395</v>
      </c>
      <c r="AJ237" s="147">
        <f t="shared" si="129"/>
        <v>0.99100916955596396</v>
      </c>
      <c r="AK237" s="147">
        <f t="shared" si="129"/>
        <v>1.1968016682944005</v>
      </c>
      <c r="AL237" s="147">
        <f t="shared" si="129"/>
        <v>1.3950914428611982</v>
      </c>
      <c r="AM237" s="147">
        <f t="shared" si="129"/>
        <v>1.5822540365492577</v>
      </c>
      <c r="AN237" s="147">
        <f t="shared" si="129"/>
        <v>1.7557464869953625</v>
      </c>
      <c r="AO237" s="147">
        <f t="shared" si="129"/>
        <v>1.9138950482816846</v>
      </c>
      <c r="AP237" s="147">
        <f t="shared" si="129"/>
        <v>2.0557187141442146</v>
      </c>
      <c r="AQ237" s="147">
        <f t="shared" si="129"/>
        <v>2.1807829396979503</v>
      </c>
      <c r="AR237" s="147">
        <f t="shared" si="129"/>
        <v>2.2890787998168136</v>
      </c>
      <c r="AS237" s="147">
        <f t="shared" si="129"/>
        <v>2.3809235400169406</v>
      </c>
      <c r="AT237" s="147">
        <f t="shared" si="129"/>
        <v>2.4568790881047384</v>
      </c>
      <c r="AU237" s="147">
        <f t="shared" si="129"/>
        <v>2.5176856171558732</v>
      </c>
      <c r="AV237" s="147">
        <f t="shared" si="129"/>
        <v>2.564207695610925</v>
      </c>
    </row>
    <row r="238" spans="2:48" ht="12.95" customHeight="1" x14ac:dyDescent="0.2">
      <c r="B238" s="14"/>
      <c r="C238" s="253" t="s">
        <v>880</v>
      </c>
      <c r="F238" s="253" t="s">
        <v>493</v>
      </c>
      <c r="G238" s="253" t="s">
        <v>395</v>
      </c>
      <c r="H238" s="277"/>
      <c r="I238" s="147"/>
      <c r="J238" s="147"/>
      <c r="K238" s="147"/>
      <c r="L238" s="147"/>
      <c r="M238" s="147"/>
      <c r="N238" s="147"/>
      <c r="O238" s="147"/>
      <c r="P238" s="147"/>
      <c r="Q238" s="147"/>
      <c r="R238" s="147"/>
      <c r="S238" s="147"/>
      <c r="T238" s="147"/>
      <c r="U238" s="147"/>
      <c r="V238" s="147"/>
      <c r="W238" s="147"/>
      <c r="X238" s="147"/>
      <c r="Y238" s="147"/>
      <c r="Z238" s="147"/>
      <c r="AA238" s="147"/>
      <c r="AB238" s="147"/>
      <c r="AC238" s="147"/>
      <c r="AD238" s="147"/>
      <c r="AE238" s="147">
        <f t="shared" ref="AE238:AV238" si="130">IF(AE156=1,AE197,AE197-AD197)</f>
        <v>1.3801503036642727E-2</v>
      </c>
      <c r="AF238" s="147">
        <f t="shared" si="130"/>
        <v>8.870660069358649E-2</v>
      </c>
      <c r="AG238" s="147">
        <f t="shared" si="130"/>
        <v>0.21889250191111381</v>
      </c>
      <c r="AH238" s="147">
        <f t="shared" si="130"/>
        <v>0.38679027443885877</v>
      </c>
      <c r="AI238" s="147">
        <f t="shared" si="130"/>
        <v>0.57839942135411293</v>
      </c>
      <c r="AJ238" s="147">
        <f t="shared" si="130"/>
        <v>0.7826745636946395</v>
      </c>
      <c r="AK238" s="147">
        <f t="shared" si="130"/>
        <v>0.99100916955596396</v>
      </c>
      <c r="AL238" s="147">
        <f t="shared" si="130"/>
        <v>1.1968016682944005</v>
      </c>
      <c r="AM238" s="147">
        <f t="shared" si="130"/>
        <v>1.3950914428611982</v>
      </c>
      <c r="AN238" s="147">
        <f t="shared" si="130"/>
        <v>1.5822540365492577</v>
      </c>
      <c r="AO238" s="147">
        <f t="shared" si="130"/>
        <v>1.7557464869953625</v>
      </c>
      <c r="AP238" s="147">
        <f t="shared" si="130"/>
        <v>1.9138950482816846</v>
      </c>
      <c r="AQ238" s="147">
        <f t="shared" si="130"/>
        <v>2.0557187141442146</v>
      </c>
      <c r="AR238" s="147">
        <f t="shared" si="130"/>
        <v>2.1807829396979503</v>
      </c>
      <c r="AS238" s="147">
        <f t="shared" si="130"/>
        <v>2.2890787998168136</v>
      </c>
      <c r="AT238" s="147">
        <f t="shared" si="130"/>
        <v>2.3809235400169406</v>
      </c>
      <c r="AU238" s="147">
        <f t="shared" si="130"/>
        <v>2.4568790881047384</v>
      </c>
      <c r="AV238" s="147">
        <f t="shared" si="130"/>
        <v>2.5176856171558732</v>
      </c>
    </row>
    <row r="239" spans="2:48" ht="12.95" customHeight="1" x14ac:dyDescent="0.2">
      <c r="B239" s="14"/>
      <c r="C239" s="253" t="s">
        <v>881</v>
      </c>
      <c r="F239" s="253" t="s">
        <v>493</v>
      </c>
      <c r="G239" s="253" t="s">
        <v>395</v>
      </c>
      <c r="H239" s="277"/>
      <c r="I239" s="147"/>
      <c r="J239" s="147"/>
      <c r="K239" s="147"/>
      <c r="L239" s="147"/>
      <c r="M239" s="147"/>
      <c r="N239" s="147"/>
      <c r="O239" s="147"/>
      <c r="P239" s="147"/>
      <c r="Q239" s="147"/>
      <c r="R239" s="147"/>
      <c r="S239" s="147"/>
      <c r="T239" s="147"/>
      <c r="U239" s="147"/>
      <c r="V239" s="147"/>
      <c r="W239" s="147"/>
      <c r="X239" s="147"/>
      <c r="Y239" s="147"/>
      <c r="Z239" s="147"/>
      <c r="AA239" s="147"/>
      <c r="AB239" s="147"/>
      <c r="AC239" s="147"/>
      <c r="AD239" s="147"/>
      <c r="AE239" s="147"/>
      <c r="AF239" s="147">
        <f t="shared" ref="AF239:AV239" si="131">IF(AF157=1,AF198,AF198-AE198)</f>
        <v>1.3801503036642727E-2</v>
      </c>
      <c r="AG239" s="147">
        <f t="shared" si="131"/>
        <v>8.870660069358649E-2</v>
      </c>
      <c r="AH239" s="147">
        <f t="shared" si="131"/>
        <v>0.21889250191111381</v>
      </c>
      <c r="AI239" s="147">
        <f t="shared" si="131"/>
        <v>0.38679027443885877</v>
      </c>
      <c r="AJ239" s="147">
        <f t="shared" si="131"/>
        <v>0.57839942135411293</v>
      </c>
      <c r="AK239" s="147">
        <f t="shared" si="131"/>
        <v>0.7826745636946395</v>
      </c>
      <c r="AL239" s="147">
        <f t="shared" si="131"/>
        <v>0.99100916955596396</v>
      </c>
      <c r="AM239" s="147">
        <f t="shared" si="131"/>
        <v>1.1968016682944005</v>
      </c>
      <c r="AN239" s="147">
        <f t="shared" si="131"/>
        <v>1.3950914428611982</v>
      </c>
      <c r="AO239" s="147">
        <f t="shared" si="131"/>
        <v>1.5822540365492577</v>
      </c>
      <c r="AP239" s="147">
        <f t="shared" si="131"/>
        <v>1.7557464869953625</v>
      </c>
      <c r="AQ239" s="147">
        <f t="shared" si="131"/>
        <v>1.9138950482816846</v>
      </c>
      <c r="AR239" s="147">
        <f t="shared" si="131"/>
        <v>2.0557187141442146</v>
      </c>
      <c r="AS239" s="147">
        <f t="shared" si="131"/>
        <v>2.1807829396979503</v>
      </c>
      <c r="AT239" s="147">
        <f t="shared" si="131"/>
        <v>2.2890787998168136</v>
      </c>
      <c r="AU239" s="147">
        <f t="shared" si="131"/>
        <v>2.3809235400169406</v>
      </c>
      <c r="AV239" s="147">
        <f t="shared" si="131"/>
        <v>2.4568790881047384</v>
      </c>
    </row>
    <row r="240" spans="2:48" ht="12.95" customHeight="1" x14ac:dyDescent="0.2">
      <c r="B240" s="14"/>
      <c r="C240" s="253" t="s">
        <v>882</v>
      </c>
      <c r="F240" s="253" t="s">
        <v>493</v>
      </c>
      <c r="G240" s="253" t="s">
        <v>395</v>
      </c>
      <c r="H240" s="277"/>
      <c r="I240" s="147"/>
      <c r="J240" s="147"/>
      <c r="K240" s="147"/>
      <c r="L240" s="147"/>
      <c r="M240" s="147"/>
      <c r="N240" s="147"/>
      <c r="O240" s="147"/>
      <c r="P240" s="147"/>
      <c r="Q240" s="147"/>
      <c r="R240" s="147"/>
      <c r="S240" s="147"/>
      <c r="T240" s="147"/>
      <c r="U240" s="147"/>
      <c r="V240" s="147"/>
      <c r="W240" s="147"/>
      <c r="X240" s="147"/>
      <c r="Y240" s="147"/>
      <c r="Z240" s="147"/>
      <c r="AA240" s="147"/>
      <c r="AB240" s="147"/>
      <c r="AC240" s="147"/>
      <c r="AD240" s="147"/>
      <c r="AE240" s="147"/>
      <c r="AF240" s="147"/>
      <c r="AG240" s="147">
        <f t="shared" ref="AG240:AV240" si="132">IF(AG158=1,AG199,AG199-AF199)</f>
        <v>1.3801503036642727E-2</v>
      </c>
      <c r="AH240" s="147">
        <f t="shared" si="132"/>
        <v>8.870660069358649E-2</v>
      </c>
      <c r="AI240" s="147">
        <f t="shared" si="132"/>
        <v>0.21889250191111381</v>
      </c>
      <c r="AJ240" s="147">
        <f t="shared" si="132"/>
        <v>0.38679027443885877</v>
      </c>
      <c r="AK240" s="147">
        <f t="shared" si="132"/>
        <v>0.57839942135411293</v>
      </c>
      <c r="AL240" s="147">
        <f t="shared" si="132"/>
        <v>0.7826745636946395</v>
      </c>
      <c r="AM240" s="147">
        <f t="shared" si="132"/>
        <v>0.99100916955596396</v>
      </c>
      <c r="AN240" s="147">
        <f t="shared" si="132"/>
        <v>1.1968016682944005</v>
      </c>
      <c r="AO240" s="147">
        <f t="shared" si="132"/>
        <v>1.3950914428611982</v>
      </c>
      <c r="AP240" s="147">
        <f t="shared" si="132"/>
        <v>1.5822540365492577</v>
      </c>
      <c r="AQ240" s="147">
        <f t="shared" si="132"/>
        <v>1.7557464869953625</v>
      </c>
      <c r="AR240" s="147">
        <f t="shared" si="132"/>
        <v>1.9138950482816846</v>
      </c>
      <c r="AS240" s="147">
        <f t="shared" si="132"/>
        <v>2.0557187141442146</v>
      </c>
      <c r="AT240" s="147">
        <f t="shared" si="132"/>
        <v>2.1807829396979503</v>
      </c>
      <c r="AU240" s="147">
        <f t="shared" si="132"/>
        <v>2.2890787998168136</v>
      </c>
      <c r="AV240" s="147">
        <f t="shared" si="132"/>
        <v>2.3809235400169406</v>
      </c>
    </row>
    <row r="241" spans="2:48" ht="12.95" customHeight="1" x14ac:dyDescent="0.2">
      <c r="B241" s="14"/>
      <c r="C241" s="253" t="s">
        <v>883</v>
      </c>
      <c r="F241" s="253" t="s">
        <v>493</v>
      </c>
      <c r="G241" s="253" t="s">
        <v>395</v>
      </c>
      <c r="H241" s="277"/>
      <c r="I241" s="147"/>
      <c r="J241" s="147"/>
      <c r="K241" s="147"/>
      <c r="L241" s="147"/>
      <c r="M241" s="147"/>
      <c r="N241" s="147"/>
      <c r="O241" s="147"/>
      <c r="P241" s="147"/>
      <c r="Q241" s="147"/>
      <c r="R241" s="147"/>
      <c r="S241" s="147"/>
      <c r="T241" s="147"/>
      <c r="U241" s="147"/>
      <c r="V241" s="147"/>
      <c r="W241" s="147"/>
      <c r="X241" s="147"/>
      <c r="Y241" s="147"/>
      <c r="Z241" s="147"/>
      <c r="AA241" s="147"/>
      <c r="AB241" s="147"/>
      <c r="AC241" s="147"/>
      <c r="AD241" s="147"/>
      <c r="AE241" s="147"/>
      <c r="AF241" s="147"/>
      <c r="AG241" s="147"/>
      <c r="AH241" s="147">
        <f t="shared" ref="AH241:AV241" si="133">IF(AH159=1,AH200,AH200-AG200)</f>
        <v>0</v>
      </c>
      <c r="AI241" s="147">
        <f t="shared" si="133"/>
        <v>0</v>
      </c>
      <c r="AJ241" s="147">
        <f t="shared" si="133"/>
        <v>0</v>
      </c>
      <c r="AK241" s="147">
        <f t="shared" si="133"/>
        <v>0</v>
      </c>
      <c r="AL241" s="147">
        <f t="shared" si="133"/>
        <v>0</v>
      </c>
      <c r="AM241" s="147">
        <f t="shared" si="133"/>
        <v>0</v>
      </c>
      <c r="AN241" s="147">
        <f t="shared" si="133"/>
        <v>0</v>
      </c>
      <c r="AO241" s="147">
        <f t="shared" si="133"/>
        <v>0</v>
      </c>
      <c r="AP241" s="147">
        <f t="shared" si="133"/>
        <v>0</v>
      </c>
      <c r="AQ241" s="147">
        <f t="shared" si="133"/>
        <v>0</v>
      </c>
      <c r="AR241" s="147">
        <f t="shared" si="133"/>
        <v>0</v>
      </c>
      <c r="AS241" s="147">
        <f t="shared" si="133"/>
        <v>0</v>
      </c>
      <c r="AT241" s="147">
        <f t="shared" si="133"/>
        <v>0</v>
      </c>
      <c r="AU241" s="147">
        <f t="shared" si="133"/>
        <v>0</v>
      </c>
      <c r="AV241" s="147">
        <f t="shared" si="133"/>
        <v>0</v>
      </c>
    </row>
    <row r="242" spans="2:48" ht="12.95" customHeight="1" x14ac:dyDescent="0.2">
      <c r="B242" s="14"/>
      <c r="C242" s="253" t="s">
        <v>884</v>
      </c>
      <c r="F242" s="253" t="s">
        <v>493</v>
      </c>
      <c r="G242" s="253" t="s">
        <v>395</v>
      </c>
      <c r="H242" s="277"/>
      <c r="I242" s="147"/>
      <c r="J242" s="147"/>
      <c r="K242" s="147"/>
      <c r="L242" s="147"/>
      <c r="M242" s="147"/>
      <c r="N242" s="147"/>
      <c r="O242" s="147"/>
      <c r="P242" s="147"/>
      <c r="Q242" s="147"/>
      <c r="R242" s="147"/>
      <c r="S242" s="147"/>
      <c r="T242" s="147"/>
      <c r="U242" s="147"/>
      <c r="V242" s="147"/>
      <c r="W242" s="147"/>
      <c r="X242" s="147"/>
      <c r="Y242" s="147"/>
      <c r="Z242" s="147"/>
      <c r="AA242" s="147"/>
      <c r="AB242" s="147"/>
      <c r="AC242" s="147"/>
      <c r="AD242" s="147"/>
      <c r="AE242" s="147"/>
      <c r="AF242" s="147"/>
      <c r="AG242" s="147"/>
      <c r="AH242" s="147"/>
      <c r="AI242" s="147">
        <f t="shared" ref="AI242:AV242" si="134">IF(AI160=1,AI201,AI201-AH201)</f>
        <v>0</v>
      </c>
      <c r="AJ242" s="147">
        <f t="shared" si="134"/>
        <v>0</v>
      </c>
      <c r="AK242" s="147">
        <f t="shared" si="134"/>
        <v>0</v>
      </c>
      <c r="AL242" s="147">
        <f t="shared" si="134"/>
        <v>0</v>
      </c>
      <c r="AM242" s="147">
        <f t="shared" si="134"/>
        <v>0</v>
      </c>
      <c r="AN242" s="147">
        <f t="shared" si="134"/>
        <v>0</v>
      </c>
      <c r="AO242" s="147">
        <f t="shared" si="134"/>
        <v>0</v>
      </c>
      <c r="AP242" s="147">
        <f t="shared" si="134"/>
        <v>0</v>
      </c>
      <c r="AQ242" s="147">
        <f t="shared" si="134"/>
        <v>0</v>
      </c>
      <c r="AR242" s="147">
        <f t="shared" si="134"/>
        <v>0</v>
      </c>
      <c r="AS242" s="147">
        <f t="shared" si="134"/>
        <v>0</v>
      </c>
      <c r="AT242" s="147">
        <f t="shared" si="134"/>
        <v>0</v>
      </c>
      <c r="AU242" s="147">
        <f t="shared" si="134"/>
        <v>0</v>
      </c>
      <c r="AV242" s="147">
        <f t="shared" si="134"/>
        <v>0</v>
      </c>
    </row>
    <row r="243" spans="2:48" ht="12.95" customHeight="1" x14ac:dyDescent="0.2">
      <c r="B243" s="14"/>
      <c r="C243" s="253" t="s">
        <v>885</v>
      </c>
      <c r="F243" s="253" t="s">
        <v>493</v>
      </c>
      <c r="G243" s="253" t="s">
        <v>395</v>
      </c>
      <c r="H243" s="277"/>
      <c r="I243" s="147"/>
      <c r="J243" s="147"/>
      <c r="K243" s="147"/>
      <c r="L243" s="147"/>
      <c r="M243" s="147"/>
      <c r="N243" s="147"/>
      <c r="O243" s="147"/>
      <c r="P243" s="147"/>
      <c r="Q243" s="147"/>
      <c r="R243" s="147"/>
      <c r="S243" s="147"/>
      <c r="T243" s="147"/>
      <c r="U243" s="147"/>
      <c r="V243" s="147"/>
      <c r="W243" s="147"/>
      <c r="X243" s="147"/>
      <c r="Y243" s="147"/>
      <c r="Z243" s="147"/>
      <c r="AA243" s="147"/>
      <c r="AB243" s="147"/>
      <c r="AC243" s="147"/>
      <c r="AD243" s="147"/>
      <c r="AE243" s="147"/>
      <c r="AF243" s="147"/>
      <c r="AG243" s="147"/>
      <c r="AH243" s="147"/>
      <c r="AI243" s="147"/>
      <c r="AJ243" s="147">
        <f t="shared" ref="AJ243:AV243" si="135">IF(AJ161=1,AJ202,AJ202-AI202)</f>
        <v>0</v>
      </c>
      <c r="AK243" s="147">
        <f t="shared" si="135"/>
        <v>0</v>
      </c>
      <c r="AL243" s="147">
        <f t="shared" si="135"/>
        <v>0</v>
      </c>
      <c r="AM243" s="147">
        <f t="shared" si="135"/>
        <v>0</v>
      </c>
      <c r="AN243" s="147">
        <f t="shared" si="135"/>
        <v>0</v>
      </c>
      <c r="AO243" s="147">
        <f t="shared" si="135"/>
        <v>0</v>
      </c>
      <c r="AP243" s="147">
        <f t="shared" si="135"/>
        <v>0</v>
      </c>
      <c r="AQ243" s="147">
        <f t="shared" si="135"/>
        <v>0</v>
      </c>
      <c r="AR243" s="147">
        <f t="shared" si="135"/>
        <v>0</v>
      </c>
      <c r="AS243" s="147">
        <f t="shared" si="135"/>
        <v>0</v>
      </c>
      <c r="AT243" s="147">
        <f t="shared" si="135"/>
        <v>0</v>
      </c>
      <c r="AU243" s="147">
        <f t="shared" si="135"/>
        <v>0</v>
      </c>
      <c r="AV243" s="147">
        <f t="shared" si="135"/>
        <v>0</v>
      </c>
    </row>
    <row r="244" spans="2:48" ht="12.95" customHeight="1" x14ac:dyDescent="0.2">
      <c r="B244" s="14"/>
      <c r="C244" s="253" t="s">
        <v>886</v>
      </c>
      <c r="F244" s="253" t="s">
        <v>493</v>
      </c>
      <c r="G244" s="253" t="s">
        <v>395</v>
      </c>
      <c r="H244" s="277"/>
      <c r="I244" s="147"/>
      <c r="J244" s="147"/>
      <c r="K244" s="147"/>
      <c r="L244" s="147"/>
      <c r="M244" s="147"/>
      <c r="N244" s="147"/>
      <c r="O244" s="147"/>
      <c r="P244" s="147"/>
      <c r="Q244" s="147"/>
      <c r="R244" s="147"/>
      <c r="S244" s="147"/>
      <c r="T244" s="147"/>
      <c r="U244" s="147"/>
      <c r="V244" s="147"/>
      <c r="W244" s="147"/>
      <c r="X244" s="147"/>
      <c r="Y244" s="147"/>
      <c r="Z244" s="147"/>
      <c r="AA244" s="147"/>
      <c r="AB244" s="147"/>
      <c r="AC244" s="147"/>
      <c r="AD244" s="147"/>
      <c r="AE244" s="147"/>
      <c r="AF244" s="147"/>
      <c r="AG244" s="147"/>
      <c r="AH244" s="147"/>
      <c r="AI244" s="147"/>
      <c r="AJ244" s="147"/>
      <c r="AK244" s="147">
        <f t="shared" ref="AK244:AV244" si="136">IF(AK162=1,AK203,AK203-AJ203)</f>
        <v>0</v>
      </c>
      <c r="AL244" s="147">
        <f t="shared" si="136"/>
        <v>0</v>
      </c>
      <c r="AM244" s="147">
        <f t="shared" si="136"/>
        <v>0</v>
      </c>
      <c r="AN244" s="147">
        <f t="shared" si="136"/>
        <v>0</v>
      </c>
      <c r="AO244" s="147">
        <f t="shared" si="136"/>
        <v>0</v>
      </c>
      <c r="AP244" s="147">
        <f t="shared" si="136"/>
        <v>0</v>
      </c>
      <c r="AQ244" s="147">
        <f t="shared" si="136"/>
        <v>0</v>
      </c>
      <c r="AR244" s="147">
        <f t="shared" si="136"/>
        <v>0</v>
      </c>
      <c r="AS244" s="147">
        <f t="shared" si="136"/>
        <v>0</v>
      </c>
      <c r="AT244" s="147">
        <f t="shared" si="136"/>
        <v>0</v>
      </c>
      <c r="AU244" s="147">
        <f t="shared" si="136"/>
        <v>0</v>
      </c>
      <c r="AV244" s="147">
        <f t="shared" si="136"/>
        <v>0</v>
      </c>
    </row>
    <row r="245" spans="2:48" ht="12.95" customHeight="1" x14ac:dyDescent="0.2">
      <c r="B245" s="14"/>
      <c r="C245" s="253" t="s">
        <v>887</v>
      </c>
      <c r="F245" s="253" t="s">
        <v>493</v>
      </c>
      <c r="G245" s="253" t="s">
        <v>395</v>
      </c>
      <c r="H245" s="277"/>
      <c r="I245" s="147"/>
      <c r="J245" s="147"/>
      <c r="K245" s="147"/>
      <c r="L245" s="147"/>
      <c r="M245" s="147"/>
      <c r="N245" s="147"/>
      <c r="O245" s="147"/>
      <c r="P245" s="147"/>
      <c r="Q245" s="147"/>
      <c r="R245" s="147"/>
      <c r="S245" s="147"/>
      <c r="T245" s="147"/>
      <c r="U245" s="147"/>
      <c r="V245" s="147"/>
      <c r="W245" s="147"/>
      <c r="X245" s="147"/>
      <c r="Y245" s="147"/>
      <c r="Z245" s="147"/>
      <c r="AA245" s="147"/>
      <c r="AB245" s="147"/>
      <c r="AC245" s="147"/>
      <c r="AD245" s="147"/>
      <c r="AE245" s="147"/>
      <c r="AF245" s="147"/>
      <c r="AG245" s="147"/>
      <c r="AH245" s="147"/>
      <c r="AI245" s="147"/>
      <c r="AJ245" s="147"/>
      <c r="AK245" s="147"/>
      <c r="AL245" s="147">
        <f t="shared" ref="AL245:AV245" si="137">IF(AL163=1,AL204,AL204-AK204)</f>
        <v>0</v>
      </c>
      <c r="AM245" s="147">
        <f t="shared" si="137"/>
        <v>0</v>
      </c>
      <c r="AN245" s="147">
        <f t="shared" si="137"/>
        <v>0</v>
      </c>
      <c r="AO245" s="147">
        <f t="shared" si="137"/>
        <v>0</v>
      </c>
      <c r="AP245" s="147">
        <f t="shared" si="137"/>
        <v>0</v>
      </c>
      <c r="AQ245" s="147">
        <f t="shared" si="137"/>
        <v>0</v>
      </c>
      <c r="AR245" s="147">
        <f t="shared" si="137"/>
        <v>0</v>
      </c>
      <c r="AS245" s="147">
        <f t="shared" si="137"/>
        <v>0</v>
      </c>
      <c r="AT245" s="147">
        <f t="shared" si="137"/>
        <v>0</v>
      </c>
      <c r="AU245" s="147">
        <f t="shared" si="137"/>
        <v>0</v>
      </c>
      <c r="AV245" s="147">
        <f t="shared" si="137"/>
        <v>0</v>
      </c>
    </row>
    <row r="246" spans="2:48" ht="12.95" customHeight="1" x14ac:dyDescent="0.2">
      <c r="B246" s="14"/>
      <c r="C246" s="253" t="s">
        <v>888</v>
      </c>
      <c r="F246" s="253" t="s">
        <v>493</v>
      </c>
      <c r="G246" s="253" t="s">
        <v>395</v>
      </c>
      <c r="H246" s="277"/>
      <c r="I246" s="147"/>
      <c r="J246" s="147"/>
      <c r="K246" s="147"/>
      <c r="L246" s="147"/>
      <c r="M246" s="147"/>
      <c r="N246" s="147"/>
      <c r="O246" s="147"/>
      <c r="P246" s="147"/>
      <c r="Q246" s="147"/>
      <c r="R246" s="147"/>
      <c r="S246" s="147"/>
      <c r="T246" s="147"/>
      <c r="U246" s="147"/>
      <c r="V246" s="147"/>
      <c r="W246" s="147"/>
      <c r="X246" s="147"/>
      <c r="Y246" s="147"/>
      <c r="Z246" s="147"/>
      <c r="AA246" s="147"/>
      <c r="AB246" s="147"/>
      <c r="AC246" s="147"/>
      <c r="AD246" s="147"/>
      <c r="AE246" s="147"/>
      <c r="AF246" s="147"/>
      <c r="AG246" s="147"/>
      <c r="AH246" s="147"/>
      <c r="AI246" s="147"/>
      <c r="AJ246" s="147"/>
      <c r="AK246" s="147"/>
      <c r="AL246" s="147"/>
      <c r="AM246" s="147">
        <f t="shared" ref="AM246:AV246" si="138">IF(AM164=1,AM205,AM205-AL205)</f>
        <v>0</v>
      </c>
      <c r="AN246" s="147">
        <f t="shared" si="138"/>
        <v>0</v>
      </c>
      <c r="AO246" s="147">
        <f t="shared" si="138"/>
        <v>0</v>
      </c>
      <c r="AP246" s="147">
        <f t="shared" si="138"/>
        <v>0</v>
      </c>
      <c r="AQ246" s="147">
        <f t="shared" si="138"/>
        <v>0</v>
      </c>
      <c r="AR246" s="147">
        <f t="shared" si="138"/>
        <v>0</v>
      </c>
      <c r="AS246" s="147">
        <f t="shared" si="138"/>
        <v>0</v>
      </c>
      <c r="AT246" s="147">
        <f t="shared" si="138"/>
        <v>0</v>
      </c>
      <c r="AU246" s="147">
        <f t="shared" si="138"/>
        <v>0</v>
      </c>
      <c r="AV246" s="147">
        <f t="shared" si="138"/>
        <v>0</v>
      </c>
    </row>
    <row r="247" spans="2:48" ht="12.95" customHeight="1" x14ac:dyDescent="0.2">
      <c r="B247" s="14"/>
      <c r="C247" s="253" t="s">
        <v>889</v>
      </c>
      <c r="F247" s="253" t="s">
        <v>493</v>
      </c>
      <c r="G247" s="253" t="s">
        <v>395</v>
      </c>
      <c r="H247" s="277"/>
      <c r="I247" s="147"/>
      <c r="J247" s="147"/>
      <c r="K247" s="147"/>
      <c r="L247" s="147"/>
      <c r="M247" s="147"/>
      <c r="N247" s="147"/>
      <c r="O247" s="147"/>
      <c r="P247" s="147"/>
      <c r="Q247" s="147"/>
      <c r="R247" s="147"/>
      <c r="S247" s="147"/>
      <c r="T247" s="147"/>
      <c r="U247" s="147"/>
      <c r="V247" s="147"/>
      <c r="W247" s="147"/>
      <c r="X247" s="147"/>
      <c r="Y247" s="147"/>
      <c r="Z247" s="147"/>
      <c r="AA247" s="147"/>
      <c r="AB247" s="147"/>
      <c r="AC247" s="147"/>
      <c r="AD247" s="147"/>
      <c r="AE247" s="147"/>
      <c r="AF247" s="147"/>
      <c r="AG247" s="147"/>
      <c r="AH247" s="147"/>
      <c r="AI247" s="147"/>
      <c r="AJ247" s="147"/>
      <c r="AK247" s="147"/>
      <c r="AL247" s="147"/>
      <c r="AM247" s="147"/>
      <c r="AN247" s="147">
        <f t="shared" ref="AN247:AV247" si="139">IF(AN165=1,AN206,AN206-AM206)</f>
        <v>0</v>
      </c>
      <c r="AO247" s="147">
        <f t="shared" si="139"/>
        <v>0</v>
      </c>
      <c r="AP247" s="147">
        <f t="shared" si="139"/>
        <v>0</v>
      </c>
      <c r="AQ247" s="147">
        <f t="shared" si="139"/>
        <v>0</v>
      </c>
      <c r="AR247" s="147">
        <f t="shared" si="139"/>
        <v>0</v>
      </c>
      <c r="AS247" s="147">
        <f t="shared" si="139"/>
        <v>0</v>
      </c>
      <c r="AT247" s="147">
        <f t="shared" si="139"/>
        <v>0</v>
      </c>
      <c r="AU247" s="147">
        <f t="shared" si="139"/>
        <v>0</v>
      </c>
      <c r="AV247" s="147">
        <f t="shared" si="139"/>
        <v>0</v>
      </c>
    </row>
    <row r="248" spans="2:48" ht="12.95" customHeight="1" x14ac:dyDescent="0.2">
      <c r="B248" s="14"/>
      <c r="C248" s="253" t="s">
        <v>890</v>
      </c>
      <c r="F248" s="253" t="s">
        <v>493</v>
      </c>
      <c r="G248" s="253" t="s">
        <v>395</v>
      </c>
      <c r="H248" s="277"/>
      <c r="I248" s="147"/>
      <c r="J248" s="147"/>
      <c r="K248" s="147"/>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c r="AG248" s="147"/>
      <c r="AH248" s="147"/>
      <c r="AI248" s="147"/>
      <c r="AJ248" s="147"/>
      <c r="AK248" s="147"/>
      <c r="AL248" s="147"/>
      <c r="AM248" s="147"/>
      <c r="AN248" s="147"/>
      <c r="AO248" s="147">
        <f t="shared" ref="AO248:AV248" si="140">IF(AO166=1,AO207,AO207-AN207)</f>
        <v>0</v>
      </c>
      <c r="AP248" s="147">
        <f t="shared" si="140"/>
        <v>0</v>
      </c>
      <c r="AQ248" s="147">
        <f t="shared" si="140"/>
        <v>0</v>
      </c>
      <c r="AR248" s="147">
        <f t="shared" si="140"/>
        <v>0</v>
      </c>
      <c r="AS248" s="147">
        <f t="shared" si="140"/>
        <v>0</v>
      </c>
      <c r="AT248" s="147">
        <f t="shared" si="140"/>
        <v>0</v>
      </c>
      <c r="AU248" s="147">
        <f t="shared" si="140"/>
        <v>0</v>
      </c>
      <c r="AV248" s="147">
        <f t="shared" si="140"/>
        <v>0</v>
      </c>
    </row>
    <row r="249" spans="2:48" ht="12.95" customHeight="1" x14ac:dyDescent="0.2">
      <c r="B249" s="14"/>
      <c r="C249" s="253" t="s">
        <v>891</v>
      </c>
      <c r="F249" s="253" t="s">
        <v>493</v>
      </c>
      <c r="G249" s="253" t="s">
        <v>395</v>
      </c>
      <c r="H249" s="277"/>
      <c r="I249" s="147"/>
      <c r="J249" s="147"/>
      <c r="K249" s="147"/>
      <c r="L249" s="147"/>
      <c r="M249" s="147"/>
      <c r="N249" s="147"/>
      <c r="O249" s="147"/>
      <c r="P249" s="147"/>
      <c r="Q249" s="147"/>
      <c r="R249" s="147"/>
      <c r="S249" s="147"/>
      <c r="T249" s="147"/>
      <c r="U249" s="147"/>
      <c r="V249" s="147"/>
      <c r="W249" s="147"/>
      <c r="X249" s="147"/>
      <c r="Y249" s="147"/>
      <c r="Z249" s="147"/>
      <c r="AA249" s="147"/>
      <c r="AB249" s="147"/>
      <c r="AC249" s="147"/>
      <c r="AD249" s="147"/>
      <c r="AE249" s="147"/>
      <c r="AF249" s="147"/>
      <c r="AG249" s="147"/>
      <c r="AH249" s="147"/>
      <c r="AI249" s="147"/>
      <c r="AJ249" s="147"/>
      <c r="AK249" s="147"/>
      <c r="AL249" s="147"/>
      <c r="AM249" s="147"/>
      <c r="AN249" s="147"/>
      <c r="AO249" s="147"/>
      <c r="AP249" s="147">
        <f t="shared" ref="AP249:AV249" si="141">IF(AP167=1,AP208,AP208-AO208)</f>
        <v>0</v>
      </c>
      <c r="AQ249" s="147">
        <f t="shared" si="141"/>
        <v>0</v>
      </c>
      <c r="AR249" s="147">
        <f t="shared" si="141"/>
        <v>0</v>
      </c>
      <c r="AS249" s="147">
        <f t="shared" si="141"/>
        <v>0</v>
      </c>
      <c r="AT249" s="147">
        <f t="shared" si="141"/>
        <v>0</v>
      </c>
      <c r="AU249" s="147">
        <f t="shared" si="141"/>
        <v>0</v>
      </c>
      <c r="AV249" s="147">
        <f t="shared" si="141"/>
        <v>0</v>
      </c>
    </row>
    <row r="250" spans="2:48" ht="12.95" customHeight="1" x14ac:dyDescent="0.2">
      <c r="B250" s="14"/>
      <c r="C250" s="253" t="s">
        <v>892</v>
      </c>
      <c r="F250" s="253" t="s">
        <v>493</v>
      </c>
      <c r="G250" s="253" t="s">
        <v>395</v>
      </c>
      <c r="H250" s="277"/>
      <c r="I250" s="147"/>
      <c r="J250" s="147"/>
      <c r="K250" s="147"/>
      <c r="L250" s="147"/>
      <c r="M250" s="147"/>
      <c r="N250" s="147"/>
      <c r="O250" s="147"/>
      <c r="P250" s="147"/>
      <c r="Q250" s="147"/>
      <c r="R250" s="147"/>
      <c r="S250" s="147"/>
      <c r="T250" s="147"/>
      <c r="U250" s="147"/>
      <c r="V250" s="147"/>
      <c r="W250" s="147"/>
      <c r="X250" s="147"/>
      <c r="Y250" s="147"/>
      <c r="Z250" s="147"/>
      <c r="AA250" s="147"/>
      <c r="AB250" s="147"/>
      <c r="AC250" s="147"/>
      <c r="AD250" s="147"/>
      <c r="AE250" s="147"/>
      <c r="AF250" s="147"/>
      <c r="AG250" s="147"/>
      <c r="AH250" s="147"/>
      <c r="AI250" s="147"/>
      <c r="AJ250" s="147"/>
      <c r="AK250" s="147"/>
      <c r="AL250" s="147"/>
      <c r="AM250" s="147"/>
      <c r="AN250" s="147"/>
      <c r="AO250" s="147"/>
      <c r="AP250" s="147"/>
      <c r="AQ250" s="147">
        <f t="shared" ref="AQ250:AV250" si="142">IF(AQ168=1,AQ209,AQ209-AP209)</f>
        <v>0</v>
      </c>
      <c r="AR250" s="147">
        <f t="shared" si="142"/>
        <v>0</v>
      </c>
      <c r="AS250" s="147">
        <f t="shared" si="142"/>
        <v>0</v>
      </c>
      <c r="AT250" s="147">
        <f t="shared" si="142"/>
        <v>0</v>
      </c>
      <c r="AU250" s="147">
        <f t="shared" si="142"/>
        <v>0</v>
      </c>
      <c r="AV250" s="147">
        <f t="shared" si="142"/>
        <v>0</v>
      </c>
    </row>
    <row r="251" spans="2:48" ht="12.95" customHeight="1" x14ac:dyDescent="0.2">
      <c r="B251" s="14"/>
      <c r="C251" s="253" t="s">
        <v>893</v>
      </c>
      <c r="F251" s="253" t="s">
        <v>493</v>
      </c>
      <c r="G251" s="253" t="s">
        <v>395</v>
      </c>
      <c r="H251" s="277"/>
      <c r="I251" s="147"/>
      <c r="J251" s="147"/>
      <c r="K251" s="147"/>
      <c r="L251" s="147"/>
      <c r="M251" s="147"/>
      <c r="N251" s="147"/>
      <c r="O251" s="147"/>
      <c r="P251" s="147"/>
      <c r="Q251" s="147"/>
      <c r="R251" s="147"/>
      <c r="S251" s="147"/>
      <c r="T251" s="147"/>
      <c r="U251" s="147"/>
      <c r="V251" s="147"/>
      <c r="W251" s="147"/>
      <c r="X251" s="147"/>
      <c r="Y251" s="147"/>
      <c r="Z251" s="147"/>
      <c r="AA251" s="147"/>
      <c r="AB251" s="147"/>
      <c r="AC251" s="147"/>
      <c r="AD251" s="147"/>
      <c r="AE251" s="147"/>
      <c r="AF251" s="147"/>
      <c r="AG251" s="147"/>
      <c r="AH251" s="147"/>
      <c r="AI251" s="147"/>
      <c r="AJ251" s="147"/>
      <c r="AK251" s="147"/>
      <c r="AL251" s="147"/>
      <c r="AM251" s="147"/>
      <c r="AN251" s="147"/>
      <c r="AO251" s="147"/>
      <c r="AP251" s="147"/>
      <c r="AQ251" s="147"/>
      <c r="AR251" s="147">
        <f>IF(AR169=1,AR210,AR210-AQ210)</f>
        <v>0</v>
      </c>
      <c r="AS251" s="147">
        <f>IF(AS169=1,AS210,AS210-AR210)</f>
        <v>0</v>
      </c>
      <c r="AT251" s="147">
        <f>IF(AT169=1,AT210,AT210-AS210)</f>
        <v>0</v>
      </c>
      <c r="AU251" s="147">
        <f>IF(AU169=1,AU210,AU210-AT210)</f>
        <v>0</v>
      </c>
      <c r="AV251" s="147">
        <f>IF(AV169=1,AV210,AV210-AU210)</f>
        <v>0</v>
      </c>
    </row>
    <row r="252" spans="2:48" ht="12.95" customHeight="1" x14ac:dyDescent="0.2">
      <c r="B252" s="14"/>
      <c r="C252" s="253" t="s">
        <v>894</v>
      </c>
      <c r="F252" s="253" t="s">
        <v>493</v>
      </c>
      <c r="G252" s="253" t="s">
        <v>395</v>
      </c>
      <c r="H252" s="277"/>
      <c r="I252" s="147"/>
      <c r="J252" s="147"/>
      <c r="K252" s="147"/>
      <c r="L252" s="147"/>
      <c r="M252" s="147"/>
      <c r="N252" s="147"/>
      <c r="O252" s="147"/>
      <c r="P252" s="147"/>
      <c r="Q252" s="147"/>
      <c r="R252" s="147"/>
      <c r="S252" s="147"/>
      <c r="T252" s="147"/>
      <c r="U252" s="147"/>
      <c r="V252" s="147"/>
      <c r="W252" s="147"/>
      <c r="X252" s="147"/>
      <c r="Y252" s="147"/>
      <c r="Z252" s="147"/>
      <c r="AA252" s="147"/>
      <c r="AB252" s="147"/>
      <c r="AC252" s="147"/>
      <c r="AD252" s="147"/>
      <c r="AE252" s="147"/>
      <c r="AF252" s="147"/>
      <c r="AG252" s="147"/>
      <c r="AH252" s="147"/>
      <c r="AI252" s="147"/>
      <c r="AJ252" s="147"/>
      <c r="AK252" s="147"/>
      <c r="AL252" s="147"/>
      <c r="AM252" s="147"/>
      <c r="AN252" s="147"/>
      <c r="AO252" s="147"/>
      <c r="AP252" s="147"/>
      <c r="AQ252" s="147"/>
      <c r="AR252" s="147"/>
      <c r="AS252" s="147">
        <f>IF(AS170=1,AS211,AS211-AR211)</f>
        <v>0</v>
      </c>
      <c r="AT252" s="147">
        <f>IF(AT170=1,AT211,AT211-AS211)</f>
        <v>0</v>
      </c>
      <c r="AU252" s="147">
        <f>IF(AU170=1,AU211,AU211-AT211)</f>
        <v>0</v>
      </c>
      <c r="AV252" s="147">
        <f>IF(AV170=1,AV211,AV211-AU211)</f>
        <v>0</v>
      </c>
    </row>
    <row r="253" spans="2:48" ht="12.95" customHeight="1" x14ac:dyDescent="0.2">
      <c r="B253" s="14"/>
      <c r="C253" s="253" t="s">
        <v>895</v>
      </c>
      <c r="F253" s="253" t="s">
        <v>493</v>
      </c>
      <c r="G253" s="253" t="s">
        <v>395</v>
      </c>
      <c r="H253" s="277"/>
      <c r="I253" s="147"/>
      <c r="J253" s="147"/>
      <c r="K253" s="147"/>
      <c r="L253" s="147"/>
      <c r="M253" s="147"/>
      <c r="N253" s="147"/>
      <c r="O253" s="147"/>
      <c r="P253" s="147"/>
      <c r="Q253" s="147"/>
      <c r="R253" s="147"/>
      <c r="S253" s="147"/>
      <c r="T253" s="147"/>
      <c r="U253" s="147"/>
      <c r="V253" s="147"/>
      <c r="W253" s="147"/>
      <c r="X253" s="147"/>
      <c r="Y253" s="147"/>
      <c r="Z253" s="147"/>
      <c r="AA253" s="147"/>
      <c r="AB253" s="147"/>
      <c r="AC253" s="147"/>
      <c r="AD253" s="147"/>
      <c r="AE253" s="147"/>
      <c r="AF253" s="147"/>
      <c r="AG253" s="147"/>
      <c r="AH253" s="147"/>
      <c r="AI253" s="147"/>
      <c r="AJ253" s="147"/>
      <c r="AK253" s="147"/>
      <c r="AL253" s="147"/>
      <c r="AM253" s="147"/>
      <c r="AN253" s="147"/>
      <c r="AO253" s="147"/>
      <c r="AP253" s="147"/>
      <c r="AQ253" s="147"/>
      <c r="AR253" s="147"/>
      <c r="AS253" s="147"/>
      <c r="AT253" s="147">
        <f>IF(AT171=1,AT212,AT212-AS212)</f>
        <v>0</v>
      </c>
      <c r="AU253" s="147">
        <f>IF(AU171=1,AU212,AU212-AT212)</f>
        <v>0</v>
      </c>
      <c r="AV253" s="147">
        <f>IF(AV171=1,AV212,AV212-AU212)</f>
        <v>0</v>
      </c>
    </row>
    <row r="254" spans="2:48" ht="12.95" customHeight="1" x14ac:dyDescent="0.2">
      <c r="B254" s="14"/>
      <c r="C254" s="253" t="s">
        <v>896</v>
      </c>
      <c r="F254" s="253" t="s">
        <v>493</v>
      </c>
      <c r="G254" s="253" t="s">
        <v>395</v>
      </c>
      <c r="H254" s="277"/>
      <c r="I254" s="147"/>
      <c r="J254" s="147"/>
      <c r="K254" s="147"/>
      <c r="L254" s="147"/>
      <c r="M254" s="147"/>
      <c r="N254" s="147"/>
      <c r="O254" s="147"/>
      <c r="P254" s="147"/>
      <c r="Q254" s="147"/>
      <c r="R254" s="147"/>
      <c r="S254" s="147"/>
      <c r="T254" s="147"/>
      <c r="U254" s="147"/>
      <c r="V254" s="147"/>
      <c r="W254" s="147"/>
      <c r="X254" s="147"/>
      <c r="Y254" s="147"/>
      <c r="Z254" s="147"/>
      <c r="AA254" s="147"/>
      <c r="AB254" s="147"/>
      <c r="AC254" s="147"/>
      <c r="AD254" s="147"/>
      <c r="AE254" s="147"/>
      <c r="AF254" s="147"/>
      <c r="AG254" s="147"/>
      <c r="AH254" s="147"/>
      <c r="AI254" s="147"/>
      <c r="AJ254" s="147"/>
      <c r="AK254" s="147"/>
      <c r="AL254" s="147"/>
      <c r="AM254" s="147"/>
      <c r="AN254" s="147"/>
      <c r="AO254" s="147"/>
      <c r="AP254" s="147"/>
      <c r="AQ254" s="147"/>
      <c r="AR254" s="147"/>
      <c r="AS254" s="147"/>
      <c r="AT254" s="147"/>
      <c r="AU254" s="147">
        <f>IF(AU172=1,AU213,AU213-AT213)</f>
        <v>0</v>
      </c>
      <c r="AV254" s="147">
        <f>IF(AV172=1,AV213,AV213-AU213)</f>
        <v>0</v>
      </c>
    </row>
    <row r="255" spans="2:48" ht="12.95" customHeight="1" x14ac:dyDescent="0.2">
      <c r="B255" s="14"/>
      <c r="C255" s="253" t="s">
        <v>897</v>
      </c>
      <c r="F255" s="253" t="s">
        <v>493</v>
      </c>
      <c r="G255" s="253" t="s">
        <v>395</v>
      </c>
      <c r="H255" s="277"/>
      <c r="I255" s="147"/>
      <c r="J255" s="147"/>
      <c r="K255" s="147"/>
      <c r="L255" s="147"/>
      <c r="M255" s="147"/>
      <c r="N255" s="147"/>
      <c r="O255" s="147"/>
      <c r="P255" s="147"/>
      <c r="Q255" s="147"/>
      <c r="R255" s="147"/>
      <c r="S255" s="147"/>
      <c r="T255" s="147"/>
      <c r="U255" s="147"/>
      <c r="V255" s="147"/>
      <c r="W255" s="147"/>
      <c r="X255" s="147"/>
      <c r="Y255" s="147"/>
      <c r="Z255" s="147"/>
      <c r="AA255" s="147"/>
      <c r="AB255" s="147"/>
      <c r="AC255" s="147"/>
      <c r="AD255" s="147"/>
      <c r="AE255" s="147"/>
      <c r="AF255" s="147"/>
      <c r="AG255" s="147"/>
      <c r="AH255" s="147"/>
      <c r="AI255" s="147"/>
      <c r="AJ255" s="147"/>
      <c r="AK255" s="147"/>
      <c r="AL255" s="147"/>
      <c r="AM255" s="147"/>
      <c r="AN255" s="147"/>
      <c r="AO255" s="147"/>
      <c r="AP255" s="147"/>
      <c r="AQ255" s="147"/>
      <c r="AR255" s="147"/>
      <c r="AS255" s="147"/>
      <c r="AT255" s="147"/>
      <c r="AU255" s="147"/>
      <c r="AV255" s="147">
        <f>IF(AV173=1,AV214,AV214-AU214)</f>
        <v>0</v>
      </c>
    </row>
    <row r="256" spans="2:48" ht="12.95" customHeight="1" x14ac:dyDescent="0.2">
      <c r="B256" s="253" t="s">
        <v>495</v>
      </c>
      <c r="F256" s="253" t="s">
        <v>493</v>
      </c>
      <c r="G256" s="253" t="s">
        <v>432</v>
      </c>
      <c r="H256" s="124"/>
      <c r="I256" s="124">
        <f>LOG!$F$26*SUM(I216:I255)</f>
        <v>560.30865603201005</v>
      </c>
      <c r="J256" s="124">
        <f>LOG!$F$26*SUM(J216:J255)</f>
        <v>4161.5886096595896</v>
      </c>
      <c r="K256" s="124">
        <f>LOG!$F$26*SUM(K216:K255)</f>
        <v>13048.110841019028</v>
      </c>
      <c r="L256" s="124">
        <f>LOG!$F$26*SUM(L216:L255)</f>
        <v>28750.888883504449</v>
      </c>
      <c r="M256" s="124">
        <f>LOG!$F$26*SUM(M216:M255)</f>
        <v>52232.54892938376</v>
      </c>
      <c r="N256" s="124">
        <f>LOG!$F$26*SUM(N216:N255)</f>
        <v>84007.300688657342</v>
      </c>
      <c r="O256" s="124">
        <f>LOG!$F$26*SUM(O216:O255)</f>
        <v>124239.94886002438</v>
      </c>
      <c r="P256" s="124">
        <f>LOG!$F$26*SUM(P216:P255)</f>
        <v>172827.28985603983</v>
      </c>
      <c r="Q256" s="124">
        <f>LOG!$F$26*SUM(Q216:Q255)</f>
        <v>229464.73067070803</v>
      </c>
      <c r="R256" s="124">
        <f>LOG!$F$26*SUM(R216:R255)</f>
        <v>293700.53385579318</v>
      </c>
      <c r="S256" s="124">
        <f>LOG!$F$26*SUM(S216:S255)</f>
        <v>364979.72365486296</v>
      </c>
      <c r="T256" s="124">
        <f>LOG!$F$26*SUM(T216:T255)</f>
        <v>442679.3741524865</v>
      </c>
      <c r="U256" s="124">
        <f>LOG!$F$26*SUM(U216:U255)</f>
        <v>526136.73287956789</v>
      </c>
      <c r="V256" s="124">
        <f>LOG!$F$26*SUM(V216:V255)</f>
        <v>614671.40586377436</v>
      </c>
      <c r="W256" s="124">
        <f>LOG!$F$26*SUM(W216:W255)</f>
        <v>707602.6367935848</v>
      </c>
      <c r="X256" s="124">
        <f>LOG!$F$26*SUM(X216:X255)</f>
        <v>804262.54878143035</v>
      </c>
      <c r="Y256" s="124">
        <f>LOG!$F$26*SUM(Y216:Y255)</f>
        <v>904006.07789085014</v>
      </c>
      <c r="Z256" s="124">
        <f>LOG!$F$26*SUM(Z216:Z255)</f>
        <v>1006218.2094764025</v>
      </c>
      <c r="AA256" s="124">
        <f>LOG!$F$26*SUM(AA216:AA255)</f>
        <v>1110319.0283437502</v>
      </c>
      <c r="AB256" s="124">
        <f>LOG!$F$26*SUM(AB216:AB255)</f>
        <v>1215767.0090946676</v>
      </c>
      <c r="AC256" s="124">
        <f>LOG!$F$26*SUM(AC216:AC255)</f>
        <v>1322060.9014897149</v>
      </c>
      <c r="AD256" s="124">
        <f>LOG!$F$26*SUM(AD216:AD255)</f>
        <v>1428740.5052847634</v>
      </c>
      <c r="AE256" s="124">
        <f>LOG!$F$26*SUM(AE216:AE255)</f>
        <v>1535386.5781061936</v>
      </c>
      <c r="AF256" s="124">
        <f>LOG!$F$26*SUM(AF216:AF255)</f>
        <v>1641620.0770972141</v>
      </c>
      <c r="AG256" s="124">
        <f>LOG!$F$26*SUM(AG216:AG255)</f>
        <v>1747100.8990770443</v>
      </c>
      <c r="AH256" s="124">
        <f>LOG!$F$26*SUM(AH216:AH255)</f>
        <v>1747100.8990770443</v>
      </c>
      <c r="AI256" s="124">
        <f>LOG!$F$26*SUM(AI216:AI255)</f>
        <v>1747100.8990770443</v>
      </c>
      <c r="AJ256" s="124">
        <f>LOG!$F$26*SUM(AJ216:AJ255)</f>
        <v>1747100.8990770443</v>
      </c>
      <c r="AK256" s="124">
        <f>LOG!$F$26*SUM(AK216:AK255)</f>
        <v>1747100.8990770439</v>
      </c>
      <c r="AL256" s="124">
        <f>LOG!$F$26*SUM(AL216:AL255)</f>
        <v>1747100.8990770443</v>
      </c>
      <c r="AM256" s="124">
        <f>LOG!$F$26*SUM(AM216:AM255)</f>
        <v>1747100.8990770443</v>
      </c>
      <c r="AN256" s="124">
        <f>LOG!$F$26*SUM(AN216:AN255)</f>
        <v>1747100.8990770443</v>
      </c>
      <c r="AO256" s="124">
        <f>LOG!$F$26*SUM(AO216:AO255)</f>
        <v>1747100.8990770436</v>
      </c>
      <c r="AP256" s="124">
        <f>LOG!$F$26*SUM(AP216:AP255)</f>
        <v>1747100.8990770436</v>
      </c>
      <c r="AQ256" s="124">
        <f>LOG!$F$26*SUM(AQ216:AQ255)</f>
        <v>1747100.8990770436</v>
      </c>
      <c r="AR256" s="124">
        <f>LOG!$F$26*SUM(AR216:AR255)</f>
        <v>1747100.8990770436</v>
      </c>
      <c r="AS256" s="124">
        <f>LOG!$F$26*SUM(AS216:AS255)</f>
        <v>1747100.8990770436</v>
      </c>
      <c r="AT256" s="124">
        <f>LOG!$F$26*SUM(AT216:AT255)</f>
        <v>1747100.8990770439</v>
      </c>
      <c r="AU256" s="124">
        <f>LOG!$F$26*SUM(AU216:AU255)</f>
        <v>1747100.8990770439</v>
      </c>
      <c r="AV256" s="124">
        <f>LOG!$F$26*SUM(AV216:AV255)</f>
        <v>1747100.8990770436</v>
      </c>
    </row>
    <row r="257" spans="2:50" ht="12.95" customHeight="1" x14ac:dyDescent="0.2">
      <c r="H257" s="124"/>
      <c r="I257" s="124"/>
      <c r="J257" s="124"/>
      <c r="K257" s="124"/>
      <c r="L257" s="124"/>
      <c r="M257" s="124"/>
      <c r="N257" s="124"/>
      <c r="O257" s="124"/>
      <c r="P257" s="124"/>
      <c r="Q257" s="124"/>
      <c r="R257" s="124"/>
      <c r="S257" s="124"/>
      <c r="T257" s="124"/>
      <c r="U257" s="124"/>
      <c r="V257" s="124"/>
      <c r="W257" s="124"/>
      <c r="X257" s="124"/>
      <c r="Y257" s="124"/>
      <c r="Z257" s="124"/>
      <c r="AA257" s="124"/>
      <c r="AB257" s="124"/>
      <c r="AC257" s="124"/>
      <c r="AD257" s="124"/>
      <c r="AE257" s="124"/>
      <c r="AF257" s="124"/>
      <c r="AG257" s="124"/>
      <c r="AH257" s="124"/>
      <c r="AI257" s="124"/>
      <c r="AJ257" s="124"/>
      <c r="AK257" s="124"/>
      <c r="AL257" s="124"/>
      <c r="AM257" s="124"/>
      <c r="AN257" s="124"/>
      <c r="AO257" s="124"/>
      <c r="AP257" s="124"/>
      <c r="AQ257" s="124"/>
      <c r="AR257" s="124"/>
      <c r="AS257" s="124"/>
      <c r="AT257" s="124"/>
      <c r="AU257" s="124"/>
      <c r="AV257" s="124"/>
    </row>
    <row r="258" spans="2:50" ht="12.95" customHeight="1" x14ac:dyDescent="0.25">
      <c r="B258" s="307" t="s">
        <v>1019</v>
      </c>
      <c r="C258" s="106"/>
      <c r="D258" s="106"/>
      <c r="E258" s="106"/>
      <c r="F258" s="106"/>
      <c r="G258" s="106"/>
      <c r="H258" s="106"/>
      <c r="I258" s="106"/>
      <c r="J258" s="107"/>
      <c r="K258" s="107"/>
      <c r="L258" s="107"/>
      <c r="M258" s="107"/>
      <c r="N258" s="107"/>
      <c r="O258" s="107"/>
      <c r="P258" s="107"/>
      <c r="Q258" s="107"/>
      <c r="R258" s="107"/>
      <c r="S258" s="107"/>
      <c r="T258" s="107"/>
      <c r="U258" s="107"/>
      <c r="V258" s="107"/>
      <c r="W258" s="107"/>
      <c r="X258" s="107"/>
      <c r="Y258" s="107"/>
      <c r="Z258" s="107"/>
      <c r="AA258" s="107"/>
      <c r="AB258" s="107"/>
      <c r="AC258" s="107"/>
      <c r="AD258" s="107"/>
      <c r="AE258" s="107"/>
      <c r="AF258" s="107"/>
      <c r="AG258" s="107"/>
      <c r="AH258" s="107"/>
      <c r="AI258" s="107"/>
      <c r="AJ258" s="107"/>
      <c r="AK258" s="107"/>
      <c r="AL258" s="107"/>
      <c r="AM258" s="107"/>
      <c r="AN258" s="107"/>
      <c r="AO258" s="107"/>
      <c r="AP258" s="107"/>
      <c r="AQ258" s="107"/>
      <c r="AR258" s="107"/>
      <c r="AS258" s="107"/>
      <c r="AT258" s="107"/>
      <c r="AU258" s="107"/>
      <c r="AV258" s="107"/>
      <c r="AW258" s="108"/>
    </row>
    <row r="259" spans="2:50" ht="12.95" customHeight="1" x14ac:dyDescent="0.25">
      <c r="B259" s="19" t="s">
        <v>300</v>
      </c>
      <c r="C259" s="75"/>
      <c r="D259" s="75"/>
      <c r="E259" s="74"/>
      <c r="F259" s="56" t="s">
        <v>491</v>
      </c>
      <c r="G259" s="113" t="s">
        <v>1</v>
      </c>
      <c r="H259" s="114" t="s">
        <v>456</v>
      </c>
      <c r="I259" s="114" t="s">
        <v>381</v>
      </c>
      <c r="J259" s="56" t="s">
        <v>382</v>
      </c>
      <c r="K259" s="56" t="s">
        <v>383</v>
      </c>
      <c r="L259" s="56" t="s">
        <v>384</v>
      </c>
      <c r="M259" s="56" t="s">
        <v>385</v>
      </c>
      <c r="N259" s="56" t="s">
        <v>386</v>
      </c>
      <c r="O259" s="56" t="s">
        <v>387</v>
      </c>
      <c r="P259" s="56" t="s">
        <v>388</v>
      </c>
      <c r="Q259" s="56" t="s">
        <v>389</v>
      </c>
      <c r="R259" s="56" t="s">
        <v>390</v>
      </c>
      <c r="S259" s="56" t="s">
        <v>401</v>
      </c>
      <c r="T259" s="56" t="s">
        <v>402</v>
      </c>
      <c r="U259" s="56" t="s">
        <v>403</v>
      </c>
      <c r="V259" s="56" t="s">
        <v>404</v>
      </c>
      <c r="W259" s="56" t="s">
        <v>405</v>
      </c>
      <c r="X259" s="56" t="s">
        <v>406</v>
      </c>
      <c r="Y259" s="56" t="s">
        <v>407</v>
      </c>
      <c r="Z259" s="56" t="s">
        <v>408</v>
      </c>
      <c r="AA259" s="56" t="s">
        <v>409</v>
      </c>
      <c r="AB259" s="56" t="s">
        <v>410</v>
      </c>
      <c r="AC259" s="56" t="s">
        <v>411</v>
      </c>
      <c r="AD259" s="56" t="s">
        <v>412</v>
      </c>
      <c r="AE259" s="56" t="s">
        <v>413</v>
      </c>
      <c r="AF259" s="56" t="s">
        <v>414</v>
      </c>
      <c r="AG259" s="56" t="s">
        <v>415</v>
      </c>
      <c r="AH259" s="56" t="s">
        <v>416</v>
      </c>
      <c r="AI259" s="56" t="s">
        <v>417</v>
      </c>
      <c r="AJ259" s="56" t="s">
        <v>418</v>
      </c>
      <c r="AK259" s="56" t="s">
        <v>419</v>
      </c>
      <c r="AL259" s="56" t="s">
        <v>420</v>
      </c>
      <c r="AM259" s="56" t="s">
        <v>421</v>
      </c>
      <c r="AN259" s="56" t="s">
        <v>422</v>
      </c>
      <c r="AO259" s="56" t="s">
        <v>423</v>
      </c>
      <c r="AP259" s="56" t="s">
        <v>424</v>
      </c>
      <c r="AQ259" s="56" t="s">
        <v>425</v>
      </c>
      <c r="AR259" s="56" t="s">
        <v>426</v>
      </c>
      <c r="AS259" s="56" t="s">
        <v>427</v>
      </c>
      <c r="AT259" s="56" t="s">
        <v>428</v>
      </c>
      <c r="AU259" s="56" t="s">
        <v>429</v>
      </c>
      <c r="AV259" s="56" t="s">
        <v>430</v>
      </c>
      <c r="AW259" s="5" t="s">
        <v>2</v>
      </c>
      <c r="AX259" s="14"/>
    </row>
    <row r="260" spans="2:50" ht="12.95" customHeight="1" x14ac:dyDescent="0.2">
      <c r="B260" s="14" t="s">
        <v>971</v>
      </c>
      <c r="H260" s="171"/>
      <c r="I260" s="171"/>
      <c r="J260" s="171"/>
      <c r="K260" s="171"/>
      <c r="L260" s="171"/>
      <c r="M260" s="171"/>
      <c r="N260" s="171"/>
      <c r="O260" s="171"/>
      <c r="P260" s="171"/>
      <c r="Q260" s="171"/>
      <c r="R260" s="171"/>
      <c r="S260" s="171"/>
      <c r="T260" s="171"/>
      <c r="U260" s="171"/>
      <c r="V260" s="171"/>
      <c r="W260" s="171"/>
      <c r="X260" s="171"/>
      <c r="Y260" s="171"/>
      <c r="Z260" s="171"/>
      <c r="AA260" s="171"/>
      <c r="AB260" s="171"/>
      <c r="AC260" s="171"/>
      <c r="AD260" s="171"/>
      <c r="AE260" s="171"/>
      <c r="AF260" s="171"/>
      <c r="AG260" s="171"/>
      <c r="AH260" s="171"/>
      <c r="AI260" s="171"/>
      <c r="AJ260" s="171"/>
      <c r="AK260" s="171"/>
      <c r="AL260" s="171"/>
      <c r="AM260" s="171"/>
      <c r="AN260" s="171"/>
      <c r="AO260" s="171"/>
      <c r="AP260" s="171"/>
      <c r="AQ260" s="171"/>
      <c r="AR260" s="171"/>
      <c r="AS260" s="171"/>
      <c r="AT260" s="171"/>
      <c r="AU260" s="171"/>
      <c r="AV260" s="171"/>
    </row>
    <row r="261" spans="2:50" ht="12.95" customHeight="1" x14ac:dyDescent="0.2">
      <c r="B261" s="14"/>
      <c r="C261" s="253" t="s">
        <v>858</v>
      </c>
      <c r="F261" s="253" t="s">
        <v>493</v>
      </c>
      <c r="G261" s="253" t="s">
        <v>432</v>
      </c>
      <c r="H261" s="147"/>
      <c r="I261" s="124">
        <f>LOG!$F$29*INDEX(decay!$H$14:$AV$14,MATCH(I134,decay!$H$10:$AV$10,0))</f>
        <v>69884.035963081726</v>
      </c>
      <c r="J261" s="124">
        <f>LOG!$F$29*INDEX(decay!$H$14:$AV$14,MATCH(J134,decay!$H$10:$AV$10,0))</f>
        <v>41930.421577849047</v>
      </c>
      <c r="K261" s="124">
        <f>LOG!$F$29*INDEX(decay!$H$14:$AV$14,MATCH(K134,decay!$H$10:$AV$10,0))</f>
        <v>35640.858341171683</v>
      </c>
      <c r="L261" s="124">
        <f>LOG!$F$29*INDEX(decay!$H$14:$AV$14,MATCH(L134,decay!$H$10:$AV$10,0))</f>
        <v>30294.729589995935</v>
      </c>
      <c r="M261" s="124">
        <f>LOG!$F$29*INDEX(decay!$H$14:$AV$14,MATCH(M134,decay!$H$10:$AV$10,0))</f>
        <v>25750.520151496548</v>
      </c>
      <c r="N261" s="124">
        <f>LOG!$F$29*INDEX(decay!$H$14:$AV$14,MATCH(N134,decay!$H$10:$AV$10,0))</f>
        <v>21887.942128772072</v>
      </c>
      <c r="O261" s="124">
        <f>LOG!$F$29*INDEX(decay!$H$14:$AV$14,MATCH(O134,decay!$H$10:$AV$10,0))</f>
        <v>18604.750809456262</v>
      </c>
      <c r="P261" s="124">
        <f>LOG!$F$29*INDEX(decay!$H$14:$AV$14,MATCH(P134,decay!$H$10:$AV$10,0))</f>
        <v>15814.03818803781</v>
      </c>
      <c r="Q261" s="124">
        <f>LOG!$F$29*INDEX(decay!$H$14:$AV$14,MATCH(Q134,decay!$H$10:$AV$10,0))</f>
        <v>13441.932459832145</v>
      </c>
      <c r="R261" s="124">
        <f>LOG!$F$29*INDEX(decay!$H$14:$AV$14,MATCH(R134,decay!$H$10:$AV$10,0))</f>
        <v>11425.64259085732</v>
      </c>
      <c r="S261" s="124">
        <f>LOG!$F$29*INDEX(decay!$H$14:$AV$14,MATCH(S134,decay!$H$10:$AV$10,0))</f>
        <v>9711.7962022287265</v>
      </c>
      <c r="T261" s="124">
        <f>LOG!$F$29*INDEX(decay!$H$14:$AV$14,MATCH(T134,decay!$H$10:$AV$10,0))</f>
        <v>8255.0267718944124</v>
      </c>
      <c r="U261" s="124">
        <f>LOG!$F$29*INDEX(decay!$H$14:$AV$14,MATCH(U134,decay!$H$10:$AV$10,0))</f>
        <v>7016.7727561102556</v>
      </c>
      <c r="V261" s="124">
        <f>LOG!$F$29*INDEX(decay!$H$14:$AV$14,MATCH(V134,decay!$H$10:$AV$10,0))</f>
        <v>5964.2568426937169</v>
      </c>
      <c r="W261" s="124">
        <f>LOG!$F$29*INDEX(decay!$H$14:$AV$14,MATCH(W134,decay!$H$10:$AV$10,0))</f>
        <v>5069.6183162896596</v>
      </c>
      <c r="X261" s="124">
        <f>LOG!$F$29*INDEX(decay!$H$14:$AV$14,MATCH(X134,decay!$H$10:$AV$10,0))</f>
        <v>4309.1755688462081</v>
      </c>
      <c r="Y261" s="124">
        <f>LOG!$F$29*INDEX(decay!$H$14:$AV$14,MATCH(Y134,decay!$H$10:$AV$10,0))</f>
        <v>3662.7992335192794</v>
      </c>
      <c r="Z261" s="124">
        <f>LOG!$F$29*INDEX(decay!$H$14:$AV$14,MATCH(Z134,decay!$H$10:$AV$10,0))</f>
        <v>3113.3793484913863</v>
      </c>
      <c r="AA261" s="124">
        <f>LOG!$F$29*INDEX(decay!$H$14:$AV$14,MATCH(AA134,decay!$H$10:$AV$10,0))</f>
        <v>2646.3724462176788</v>
      </c>
      <c r="AB261" s="124">
        <f>LOG!$F$29*INDEX(decay!$H$14:$AV$14,MATCH(AB134,decay!$H$10:$AV$10,0))</f>
        <v>2249.4165792850276</v>
      </c>
      <c r="AC261" s="124">
        <f>LOG!$F$29*INDEX(decay!$H$14:$AV$14,MATCH(AC134,decay!$H$10:$AV$10,0))</f>
        <v>1912.0040923922727</v>
      </c>
      <c r="AD261" s="124">
        <f>LOG!$F$29*INDEX(decay!$H$14:$AV$14,MATCH(AD134,decay!$H$10:$AV$10,0))</f>
        <v>1625.2034785334324</v>
      </c>
      <c r="AE261" s="124">
        <f>LOG!$F$29*INDEX(decay!$H$14:$AV$14,MATCH(AE134,decay!$H$10:$AV$10,0))</f>
        <v>1381.4229567534171</v>
      </c>
      <c r="AF261" s="124">
        <f>LOG!$F$29*INDEX(decay!$H$14:$AV$14,MATCH(AF134,decay!$H$10:$AV$10,0))</f>
        <v>1174.2095132404047</v>
      </c>
      <c r="AG261" s="124">
        <f>LOG!$F$29*INDEX(decay!$H$14:$AV$14,MATCH(AG134,decay!$H$10:$AV$10,0))</f>
        <v>998.07808625434382</v>
      </c>
      <c r="AH261" s="124">
        <f>LOG!$F$29*INDEX(decay!$H$14:$AV$14,MATCH(AH134,decay!$H$10:$AV$10,0))</f>
        <v>69884.035963081726</v>
      </c>
      <c r="AI261" s="124">
        <f>LOG!$F$29*INDEX(decay!$H$14:$AV$14,MATCH(AI134,decay!$H$10:$AV$10,0))</f>
        <v>41930.421577849047</v>
      </c>
      <c r="AJ261" s="124">
        <f>LOG!$F$29*INDEX(decay!$H$14:$AV$14,MATCH(AJ134,decay!$H$10:$AV$10,0))</f>
        <v>35640.858341171683</v>
      </c>
      <c r="AK261" s="124">
        <f>LOG!$F$29*INDEX(decay!$H$14:$AV$14,MATCH(AK134,decay!$H$10:$AV$10,0))</f>
        <v>30294.729589995935</v>
      </c>
      <c r="AL261" s="124">
        <f>LOG!$F$29*INDEX(decay!$H$14:$AV$14,MATCH(AL134,decay!$H$10:$AV$10,0))</f>
        <v>25750.520151496548</v>
      </c>
      <c r="AM261" s="124">
        <f>LOG!$F$29*INDEX(decay!$H$14:$AV$14,MATCH(AM134,decay!$H$10:$AV$10,0))</f>
        <v>21887.942128772072</v>
      </c>
      <c r="AN261" s="124">
        <f>LOG!$F$29*INDEX(decay!$H$14:$AV$14,MATCH(AN134,decay!$H$10:$AV$10,0))</f>
        <v>18604.750809456262</v>
      </c>
      <c r="AO261" s="124">
        <f>LOG!$F$29*INDEX(decay!$H$14:$AV$14,MATCH(AO134,decay!$H$10:$AV$10,0))</f>
        <v>15814.03818803781</v>
      </c>
      <c r="AP261" s="124">
        <f>LOG!$F$29*INDEX(decay!$H$14:$AV$14,MATCH(AP134,decay!$H$10:$AV$10,0))</f>
        <v>13441.932459832145</v>
      </c>
      <c r="AQ261" s="124">
        <f>LOG!$F$29*INDEX(decay!$H$14:$AV$14,MATCH(AQ134,decay!$H$10:$AV$10,0))</f>
        <v>11425.64259085732</v>
      </c>
      <c r="AR261" s="124">
        <f>LOG!$F$29*INDEX(decay!$H$14:$AV$14,MATCH(AR134,decay!$H$10:$AV$10,0))</f>
        <v>9711.7962022287265</v>
      </c>
      <c r="AS261" s="124">
        <f>LOG!$F$29*INDEX(decay!$H$14:$AV$14,MATCH(AS134,decay!$H$10:$AV$10,0))</f>
        <v>8255.0267718944124</v>
      </c>
      <c r="AT261" s="124">
        <f>LOG!$F$29*INDEX(decay!$H$14:$AV$14,MATCH(AT134,decay!$H$10:$AV$10,0))</f>
        <v>7016.7727561102556</v>
      </c>
      <c r="AU261" s="124">
        <f>LOG!$F$29*INDEX(decay!$H$14:$AV$14,MATCH(AU134,decay!$H$10:$AV$10,0))</f>
        <v>5964.2568426937169</v>
      </c>
      <c r="AV261" s="124">
        <f>LOG!$F$29*INDEX(decay!$H$14:$AV$14,MATCH(AV134,decay!$H$10:$AV$10,0))</f>
        <v>5069.6183162896596</v>
      </c>
    </row>
    <row r="262" spans="2:50" ht="12.95" customHeight="1" x14ac:dyDescent="0.2">
      <c r="B262" s="14"/>
      <c r="C262" s="253" t="s">
        <v>859</v>
      </c>
      <c r="F262" s="253" t="s">
        <v>493</v>
      </c>
      <c r="G262" s="253" t="s">
        <v>432</v>
      </c>
      <c r="H262" s="147"/>
      <c r="I262" s="147"/>
      <c r="J262" s="124">
        <f t="shared" ref="J262:AV262" si="143">IF(J135&gt;0,I261,0)</f>
        <v>69884.035963081726</v>
      </c>
      <c r="K262" s="124">
        <f t="shared" si="143"/>
        <v>41930.421577849047</v>
      </c>
      <c r="L262" s="124">
        <f t="shared" si="143"/>
        <v>35640.858341171683</v>
      </c>
      <c r="M262" s="124">
        <f t="shared" si="143"/>
        <v>30294.729589995935</v>
      </c>
      <c r="N262" s="124">
        <f t="shared" si="143"/>
        <v>25750.520151496548</v>
      </c>
      <c r="O262" s="124">
        <f t="shared" si="143"/>
        <v>21887.942128772072</v>
      </c>
      <c r="P262" s="124">
        <f t="shared" si="143"/>
        <v>18604.750809456262</v>
      </c>
      <c r="Q262" s="124">
        <f t="shared" si="143"/>
        <v>15814.03818803781</v>
      </c>
      <c r="R262" s="124">
        <f t="shared" si="143"/>
        <v>13441.932459832145</v>
      </c>
      <c r="S262" s="124">
        <f t="shared" si="143"/>
        <v>11425.64259085732</v>
      </c>
      <c r="T262" s="124">
        <f t="shared" si="143"/>
        <v>9711.7962022287265</v>
      </c>
      <c r="U262" s="124">
        <f t="shared" si="143"/>
        <v>8255.0267718944124</v>
      </c>
      <c r="V262" s="124">
        <f t="shared" si="143"/>
        <v>7016.7727561102556</v>
      </c>
      <c r="W262" s="124">
        <f t="shared" si="143"/>
        <v>5964.2568426937169</v>
      </c>
      <c r="X262" s="124">
        <f t="shared" si="143"/>
        <v>5069.6183162896596</v>
      </c>
      <c r="Y262" s="124">
        <f t="shared" si="143"/>
        <v>4309.1755688462081</v>
      </c>
      <c r="Z262" s="124">
        <f t="shared" si="143"/>
        <v>3662.7992335192794</v>
      </c>
      <c r="AA262" s="124">
        <f t="shared" si="143"/>
        <v>3113.3793484913863</v>
      </c>
      <c r="AB262" s="124">
        <f t="shared" si="143"/>
        <v>2646.3724462176788</v>
      </c>
      <c r="AC262" s="124">
        <f t="shared" si="143"/>
        <v>2249.4165792850276</v>
      </c>
      <c r="AD262" s="124">
        <f t="shared" si="143"/>
        <v>1912.0040923922727</v>
      </c>
      <c r="AE262" s="124">
        <f t="shared" si="143"/>
        <v>1625.2034785334324</v>
      </c>
      <c r="AF262" s="124">
        <f t="shared" si="143"/>
        <v>1381.4229567534171</v>
      </c>
      <c r="AG262" s="124">
        <f t="shared" si="143"/>
        <v>1174.2095132404047</v>
      </c>
      <c r="AH262" s="124">
        <f t="shared" si="143"/>
        <v>998.07808625434382</v>
      </c>
      <c r="AI262" s="124">
        <f t="shared" si="143"/>
        <v>69884.035963081726</v>
      </c>
      <c r="AJ262" s="124">
        <f t="shared" si="143"/>
        <v>41930.421577849047</v>
      </c>
      <c r="AK262" s="124">
        <f t="shared" si="143"/>
        <v>35640.858341171683</v>
      </c>
      <c r="AL262" s="124">
        <f t="shared" si="143"/>
        <v>30294.729589995935</v>
      </c>
      <c r="AM262" s="124">
        <f t="shared" si="143"/>
        <v>25750.520151496548</v>
      </c>
      <c r="AN262" s="124">
        <f t="shared" si="143"/>
        <v>21887.942128772072</v>
      </c>
      <c r="AO262" s="124">
        <f t="shared" si="143"/>
        <v>18604.750809456262</v>
      </c>
      <c r="AP262" s="124">
        <f t="shared" si="143"/>
        <v>15814.03818803781</v>
      </c>
      <c r="AQ262" s="124">
        <f t="shared" si="143"/>
        <v>13441.932459832145</v>
      </c>
      <c r="AR262" s="124">
        <f t="shared" si="143"/>
        <v>11425.64259085732</v>
      </c>
      <c r="AS262" s="124">
        <f t="shared" si="143"/>
        <v>9711.7962022287265</v>
      </c>
      <c r="AT262" s="124">
        <f t="shared" si="143"/>
        <v>8255.0267718944124</v>
      </c>
      <c r="AU262" s="124">
        <f t="shared" si="143"/>
        <v>7016.7727561102556</v>
      </c>
      <c r="AV262" s="124">
        <f t="shared" si="143"/>
        <v>5964.2568426937169</v>
      </c>
    </row>
    <row r="263" spans="2:50" ht="12.95" customHeight="1" x14ac:dyDescent="0.2">
      <c r="B263" s="14"/>
      <c r="C263" s="253" t="s">
        <v>860</v>
      </c>
      <c r="F263" s="253" t="s">
        <v>493</v>
      </c>
      <c r="G263" s="253" t="s">
        <v>432</v>
      </c>
      <c r="H263" s="277"/>
      <c r="I263" s="147"/>
      <c r="J263" s="124"/>
      <c r="K263" s="124">
        <f t="shared" ref="K263:AV263" si="144">IF(K136&gt;0,J262,0)</f>
        <v>69884.035963081726</v>
      </c>
      <c r="L263" s="124">
        <f t="shared" si="144"/>
        <v>41930.421577849047</v>
      </c>
      <c r="M263" s="124">
        <f t="shared" si="144"/>
        <v>35640.858341171683</v>
      </c>
      <c r="N263" s="124">
        <f t="shared" si="144"/>
        <v>30294.729589995935</v>
      </c>
      <c r="O263" s="124">
        <f t="shared" si="144"/>
        <v>25750.520151496548</v>
      </c>
      <c r="P263" s="124">
        <f t="shared" si="144"/>
        <v>21887.942128772072</v>
      </c>
      <c r="Q263" s="124">
        <f t="shared" si="144"/>
        <v>18604.750809456262</v>
      </c>
      <c r="R263" s="124">
        <f t="shared" si="144"/>
        <v>15814.03818803781</v>
      </c>
      <c r="S263" s="124">
        <f t="shared" si="144"/>
        <v>13441.932459832145</v>
      </c>
      <c r="T263" s="124">
        <f t="shared" si="144"/>
        <v>11425.64259085732</v>
      </c>
      <c r="U263" s="124">
        <f t="shared" si="144"/>
        <v>9711.7962022287265</v>
      </c>
      <c r="V263" s="124">
        <f t="shared" si="144"/>
        <v>8255.0267718944124</v>
      </c>
      <c r="W263" s="124">
        <f t="shared" si="144"/>
        <v>7016.7727561102556</v>
      </c>
      <c r="X263" s="124">
        <f t="shared" si="144"/>
        <v>5964.2568426937169</v>
      </c>
      <c r="Y263" s="124">
        <f t="shared" si="144"/>
        <v>5069.6183162896596</v>
      </c>
      <c r="Z263" s="124">
        <f t="shared" si="144"/>
        <v>4309.1755688462081</v>
      </c>
      <c r="AA263" s="124">
        <f t="shared" si="144"/>
        <v>3662.7992335192794</v>
      </c>
      <c r="AB263" s="124">
        <f t="shared" si="144"/>
        <v>3113.3793484913863</v>
      </c>
      <c r="AC263" s="124">
        <f t="shared" si="144"/>
        <v>2646.3724462176788</v>
      </c>
      <c r="AD263" s="124">
        <f t="shared" si="144"/>
        <v>2249.4165792850276</v>
      </c>
      <c r="AE263" s="124">
        <f t="shared" si="144"/>
        <v>1912.0040923922727</v>
      </c>
      <c r="AF263" s="124">
        <f t="shared" si="144"/>
        <v>1625.2034785334324</v>
      </c>
      <c r="AG263" s="124">
        <f t="shared" si="144"/>
        <v>1381.4229567534171</v>
      </c>
      <c r="AH263" s="124">
        <f t="shared" si="144"/>
        <v>1174.2095132404047</v>
      </c>
      <c r="AI263" s="124">
        <f t="shared" si="144"/>
        <v>998.07808625434382</v>
      </c>
      <c r="AJ263" s="124">
        <f t="shared" si="144"/>
        <v>69884.035963081726</v>
      </c>
      <c r="AK263" s="124">
        <f t="shared" si="144"/>
        <v>41930.421577849047</v>
      </c>
      <c r="AL263" s="124">
        <f t="shared" si="144"/>
        <v>35640.858341171683</v>
      </c>
      <c r="AM263" s="124">
        <f t="shared" si="144"/>
        <v>30294.729589995935</v>
      </c>
      <c r="AN263" s="124">
        <f t="shared" si="144"/>
        <v>25750.520151496548</v>
      </c>
      <c r="AO263" s="124">
        <f t="shared" si="144"/>
        <v>21887.942128772072</v>
      </c>
      <c r="AP263" s="124">
        <f t="shared" si="144"/>
        <v>18604.750809456262</v>
      </c>
      <c r="AQ263" s="124">
        <f t="shared" si="144"/>
        <v>15814.03818803781</v>
      </c>
      <c r="AR263" s="124">
        <f t="shared" si="144"/>
        <v>13441.932459832145</v>
      </c>
      <c r="AS263" s="124">
        <f t="shared" si="144"/>
        <v>11425.64259085732</v>
      </c>
      <c r="AT263" s="124">
        <f t="shared" si="144"/>
        <v>9711.7962022287265</v>
      </c>
      <c r="AU263" s="124">
        <f t="shared" si="144"/>
        <v>8255.0267718944124</v>
      </c>
      <c r="AV263" s="124">
        <f t="shared" si="144"/>
        <v>7016.7727561102556</v>
      </c>
    </row>
    <row r="264" spans="2:50" ht="12.95" customHeight="1" x14ac:dyDescent="0.2">
      <c r="B264" s="14"/>
      <c r="C264" s="253" t="s">
        <v>861</v>
      </c>
      <c r="F264" s="253" t="s">
        <v>493</v>
      </c>
      <c r="G264" s="253" t="s">
        <v>432</v>
      </c>
      <c r="H264" s="277"/>
      <c r="I264" s="147"/>
      <c r="J264" s="124"/>
      <c r="K264" s="124"/>
      <c r="L264" s="124">
        <f t="shared" ref="L264:AV264" si="145">IF(L137&gt;0,K263,0)</f>
        <v>69884.035963081726</v>
      </c>
      <c r="M264" s="124">
        <f t="shared" si="145"/>
        <v>41930.421577849047</v>
      </c>
      <c r="N264" s="124">
        <f t="shared" si="145"/>
        <v>35640.858341171683</v>
      </c>
      <c r="O264" s="124">
        <f t="shared" si="145"/>
        <v>30294.729589995935</v>
      </c>
      <c r="P264" s="124">
        <f t="shared" si="145"/>
        <v>25750.520151496548</v>
      </c>
      <c r="Q264" s="124">
        <f t="shared" si="145"/>
        <v>21887.942128772072</v>
      </c>
      <c r="R264" s="124">
        <f t="shared" si="145"/>
        <v>18604.750809456262</v>
      </c>
      <c r="S264" s="124">
        <f t="shared" si="145"/>
        <v>15814.03818803781</v>
      </c>
      <c r="T264" s="124">
        <f t="shared" si="145"/>
        <v>13441.932459832145</v>
      </c>
      <c r="U264" s="124">
        <f t="shared" si="145"/>
        <v>11425.64259085732</v>
      </c>
      <c r="V264" s="124">
        <f t="shared" si="145"/>
        <v>9711.7962022287265</v>
      </c>
      <c r="W264" s="124">
        <f t="shared" si="145"/>
        <v>8255.0267718944124</v>
      </c>
      <c r="X264" s="124">
        <f t="shared" si="145"/>
        <v>7016.7727561102556</v>
      </c>
      <c r="Y264" s="124">
        <f t="shared" si="145"/>
        <v>5964.2568426937169</v>
      </c>
      <c r="Z264" s="124">
        <f t="shared" si="145"/>
        <v>5069.6183162896596</v>
      </c>
      <c r="AA264" s="124">
        <f t="shared" si="145"/>
        <v>4309.1755688462081</v>
      </c>
      <c r="AB264" s="124">
        <f t="shared" si="145"/>
        <v>3662.7992335192794</v>
      </c>
      <c r="AC264" s="124">
        <f t="shared" si="145"/>
        <v>3113.3793484913863</v>
      </c>
      <c r="AD264" s="124">
        <f t="shared" si="145"/>
        <v>2646.3724462176788</v>
      </c>
      <c r="AE264" s="124">
        <f t="shared" si="145"/>
        <v>2249.4165792850276</v>
      </c>
      <c r="AF264" s="124">
        <f t="shared" si="145"/>
        <v>1912.0040923922727</v>
      </c>
      <c r="AG264" s="124">
        <f t="shared" si="145"/>
        <v>1625.2034785334324</v>
      </c>
      <c r="AH264" s="124">
        <f t="shared" si="145"/>
        <v>1381.4229567534171</v>
      </c>
      <c r="AI264" s="124">
        <f t="shared" si="145"/>
        <v>1174.2095132404047</v>
      </c>
      <c r="AJ264" s="124">
        <f t="shared" si="145"/>
        <v>998.07808625434382</v>
      </c>
      <c r="AK264" s="124">
        <f t="shared" si="145"/>
        <v>69884.035963081726</v>
      </c>
      <c r="AL264" s="124">
        <f t="shared" si="145"/>
        <v>41930.421577849047</v>
      </c>
      <c r="AM264" s="124">
        <f t="shared" si="145"/>
        <v>35640.858341171683</v>
      </c>
      <c r="AN264" s="124">
        <f t="shared" si="145"/>
        <v>30294.729589995935</v>
      </c>
      <c r="AO264" s="124">
        <f t="shared" si="145"/>
        <v>25750.520151496548</v>
      </c>
      <c r="AP264" s="124">
        <f t="shared" si="145"/>
        <v>21887.942128772072</v>
      </c>
      <c r="AQ264" s="124">
        <f t="shared" si="145"/>
        <v>18604.750809456262</v>
      </c>
      <c r="AR264" s="124">
        <f t="shared" si="145"/>
        <v>15814.03818803781</v>
      </c>
      <c r="AS264" s="124">
        <f t="shared" si="145"/>
        <v>13441.932459832145</v>
      </c>
      <c r="AT264" s="124">
        <f t="shared" si="145"/>
        <v>11425.64259085732</v>
      </c>
      <c r="AU264" s="124">
        <f t="shared" si="145"/>
        <v>9711.7962022287265</v>
      </c>
      <c r="AV264" s="124">
        <f t="shared" si="145"/>
        <v>8255.0267718944124</v>
      </c>
    </row>
    <row r="265" spans="2:50" ht="12.95" customHeight="1" x14ac:dyDescent="0.2">
      <c r="B265" s="14"/>
      <c r="C265" s="253" t="s">
        <v>862</v>
      </c>
      <c r="F265" s="253" t="s">
        <v>493</v>
      </c>
      <c r="G265" s="253" t="s">
        <v>432</v>
      </c>
      <c r="H265" s="277"/>
      <c r="I265" s="147"/>
      <c r="J265" s="124"/>
      <c r="K265" s="124"/>
      <c r="L265" s="124"/>
      <c r="M265" s="124">
        <f t="shared" ref="M265:AV265" si="146">IF(M138&gt;0,L264,0)</f>
        <v>69884.035963081726</v>
      </c>
      <c r="N265" s="124">
        <f t="shared" si="146"/>
        <v>41930.421577849047</v>
      </c>
      <c r="O265" s="124">
        <f t="shared" si="146"/>
        <v>35640.858341171683</v>
      </c>
      <c r="P265" s="124">
        <f t="shared" si="146"/>
        <v>30294.729589995935</v>
      </c>
      <c r="Q265" s="124">
        <f t="shared" si="146"/>
        <v>25750.520151496548</v>
      </c>
      <c r="R265" s="124">
        <f t="shared" si="146"/>
        <v>21887.942128772072</v>
      </c>
      <c r="S265" s="124">
        <f t="shared" si="146"/>
        <v>18604.750809456262</v>
      </c>
      <c r="T265" s="124">
        <f t="shared" si="146"/>
        <v>15814.03818803781</v>
      </c>
      <c r="U265" s="124">
        <f t="shared" si="146"/>
        <v>13441.932459832145</v>
      </c>
      <c r="V265" s="124">
        <f t="shared" si="146"/>
        <v>11425.64259085732</v>
      </c>
      <c r="W265" s="124">
        <f t="shared" si="146"/>
        <v>9711.7962022287265</v>
      </c>
      <c r="X265" s="124">
        <f t="shared" si="146"/>
        <v>8255.0267718944124</v>
      </c>
      <c r="Y265" s="124">
        <f t="shared" si="146"/>
        <v>7016.7727561102556</v>
      </c>
      <c r="Z265" s="124">
        <f t="shared" si="146"/>
        <v>5964.2568426937169</v>
      </c>
      <c r="AA265" s="124">
        <f t="shared" si="146"/>
        <v>5069.6183162896596</v>
      </c>
      <c r="AB265" s="124">
        <f t="shared" si="146"/>
        <v>4309.1755688462081</v>
      </c>
      <c r="AC265" s="124">
        <f t="shared" si="146"/>
        <v>3662.7992335192794</v>
      </c>
      <c r="AD265" s="124">
        <f t="shared" si="146"/>
        <v>3113.3793484913863</v>
      </c>
      <c r="AE265" s="124">
        <f t="shared" si="146"/>
        <v>2646.3724462176788</v>
      </c>
      <c r="AF265" s="124">
        <f t="shared" si="146"/>
        <v>2249.4165792850276</v>
      </c>
      <c r="AG265" s="124">
        <f t="shared" si="146"/>
        <v>1912.0040923922727</v>
      </c>
      <c r="AH265" s="124">
        <f t="shared" si="146"/>
        <v>1625.2034785334324</v>
      </c>
      <c r="AI265" s="124">
        <f t="shared" si="146"/>
        <v>1381.4229567534171</v>
      </c>
      <c r="AJ265" s="124">
        <f t="shared" si="146"/>
        <v>1174.2095132404047</v>
      </c>
      <c r="AK265" s="124">
        <f t="shared" si="146"/>
        <v>998.07808625434382</v>
      </c>
      <c r="AL265" s="124">
        <f t="shared" si="146"/>
        <v>69884.035963081726</v>
      </c>
      <c r="AM265" s="124">
        <f t="shared" si="146"/>
        <v>41930.421577849047</v>
      </c>
      <c r="AN265" s="124">
        <f t="shared" si="146"/>
        <v>35640.858341171683</v>
      </c>
      <c r="AO265" s="124">
        <f t="shared" si="146"/>
        <v>30294.729589995935</v>
      </c>
      <c r="AP265" s="124">
        <f t="shared" si="146"/>
        <v>25750.520151496548</v>
      </c>
      <c r="AQ265" s="124">
        <f t="shared" si="146"/>
        <v>21887.942128772072</v>
      </c>
      <c r="AR265" s="124">
        <f t="shared" si="146"/>
        <v>18604.750809456262</v>
      </c>
      <c r="AS265" s="124">
        <f t="shared" si="146"/>
        <v>15814.03818803781</v>
      </c>
      <c r="AT265" s="124">
        <f t="shared" si="146"/>
        <v>13441.932459832145</v>
      </c>
      <c r="AU265" s="124">
        <f t="shared" si="146"/>
        <v>11425.64259085732</v>
      </c>
      <c r="AV265" s="124">
        <f t="shared" si="146"/>
        <v>9711.7962022287265</v>
      </c>
    </row>
    <row r="266" spans="2:50" ht="12.95" customHeight="1" x14ac:dyDescent="0.2">
      <c r="B266" s="14"/>
      <c r="C266" s="253" t="s">
        <v>863</v>
      </c>
      <c r="F266" s="253" t="s">
        <v>493</v>
      </c>
      <c r="G266" s="253" t="s">
        <v>432</v>
      </c>
      <c r="H266" s="277"/>
      <c r="I266" s="147"/>
      <c r="J266" s="124"/>
      <c r="K266" s="124"/>
      <c r="L266" s="124"/>
      <c r="M266" s="124"/>
      <c r="N266" s="124">
        <f t="shared" ref="N266:AV266" si="147">IF(N139&gt;0,M265,0)</f>
        <v>69884.035963081726</v>
      </c>
      <c r="O266" s="124">
        <f t="shared" si="147"/>
        <v>41930.421577849047</v>
      </c>
      <c r="P266" s="124">
        <f t="shared" si="147"/>
        <v>35640.858341171683</v>
      </c>
      <c r="Q266" s="124">
        <f t="shared" si="147"/>
        <v>30294.729589995935</v>
      </c>
      <c r="R266" s="124">
        <f t="shared" si="147"/>
        <v>25750.520151496548</v>
      </c>
      <c r="S266" s="124">
        <f t="shared" si="147"/>
        <v>21887.942128772072</v>
      </c>
      <c r="T266" s="124">
        <f t="shared" si="147"/>
        <v>18604.750809456262</v>
      </c>
      <c r="U266" s="124">
        <f t="shared" si="147"/>
        <v>15814.03818803781</v>
      </c>
      <c r="V266" s="124">
        <f t="shared" si="147"/>
        <v>13441.932459832145</v>
      </c>
      <c r="W266" s="124">
        <f t="shared" si="147"/>
        <v>11425.64259085732</v>
      </c>
      <c r="X266" s="124">
        <f t="shared" si="147"/>
        <v>9711.7962022287265</v>
      </c>
      <c r="Y266" s="124">
        <f t="shared" si="147"/>
        <v>8255.0267718944124</v>
      </c>
      <c r="Z266" s="124">
        <f t="shared" si="147"/>
        <v>7016.7727561102556</v>
      </c>
      <c r="AA266" s="124">
        <f t="shared" si="147"/>
        <v>5964.2568426937169</v>
      </c>
      <c r="AB266" s="124">
        <f t="shared" si="147"/>
        <v>5069.6183162896596</v>
      </c>
      <c r="AC266" s="124">
        <f t="shared" si="147"/>
        <v>4309.1755688462081</v>
      </c>
      <c r="AD266" s="124">
        <f t="shared" si="147"/>
        <v>3662.7992335192794</v>
      </c>
      <c r="AE266" s="124">
        <f t="shared" si="147"/>
        <v>3113.3793484913863</v>
      </c>
      <c r="AF266" s="124">
        <f t="shared" si="147"/>
        <v>2646.3724462176788</v>
      </c>
      <c r="AG266" s="124">
        <f t="shared" si="147"/>
        <v>2249.4165792850276</v>
      </c>
      <c r="AH266" s="124">
        <f t="shared" si="147"/>
        <v>1912.0040923922727</v>
      </c>
      <c r="AI266" s="124">
        <f t="shared" si="147"/>
        <v>1625.2034785334324</v>
      </c>
      <c r="AJ266" s="124">
        <f t="shared" si="147"/>
        <v>1381.4229567534171</v>
      </c>
      <c r="AK266" s="124">
        <f t="shared" si="147"/>
        <v>1174.2095132404047</v>
      </c>
      <c r="AL266" s="124">
        <f t="shared" si="147"/>
        <v>998.07808625434382</v>
      </c>
      <c r="AM266" s="124">
        <f t="shared" si="147"/>
        <v>69884.035963081726</v>
      </c>
      <c r="AN266" s="124">
        <f t="shared" si="147"/>
        <v>41930.421577849047</v>
      </c>
      <c r="AO266" s="124">
        <f t="shared" si="147"/>
        <v>35640.858341171683</v>
      </c>
      <c r="AP266" s="124">
        <f t="shared" si="147"/>
        <v>30294.729589995935</v>
      </c>
      <c r="AQ266" s="124">
        <f t="shared" si="147"/>
        <v>25750.520151496548</v>
      </c>
      <c r="AR266" s="124">
        <f t="shared" si="147"/>
        <v>21887.942128772072</v>
      </c>
      <c r="AS266" s="124">
        <f t="shared" si="147"/>
        <v>18604.750809456262</v>
      </c>
      <c r="AT266" s="124">
        <f t="shared" si="147"/>
        <v>15814.03818803781</v>
      </c>
      <c r="AU266" s="124">
        <f t="shared" si="147"/>
        <v>13441.932459832145</v>
      </c>
      <c r="AV266" s="124">
        <f t="shared" si="147"/>
        <v>11425.64259085732</v>
      </c>
    </row>
    <row r="267" spans="2:50" ht="12.95" customHeight="1" x14ac:dyDescent="0.2">
      <c r="B267" s="14"/>
      <c r="C267" s="253" t="s">
        <v>864</v>
      </c>
      <c r="F267" s="253" t="s">
        <v>493</v>
      </c>
      <c r="G267" s="253" t="s">
        <v>432</v>
      </c>
      <c r="H267" s="277"/>
      <c r="I267" s="147"/>
      <c r="J267" s="124"/>
      <c r="K267" s="124"/>
      <c r="L267" s="124"/>
      <c r="M267" s="124"/>
      <c r="N267" s="124"/>
      <c r="O267" s="124">
        <f t="shared" ref="O267:AV267" si="148">IF(O140&gt;0,N266,0)</f>
        <v>69884.035963081726</v>
      </c>
      <c r="P267" s="124">
        <f t="shared" si="148"/>
        <v>41930.421577849047</v>
      </c>
      <c r="Q267" s="124">
        <f t="shared" si="148"/>
        <v>35640.858341171683</v>
      </c>
      <c r="R267" s="124">
        <f t="shared" si="148"/>
        <v>30294.729589995935</v>
      </c>
      <c r="S267" s="124">
        <f t="shared" si="148"/>
        <v>25750.520151496548</v>
      </c>
      <c r="T267" s="124">
        <f t="shared" si="148"/>
        <v>21887.942128772072</v>
      </c>
      <c r="U267" s="124">
        <f t="shared" si="148"/>
        <v>18604.750809456262</v>
      </c>
      <c r="V267" s="124">
        <f t="shared" si="148"/>
        <v>15814.03818803781</v>
      </c>
      <c r="W267" s="124">
        <f t="shared" si="148"/>
        <v>13441.932459832145</v>
      </c>
      <c r="X267" s="124">
        <f t="shared" si="148"/>
        <v>11425.64259085732</v>
      </c>
      <c r="Y267" s="124">
        <f t="shared" si="148"/>
        <v>9711.7962022287265</v>
      </c>
      <c r="Z267" s="124">
        <f t="shared" si="148"/>
        <v>8255.0267718944124</v>
      </c>
      <c r="AA267" s="124">
        <f t="shared" si="148"/>
        <v>7016.7727561102556</v>
      </c>
      <c r="AB267" s="124">
        <f t="shared" si="148"/>
        <v>5964.2568426937169</v>
      </c>
      <c r="AC267" s="124">
        <f t="shared" si="148"/>
        <v>5069.6183162896596</v>
      </c>
      <c r="AD267" s="124">
        <f t="shared" si="148"/>
        <v>4309.1755688462081</v>
      </c>
      <c r="AE267" s="124">
        <f t="shared" si="148"/>
        <v>3662.7992335192794</v>
      </c>
      <c r="AF267" s="124">
        <f t="shared" si="148"/>
        <v>3113.3793484913863</v>
      </c>
      <c r="AG267" s="124">
        <f t="shared" si="148"/>
        <v>2646.3724462176788</v>
      </c>
      <c r="AH267" s="124">
        <f t="shared" si="148"/>
        <v>2249.4165792850276</v>
      </c>
      <c r="AI267" s="124">
        <f t="shared" si="148"/>
        <v>1912.0040923922727</v>
      </c>
      <c r="AJ267" s="124">
        <f t="shared" si="148"/>
        <v>1625.2034785334324</v>
      </c>
      <c r="AK267" s="124">
        <f t="shared" si="148"/>
        <v>1381.4229567534171</v>
      </c>
      <c r="AL267" s="124">
        <f t="shared" si="148"/>
        <v>1174.2095132404047</v>
      </c>
      <c r="AM267" s="124">
        <f t="shared" si="148"/>
        <v>998.07808625434382</v>
      </c>
      <c r="AN267" s="124">
        <f t="shared" si="148"/>
        <v>69884.035963081726</v>
      </c>
      <c r="AO267" s="124">
        <f t="shared" si="148"/>
        <v>41930.421577849047</v>
      </c>
      <c r="AP267" s="124">
        <f t="shared" si="148"/>
        <v>35640.858341171683</v>
      </c>
      <c r="AQ267" s="124">
        <f t="shared" si="148"/>
        <v>30294.729589995935</v>
      </c>
      <c r="AR267" s="124">
        <f t="shared" si="148"/>
        <v>25750.520151496548</v>
      </c>
      <c r="AS267" s="124">
        <f t="shared" si="148"/>
        <v>21887.942128772072</v>
      </c>
      <c r="AT267" s="124">
        <f t="shared" si="148"/>
        <v>18604.750809456262</v>
      </c>
      <c r="AU267" s="124">
        <f t="shared" si="148"/>
        <v>15814.03818803781</v>
      </c>
      <c r="AV267" s="124">
        <f t="shared" si="148"/>
        <v>13441.932459832145</v>
      </c>
    </row>
    <row r="268" spans="2:50" ht="12.95" customHeight="1" x14ac:dyDescent="0.2">
      <c r="B268" s="14"/>
      <c r="C268" s="253" t="s">
        <v>865</v>
      </c>
      <c r="F268" s="253" t="s">
        <v>493</v>
      </c>
      <c r="G268" s="253" t="s">
        <v>432</v>
      </c>
      <c r="H268" s="277"/>
      <c r="I268" s="147"/>
      <c r="J268" s="124"/>
      <c r="K268" s="124"/>
      <c r="L268" s="124"/>
      <c r="M268" s="124"/>
      <c r="N268" s="124"/>
      <c r="O268" s="124"/>
      <c r="P268" s="124">
        <f t="shared" ref="P268:AV268" si="149">IF(P141&gt;0,O267,0)</f>
        <v>69884.035963081726</v>
      </c>
      <c r="Q268" s="124">
        <f t="shared" si="149"/>
        <v>41930.421577849047</v>
      </c>
      <c r="R268" s="124">
        <f t="shared" si="149"/>
        <v>35640.858341171683</v>
      </c>
      <c r="S268" s="124">
        <f t="shared" si="149"/>
        <v>30294.729589995935</v>
      </c>
      <c r="T268" s="124">
        <f t="shared" si="149"/>
        <v>25750.520151496548</v>
      </c>
      <c r="U268" s="124">
        <f t="shared" si="149"/>
        <v>21887.942128772072</v>
      </c>
      <c r="V268" s="124">
        <f t="shared" si="149"/>
        <v>18604.750809456262</v>
      </c>
      <c r="W268" s="124">
        <f t="shared" si="149"/>
        <v>15814.03818803781</v>
      </c>
      <c r="X268" s="124">
        <f t="shared" si="149"/>
        <v>13441.932459832145</v>
      </c>
      <c r="Y268" s="124">
        <f t="shared" si="149"/>
        <v>11425.64259085732</v>
      </c>
      <c r="Z268" s="124">
        <f t="shared" si="149"/>
        <v>9711.7962022287265</v>
      </c>
      <c r="AA268" s="124">
        <f t="shared" si="149"/>
        <v>8255.0267718944124</v>
      </c>
      <c r="AB268" s="124">
        <f t="shared" si="149"/>
        <v>7016.7727561102556</v>
      </c>
      <c r="AC268" s="124">
        <f t="shared" si="149"/>
        <v>5964.2568426937169</v>
      </c>
      <c r="AD268" s="124">
        <f t="shared" si="149"/>
        <v>5069.6183162896596</v>
      </c>
      <c r="AE268" s="124">
        <f t="shared" si="149"/>
        <v>4309.1755688462081</v>
      </c>
      <c r="AF268" s="124">
        <f t="shared" si="149"/>
        <v>3662.7992335192794</v>
      </c>
      <c r="AG268" s="124">
        <f t="shared" si="149"/>
        <v>3113.3793484913863</v>
      </c>
      <c r="AH268" s="124">
        <f t="shared" si="149"/>
        <v>2646.3724462176788</v>
      </c>
      <c r="AI268" s="124">
        <f t="shared" si="149"/>
        <v>2249.4165792850276</v>
      </c>
      <c r="AJ268" s="124">
        <f t="shared" si="149"/>
        <v>1912.0040923922727</v>
      </c>
      <c r="AK268" s="124">
        <f t="shared" si="149"/>
        <v>1625.2034785334324</v>
      </c>
      <c r="AL268" s="124">
        <f t="shared" si="149"/>
        <v>1381.4229567534171</v>
      </c>
      <c r="AM268" s="124">
        <f t="shared" si="149"/>
        <v>1174.2095132404047</v>
      </c>
      <c r="AN268" s="124">
        <f t="shared" si="149"/>
        <v>998.07808625434382</v>
      </c>
      <c r="AO268" s="124">
        <f t="shared" si="149"/>
        <v>69884.035963081726</v>
      </c>
      <c r="AP268" s="124">
        <f t="shared" si="149"/>
        <v>41930.421577849047</v>
      </c>
      <c r="AQ268" s="124">
        <f t="shared" si="149"/>
        <v>35640.858341171683</v>
      </c>
      <c r="AR268" s="124">
        <f t="shared" si="149"/>
        <v>30294.729589995935</v>
      </c>
      <c r="AS268" s="124">
        <f t="shared" si="149"/>
        <v>25750.520151496548</v>
      </c>
      <c r="AT268" s="124">
        <f t="shared" si="149"/>
        <v>21887.942128772072</v>
      </c>
      <c r="AU268" s="124">
        <f t="shared" si="149"/>
        <v>18604.750809456262</v>
      </c>
      <c r="AV268" s="124">
        <f t="shared" si="149"/>
        <v>15814.03818803781</v>
      </c>
    </row>
    <row r="269" spans="2:50" ht="12.95" customHeight="1" x14ac:dyDescent="0.2">
      <c r="B269" s="14"/>
      <c r="C269" s="253" t="s">
        <v>866</v>
      </c>
      <c r="F269" s="253" t="s">
        <v>493</v>
      </c>
      <c r="G269" s="253" t="s">
        <v>432</v>
      </c>
      <c r="H269" s="277"/>
      <c r="I269" s="147"/>
      <c r="J269" s="124"/>
      <c r="K269" s="124"/>
      <c r="L269" s="124"/>
      <c r="M269" s="124"/>
      <c r="N269" s="124"/>
      <c r="O269" s="124"/>
      <c r="P269" s="124"/>
      <c r="Q269" s="124">
        <f t="shared" ref="Q269:AV269" si="150">IF(Q142&gt;0,P268,0)</f>
        <v>69884.035963081726</v>
      </c>
      <c r="R269" s="124">
        <f t="shared" si="150"/>
        <v>41930.421577849047</v>
      </c>
      <c r="S269" s="124">
        <f t="shared" si="150"/>
        <v>35640.858341171683</v>
      </c>
      <c r="T269" s="124">
        <f t="shared" si="150"/>
        <v>30294.729589995935</v>
      </c>
      <c r="U269" s="124">
        <f t="shared" si="150"/>
        <v>25750.520151496548</v>
      </c>
      <c r="V269" s="124">
        <f t="shared" si="150"/>
        <v>21887.942128772072</v>
      </c>
      <c r="W269" s="124">
        <f t="shared" si="150"/>
        <v>18604.750809456262</v>
      </c>
      <c r="X269" s="124">
        <f t="shared" si="150"/>
        <v>15814.03818803781</v>
      </c>
      <c r="Y269" s="124">
        <f t="shared" si="150"/>
        <v>13441.932459832145</v>
      </c>
      <c r="Z269" s="124">
        <f t="shared" si="150"/>
        <v>11425.64259085732</v>
      </c>
      <c r="AA269" s="124">
        <f t="shared" si="150"/>
        <v>9711.7962022287265</v>
      </c>
      <c r="AB269" s="124">
        <f t="shared" si="150"/>
        <v>8255.0267718944124</v>
      </c>
      <c r="AC269" s="124">
        <f t="shared" si="150"/>
        <v>7016.7727561102556</v>
      </c>
      <c r="AD269" s="124">
        <f t="shared" si="150"/>
        <v>5964.2568426937169</v>
      </c>
      <c r="AE269" s="124">
        <f t="shared" si="150"/>
        <v>5069.6183162896596</v>
      </c>
      <c r="AF269" s="124">
        <f t="shared" si="150"/>
        <v>4309.1755688462081</v>
      </c>
      <c r="AG269" s="124">
        <f t="shared" si="150"/>
        <v>3662.7992335192794</v>
      </c>
      <c r="AH269" s="124">
        <f t="shared" si="150"/>
        <v>3113.3793484913863</v>
      </c>
      <c r="AI269" s="124">
        <f t="shared" si="150"/>
        <v>2646.3724462176788</v>
      </c>
      <c r="AJ269" s="124">
        <f t="shared" si="150"/>
        <v>2249.4165792850276</v>
      </c>
      <c r="AK269" s="124">
        <f t="shared" si="150"/>
        <v>1912.0040923922727</v>
      </c>
      <c r="AL269" s="124">
        <f t="shared" si="150"/>
        <v>1625.2034785334324</v>
      </c>
      <c r="AM269" s="124">
        <f t="shared" si="150"/>
        <v>1381.4229567534171</v>
      </c>
      <c r="AN269" s="124">
        <f t="shared" si="150"/>
        <v>1174.2095132404047</v>
      </c>
      <c r="AO269" s="124">
        <f t="shared" si="150"/>
        <v>998.07808625434382</v>
      </c>
      <c r="AP269" s="124">
        <f t="shared" si="150"/>
        <v>69884.035963081726</v>
      </c>
      <c r="AQ269" s="124">
        <f t="shared" si="150"/>
        <v>41930.421577849047</v>
      </c>
      <c r="AR269" s="124">
        <f t="shared" si="150"/>
        <v>35640.858341171683</v>
      </c>
      <c r="AS269" s="124">
        <f t="shared" si="150"/>
        <v>30294.729589995935</v>
      </c>
      <c r="AT269" s="124">
        <f t="shared" si="150"/>
        <v>25750.520151496548</v>
      </c>
      <c r="AU269" s="124">
        <f t="shared" si="150"/>
        <v>21887.942128772072</v>
      </c>
      <c r="AV269" s="124">
        <f t="shared" si="150"/>
        <v>18604.750809456262</v>
      </c>
    </row>
    <row r="270" spans="2:50" ht="12.95" customHeight="1" x14ac:dyDescent="0.2">
      <c r="B270" s="14"/>
      <c r="C270" s="253" t="s">
        <v>867</v>
      </c>
      <c r="F270" s="253" t="s">
        <v>493</v>
      </c>
      <c r="G270" s="253" t="s">
        <v>432</v>
      </c>
      <c r="H270" s="277"/>
      <c r="I270" s="147"/>
      <c r="J270" s="124"/>
      <c r="K270" s="124"/>
      <c r="L270" s="124"/>
      <c r="M270" s="124"/>
      <c r="N270" s="124"/>
      <c r="O270" s="124"/>
      <c r="P270" s="124"/>
      <c r="Q270" s="124"/>
      <c r="R270" s="124">
        <f t="shared" ref="R270:AV270" si="151">IF(R143&gt;0,Q269,0)</f>
        <v>69884.035963081726</v>
      </c>
      <c r="S270" s="124">
        <f t="shared" si="151"/>
        <v>41930.421577849047</v>
      </c>
      <c r="T270" s="124">
        <f t="shared" si="151"/>
        <v>35640.858341171683</v>
      </c>
      <c r="U270" s="124">
        <f t="shared" si="151"/>
        <v>30294.729589995935</v>
      </c>
      <c r="V270" s="124">
        <f t="shared" si="151"/>
        <v>25750.520151496548</v>
      </c>
      <c r="W270" s="124">
        <f t="shared" si="151"/>
        <v>21887.942128772072</v>
      </c>
      <c r="X270" s="124">
        <f t="shared" si="151"/>
        <v>18604.750809456262</v>
      </c>
      <c r="Y270" s="124">
        <f t="shared" si="151"/>
        <v>15814.03818803781</v>
      </c>
      <c r="Z270" s="124">
        <f t="shared" si="151"/>
        <v>13441.932459832145</v>
      </c>
      <c r="AA270" s="124">
        <f t="shared" si="151"/>
        <v>11425.64259085732</v>
      </c>
      <c r="AB270" s="124">
        <f t="shared" si="151"/>
        <v>9711.7962022287265</v>
      </c>
      <c r="AC270" s="124">
        <f t="shared" si="151"/>
        <v>8255.0267718944124</v>
      </c>
      <c r="AD270" s="124">
        <f t="shared" si="151"/>
        <v>7016.7727561102556</v>
      </c>
      <c r="AE270" s="124">
        <f t="shared" si="151"/>
        <v>5964.2568426937169</v>
      </c>
      <c r="AF270" s="124">
        <f t="shared" si="151"/>
        <v>5069.6183162896596</v>
      </c>
      <c r="AG270" s="124">
        <f t="shared" si="151"/>
        <v>4309.1755688462081</v>
      </c>
      <c r="AH270" s="124">
        <f t="shared" si="151"/>
        <v>3662.7992335192794</v>
      </c>
      <c r="AI270" s="124">
        <f t="shared" si="151"/>
        <v>3113.3793484913863</v>
      </c>
      <c r="AJ270" s="124">
        <f t="shared" si="151"/>
        <v>2646.3724462176788</v>
      </c>
      <c r="AK270" s="124">
        <f t="shared" si="151"/>
        <v>2249.4165792850276</v>
      </c>
      <c r="AL270" s="124">
        <f t="shared" si="151"/>
        <v>1912.0040923922727</v>
      </c>
      <c r="AM270" s="124">
        <f t="shared" si="151"/>
        <v>1625.2034785334324</v>
      </c>
      <c r="AN270" s="124">
        <f t="shared" si="151"/>
        <v>1381.4229567534171</v>
      </c>
      <c r="AO270" s="124">
        <f t="shared" si="151"/>
        <v>1174.2095132404047</v>
      </c>
      <c r="AP270" s="124">
        <f t="shared" si="151"/>
        <v>998.07808625434382</v>
      </c>
      <c r="AQ270" s="124">
        <f t="shared" si="151"/>
        <v>69884.035963081726</v>
      </c>
      <c r="AR270" s="124">
        <f t="shared" si="151"/>
        <v>41930.421577849047</v>
      </c>
      <c r="AS270" s="124">
        <f t="shared" si="151"/>
        <v>35640.858341171683</v>
      </c>
      <c r="AT270" s="124">
        <f t="shared" si="151"/>
        <v>30294.729589995935</v>
      </c>
      <c r="AU270" s="124">
        <f t="shared" si="151"/>
        <v>25750.520151496548</v>
      </c>
      <c r="AV270" s="124">
        <f t="shared" si="151"/>
        <v>21887.942128772072</v>
      </c>
    </row>
    <row r="271" spans="2:50" ht="12.95" customHeight="1" x14ac:dyDescent="0.2">
      <c r="B271" s="14"/>
      <c r="C271" s="253" t="s">
        <v>868</v>
      </c>
      <c r="F271" s="253" t="s">
        <v>493</v>
      </c>
      <c r="G271" s="253" t="s">
        <v>432</v>
      </c>
      <c r="H271" s="277"/>
      <c r="I271" s="147"/>
      <c r="J271" s="124"/>
      <c r="K271" s="124"/>
      <c r="L271" s="124"/>
      <c r="M271" s="124"/>
      <c r="N271" s="124"/>
      <c r="O271" s="124"/>
      <c r="P271" s="124"/>
      <c r="Q271" s="124"/>
      <c r="R271" s="124"/>
      <c r="S271" s="124">
        <f t="shared" ref="S271:AV271" si="152">IF(S144&gt;0,R270,0)</f>
        <v>69884.035963081726</v>
      </c>
      <c r="T271" s="124">
        <f t="shared" si="152"/>
        <v>41930.421577849047</v>
      </c>
      <c r="U271" s="124">
        <f t="shared" si="152"/>
        <v>35640.858341171683</v>
      </c>
      <c r="V271" s="124">
        <f t="shared" si="152"/>
        <v>30294.729589995935</v>
      </c>
      <c r="W271" s="124">
        <f t="shared" si="152"/>
        <v>25750.520151496548</v>
      </c>
      <c r="X271" s="124">
        <f t="shared" si="152"/>
        <v>21887.942128772072</v>
      </c>
      <c r="Y271" s="124">
        <f t="shared" si="152"/>
        <v>18604.750809456262</v>
      </c>
      <c r="Z271" s="124">
        <f t="shared" si="152"/>
        <v>15814.03818803781</v>
      </c>
      <c r="AA271" s="124">
        <f t="shared" si="152"/>
        <v>13441.932459832145</v>
      </c>
      <c r="AB271" s="124">
        <f t="shared" si="152"/>
        <v>11425.64259085732</v>
      </c>
      <c r="AC271" s="124">
        <f t="shared" si="152"/>
        <v>9711.7962022287265</v>
      </c>
      <c r="AD271" s="124">
        <f t="shared" si="152"/>
        <v>8255.0267718944124</v>
      </c>
      <c r="AE271" s="124">
        <f t="shared" si="152"/>
        <v>7016.7727561102556</v>
      </c>
      <c r="AF271" s="124">
        <f t="shared" si="152"/>
        <v>5964.2568426937169</v>
      </c>
      <c r="AG271" s="124">
        <f t="shared" si="152"/>
        <v>5069.6183162896596</v>
      </c>
      <c r="AH271" s="124">
        <f t="shared" si="152"/>
        <v>4309.1755688462081</v>
      </c>
      <c r="AI271" s="124">
        <f t="shared" si="152"/>
        <v>3662.7992335192794</v>
      </c>
      <c r="AJ271" s="124">
        <f t="shared" si="152"/>
        <v>3113.3793484913863</v>
      </c>
      <c r="AK271" s="124">
        <f t="shared" si="152"/>
        <v>2646.3724462176788</v>
      </c>
      <c r="AL271" s="124">
        <f t="shared" si="152"/>
        <v>2249.4165792850276</v>
      </c>
      <c r="AM271" s="124">
        <f t="shared" si="152"/>
        <v>1912.0040923922727</v>
      </c>
      <c r="AN271" s="124">
        <f t="shared" si="152"/>
        <v>1625.2034785334324</v>
      </c>
      <c r="AO271" s="124">
        <f t="shared" si="152"/>
        <v>1381.4229567534171</v>
      </c>
      <c r="AP271" s="124">
        <f t="shared" si="152"/>
        <v>1174.2095132404047</v>
      </c>
      <c r="AQ271" s="124">
        <f t="shared" si="152"/>
        <v>998.07808625434382</v>
      </c>
      <c r="AR271" s="124">
        <f t="shared" si="152"/>
        <v>69884.035963081726</v>
      </c>
      <c r="AS271" s="124">
        <f t="shared" si="152"/>
        <v>41930.421577849047</v>
      </c>
      <c r="AT271" s="124">
        <f t="shared" si="152"/>
        <v>35640.858341171683</v>
      </c>
      <c r="AU271" s="124">
        <f t="shared" si="152"/>
        <v>30294.729589995935</v>
      </c>
      <c r="AV271" s="124">
        <f t="shared" si="152"/>
        <v>25750.520151496548</v>
      </c>
    </row>
    <row r="272" spans="2:50" ht="12.95" customHeight="1" x14ac:dyDescent="0.2">
      <c r="B272" s="14"/>
      <c r="C272" s="253" t="s">
        <v>869</v>
      </c>
      <c r="F272" s="253" t="s">
        <v>493</v>
      </c>
      <c r="G272" s="253" t="s">
        <v>432</v>
      </c>
      <c r="H272" s="277"/>
      <c r="I272" s="147"/>
      <c r="J272" s="124"/>
      <c r="K272" s="124"/>
      <c r="L272" s="124"/>
      <c r="M272" s="124"/>
      <c r="N272" s="124"/>
      <c r="O272" s="124"/>
      <c r="P272" s="124"/>
      <c r="Q272" s="124"/>
      <c r="R272" s="124"/>
      <c r="S272" s="124"/>
      <c r="T272" s="124">
        <f t="shared" ref="T272:AV272" si="153">IF(T145&gt;0,S271,0)</f>
        <v>69884.035963081726</v>
      </c>
      <c r="U272" s="124">
        <f t="shared" si="153"/>
        <v>41930.421577849047</v>
      </c>
      <c r="V272" s="124">
        <f t="shared" si="153"/>
        <v>35640.858341171683</v>
      </c>
      <c r="W272" s="124">
        <f t="shared" si="153"/>
        <v>30294.729589995935</v>
      </c>
      <c r="X272" s="124">
        <f t="shared" si="153"/>
        <v>25750.520151496548</v>
      </c>
      <c r="Y272" s="124">
        <f t="shared" si="153"/>
        <v>21887.942128772072</v>
      </c>
      <c r="Z272" s="124">
        <f t="shared" si="153"/>
        <v>18604.750809456262</v>
      </c>
      <c r="AA272" s="124">
        <f t="shared" si="153"/>
        <v>15814.03818803781</v>
      </c>
      <c r="AB272" s="124">
        <f t="shared" si="153"/>
        <v>13441.932459832145</v>
      </c>
      <c r="AC272" s="124">
        <f t="shared" si="153"/>
        <v>11425.64259085732</v>
      </c>
      <c r="AD272" s="124">
        <f t="shared" si="153"/>
        <v>9711.7962022287265</v>
      </c>
      <c r="AE272" s="124">
        <f t="shared" si="153"/>
        <v>8255.0267718944124</v>
      </c>
      <c r="AF272" s="124">
        <f t="shared" si="153"/>
        <v>7016.7727561102556</v>
      </c>
      <c r="AG272" s="124">
        <f t="shared" si="153"/>
        <v>5964.2568426937169</v>
      </c>
      <c r="AH272" s="124">
        <f t="shared" si="153"/>
        <v>5069.6183162896596</v>
      </c>
      <c r="AI272" s="124">
        <f t="shared" si="153"/>
        <v>4309.1755688462081</v>
      </c>
      <c r="AJ272" s="124">
        <f t="shared" si="153"/>
        <v>3662.7992335192794</v>
      </c>
      <c r="AK272" s="124">
        <f t="shared" si="153"/>
        <v>3113.3793484913863</v>
      </c>
      <c r="AL272" s="124">
        <f t="shared" si="153"/>
        <v>2646.3724462176788</v>
      </c>
      <c r="AM272" s="124">
        <f t="shared" si="153"/>
        <v>2249.4165792850276</v>
      </c>
      <c r="AN272" s="124">
        <f t="shared" si="153"/>
        <v>1912.0040923922727</v>
      </c>
      <c r="AO272" s="124">
        <f t="shared" si="153"/>
        <v>1625.2034785334324</v>
      </c>
      <c r="AP272" s="124">
        <f t="shared" si="153"/>
        <v>1381.4229567534171</v>
      </c>
      <c r="AQ272" s="124">
        <f t="shared" si="153"/>
        <v>1174.2095132404047</v>
      </c>
      <c r="AR272" s="124">
        <f t="shared" si="153"/>
        <v>998.07808625434382</v>
      </c>
      <c r="AS272" s="124">
        <f t="shared" si="153"/>
        <v>69884.035963081726</v>
      </c>
      <c r="AT272" s="124">
        <f t="shared" si="153"/>
        <v>41930.421577849047</v>
      </c>
      <c r="AU272" s="124">
        <f t="shared" si="153"/>
        <v>35640.858341171683</v>
      </c>
      <c r="AV272" s="124">
        <f t="shared" si="153"/>
        <v>30294.729589995935</v>
      </c>
    </row>
    <row r="273" spans="2:48" ht="12.95" customHeight="1" x14ac:dyDescent="0.2">
      <c r="B273" s="14"/>
      <c r="C273" s="253" t="s">
        <v>870</v>
      </c>
      <c r="F273" s="253" t="s">
        <v>493</v>
      </c>
      <c r="G273" s="253" t="s">
        <v>432</v>
      </c>
      <c r="H273" s="277"/>
      <c r="I273" s="147"/>
      <c r="J273" s="124"/>
      <c r="K273" s="124"/>
      <c r="L273" s="124"/>
      <c r="M273" s="124"/>
      <c r="N273" s="124"/>
      <c r="O273" s="124"/>
      <c r="P273" s="124"/>
      <c r="Q273" s="124"/>
      <c r="R273" s="124"/>
      <c r="S273" s="124"/>
      <c r="T273" s="124"/>
      <c r="U273" s="124">
        <f t="shared" ref="U273:AV273" si="154">IF(U146&gt;0,T272,0)</f>
        <v>69884.035963081726</v>
      </c>
      <c r="V273" s="124">
        <f t="shared" si="154"/>
        <v>41930.421577849047</v>
      </c>
      <c r="W273" s="124">
        <f t="shared" si="154"/>
        <v>35640.858341171683</v>
      </c>
      <c r="X273" s="124">
        <f t="shared" si="154"/>
        <v>30294.729589995935</v>
      </c>
      <c r="Y273" s="124">
        <f t="shared" si="154"/>
        <v>25750.520151496548</v>
      </c>
      <c r="Z273" s="124">
        <f t="shared" si="154"/>
        <v>21887.942128772072</v>
      </c>
      <c r="AA273" s="124">
        <f t="shared" si="154"/>
        <v>18604.750809456262</v>
      </c>
      <c r="AB273" s="124">
        <f t="shared" si="154"/>
        <v>15814.03818803781</v>
      </c>
      <c r="AC273" s="124">
        <f t="shared" si="154"/>
        <v>13441.932459832145</v>
      </c>
      <c r="AD273" s="124">
        <f t="shared" si="154"/>
        <v>11425.64259085732</v>
      </c>
      <c r="AE273" s="124">
        <f t="shared" si="154"/>
        <v>9711.7962022287265</v>
      </c>
      <c r="AF273" s="124">
        <f t="shared" si="154"/>
        <v>8255.0267718944124</v>
      </c>
      <c r="AG273" s="124">
        <f t="shared" si="154"/>
        <v>7016.7727561102556</v>
      </c>
      <c r="AH273" s="124">
        <f t="shared" si="154"/>
        <v>5964.2568426937169</v>
      </c>
      <c r="AI273" s="124">
        <f t="shared" si="154"/>
        <v>5069.6183162896596</v>
      </c>
      <c r="AJ273" s="124">
        <f t="shared" si="154"/>
        <v>4309.1755688462081</v>
      </c>
      <c r="AK273" s="124">
        <f t="shared" si="154"/>
        <v>3662.7992335192794</v>
      </c>
      <c r="AL273" s="124">
        <f t="shared" si="154"/>
        <v>3113.3793484913863</v>
      </c>
      <c r="AM273" s="124">
        <f t="shared" si="154"/>
        <v>2646.3724462176788</v>
      </c>
      <c r="AN273" s="124">
        <f t="shared" si="154"/>
        <v>2249.4165792850276</v>
      </c>
      <c r="AO273" s="124">
        <f t="shared" si="154"/>
        <v>1912.0040923922727</v>
      </c>
      <c r="AP273" s="124">
        <f t="shared" si="154"/>
        <v>1625.2034785334324</v>
      </c>
      <c r="AQ273" s="124">
        <f t="shared" si="154"/>
        <v>1381.4229567534171</v>
      </c>
      <c r="AR273" s="124">
        <f t="shared" si="154"/>
        <v>1174.2095132404047</v>
      </c>
      <c r="AS273" s="124">
        <f t="shared" si="154"/>
        <v>998.07808625434382</v>
      </c>
      <c r="AT273" s="124">
        <f t="shared" si="154"/>
        <v>69884.035963081726</v>
      </c>
      <c r="AU273" s="124">
        <f t="shared" si="154"/>
        <v>41930.421577849047</v>
      </c>
      <c r="AV273" s="124">
        <f t="shared" si="154"/>
        <v>35640.858341171683</v>
      </c>
    </row>
    <row r="274" spans="2:48" ht="12.95" customHeight="1" x14ac:dyDescent="0.2">
      <c r="B274" s="14"/>
      <c r="C274" s="253" t="s">
        <v>871</v>
      </c>
      <c r="F274" s="253" t="s">
        <v>493</v>
      </c>
      <c r="G274" s="253" t="s">
        <v>432</v>
      </c>
      <c r="H274" s="277"/>
      <c r="I274" s="147"/>
      <c r="J274" s="124"/>
      <c r="K274" s="124"/>
      <c r="L274" s="124"/>
      <c r="M274" s="124"/>
      <c r="N274" s="124"/>
      <c r="O274" s="124"/>
      <c r="P274" s="124"/>
      <c r="Q274" s="124"/>
      <c r="R274" s="124"/>
      <c r="S274" s="124"/>
      <c r="T274" s="124"/>
      <c r="U274" s="124"/>
      <c r="V274" s="124">
        <f t="shared" ref="V274:AV274" si="155">IF(V147&gt;0,U273,0)</f>
        <v>69884.035963081726</v>
      </c>
      <c r="W274" s="124">
        <f t="shared" si="155"/>
        <v>41930.421577849047</v>
      </c>
      <c r="X274" s="124">
        <f t="shared" si="155"/>
        <v>35640.858341171683</v>
      </c>
      <c r="Y274" s="124">
        <f t="shared" si="155"/>
        <v>30294.729589995935</v>
      </c>
      <c r="Z274" s="124">
        <f t="shared" si="155"/>
        <v>25750.520151496548</v>
      </c>
      <c r="AA274" s="124">
        <f t="shared" si="155"/>
        <v>21887.942128772072</v>
      </c>
      <c r="AB274" s="124">
        <f t="shared" si="155"/>
        <v>18604.750809456262</v>
      </c>
      <c r="AC274" s="124">
        <f t="shared" si="155"/>
        <v>15814.03818803781</v>
      </c>
      <c r="AD274" s="124">
        <f t="shared" si="155"/>
        <v>13441.932459832145</v>
      </c>
      <c r="AE274" s="124">
        <f t="shared" si="155"/>
        <v>11425.64259085732</v>
      </c>
      <c r="AF274" s="124">
        <f t="shared" si="155"/>
        <v>9711.7962022287265</v>
      </c>
      <c r="AG274" s="124">
        <f t="shared" si="155"/>
        <v>8255.0267718944124</v>
      </c>
      <c r="AH274" s="124">
        <f t="shared" si="155"/>
        <v>7016.7727561102556</v>
      </c>
      <c r="AI274" s="124">
        <f t="shared" si="155"/>
        <v>5964.2568426937169</v>
      </c>
      <c r="AJ274" s="124">
        <f t="shared" si="155"/>
        <v>5069.6183162896596</v>
      </c>
      <c r="AK274" s="124">
        <f t="shared" si="155"/>
        <v>4309.1755688462081</v>
      </c>
      <c r="AL274" s="124">
        <f t="shared" si="155"/>
        <v>3662.7992335192794</v>
      </c>
      <c r="AM274" s="124">
        <f t="shared" si="155"/>
        <v>3113.3793484913863</v>
      </c>
      <c r="AN274" s="124">
        <f t="shared" si="155"/>
        <v>2646.3724462176788</v>
      </c>
      <c r="AO274" s="124">
        <f t="shared" si="155"/>
        <v>2249.4165792850276</v>
      </c>
      <c r="AP274" s="124">
        <f t="shared" si="155"/>
        <v>1912.0040923922727</v>
      </c>
      <c r="AQ274" s="124">
        <f t="shared" si="155"/>
        <v>1625.2034785334324</v>
      </c>
      <c r="AR274" s="124">
        <f t="shared" si="155"/>
        <v>1381.4229567534171</v>
      </c>
      <c r="AS274" s="124">
        <f t="shared" si="155"/>
        <v>1174.2095132404047</v>
      </c>
      <c r="AT274" s="124">
        <f t="shared" si="155"/>
        <v>998.07808625434382</v>
      </c>
      <c r="AU274" s="124">
        <f t="shared" si="155"/>
        <v>69884.035963081726</v>
      </c>
      <c r="AV274" s="124">
        <f t="shared" si="155"/>
        <v>41930.421577849047</v>
      </c>
    </row>
    <row r="275" spans="2:48" ht="12.95" customHeight="1" x14ac:dyDescent="0.2">
      <c r="B275" s="14"/>
      <c r="C275" s="253" t="s">
        <v>872</v>
      </c>
      <c r="F275" s="253" t="s">
        <v>493</v>
      </c>
      <c r="G275" s="253" t="s">
        <v>432</v>
      </c>
      <c r="H275" s="277"/>
      <c r="I275" s="147"/>
      <c r="J275" s="124"/>
      <c r="K275" s="124"/>
      <c r="L275" s="124"/>
      <c r="M275" s="124"/>
      <c r="N275" s="124"/>
      <c r="O275" s="124"/>
      <c r="P275" s="124"/>
      <c r="Q275" s="124"/>
      <c r="R275" s="124"/>
      <c r="S275" s="124"/>
      <c r="T275" s="124"/>
      <c r="U275" s="124"/>
      <c r="V275" s="124"/>
      <c r="W275" s="124">
        <f t="shared" ref="W275:AV275" si="156">IF(W148&gt;0,V274,0)</f>
        <v>69884.035963081726</v>
      </c>
      <c r="X275" s="124">
        <f t="shared" si="156"/>
        <v>41930.421577849047</v>
      </c>
      <c r="Y275" s="124">
        <f t="shared" si="156"/>
        <v>35640.858341171683</v>
      </c>
      <c r="Z275" s="124">
        <f t="shared" si="156"/>
        <v>30294.729589995935</v>
      </c>
      <c r="AA275" s="124">
        <f t="shared" si="156"/>
        <v>25750.520151496548</v>
      </c>
      <c r="AB275" s="124">
        <f t="shared" si="156"/>
        <v>21887.942128772072</v>
      </c>
      <c r="AC275" s="124">
        <f t="shared" si="156"/>
        <v>18604.750809456262</v>
      </c>
      <c r="AD275" s="124">
        <f t="shared" si="156"/>
        <v>15814.03818803781</v>
      </c>
      <c r="AE275" s="124">
        <f t="shared" si="156"/>
        <v>13441.932459832145</v>
      </c>
      <c r="AF275" s="124">
        <f t="shared" si="156"/>
        <v>11425.64259085732</v>
      </c>
      <c r="AG275" s="124">
        <f t="shared" si="156"/>
        <v>9711.7962022287265</v>
      </c>
      <c r="AH275" s="124">
        <f t="shared" si="156"/>
        <v>8255.0267718944124</v>
      </c>
      <c r="AI275" s="124">
        <f t="shared" si="156"/>
        <v>7016.7727561102556</v>
      </c>
      <c r="AJ275" s="124">
        <f t="shared" si="156"/>
        <v>5964.2568426937169</v>
      </c>
      <c r="AK275" s="124">
        <f t="shared" si="156"/>
        <v>5069.6183162896596</v>
      </c>
      <c r="AL275" s="124">
        <f t="shared" si="156"/>
        <v>4309.1755688462081</v>
      </c>
      <c r="AM275" s="124">
        <f t="shared" si="156"/>
        <v>3662.7992335192794</v>
      </c>
      <c r="AN275" s="124">
        <f t="shared" si="156"/>
        <v>3113.3793484913863</v>
      </c>
      <c r="AO275" s="124">
        <f t="shared" si="156"/>
        <v>2646.3724462176788</v>
      </c>
      <c r="AP275" s="124">
        <f t="shared" si="156"/>
        <v>2249.4165792850276</v>
      </c>
      <c r="AQ275" s="124">
        <f t="shared" si="156"/>
        <v>1912.0040923922727</v>
      </c>
      <c r="AR275" s="124">
        <f t="shared" si="156"/>
        <v>1625.2034785334324</v>
      </c>
      <c r="AS275" s="124">
        <f t="shared" si="156"/>
        <v>1381.4229567534171</v>
      </c>
      <c r="AT275" s="124">
        <f t="shared" si="156"/>
        <v>1174.2095132404047</v>
      </c>
      <c r="AU275" s="124">
        <f t="shared" si="156"/>
        <v>998.07808625434382</v>
      </c>
      <c r="AV275" s="124">
        <f t="shared" si="156"/>
        <v>69884.035963081726</v>
      </c>
    </row>
    <row r="276" spans="2:48" ht="12.95" customHeight="1" x14ac:dyDescent="0.2">
      <c r="B276" s="14"/>
      <c r="C276" s="253" t="s">
        <v>873</v>
      </c>
      <c r="F276" s="253" t="s">
        <v>493</v>
      </c>
      <c r="G276" s="253" t="s">
        <v>432</v>
      </c>
      <c r="H276" s="277"/>
      <c r="I276" s="147"/>
      <c r="J276" s="124"/>
      <c r="K276" s="124"/>
      <c r="L276" s="124"/>
      <c r="M276" s="124"/>
      <c r="N276" s="124"/>
      <c r="O276" s="124"/>
      <c r="P276" s="124"/>
      <c r="Q276" s="124"/>
      <c r="R276" s="124"/>
      <c r="S276" s="124"/>
      <c r="T276" s="124"/>
      <c r="U276" s="124"/>
      <c r="V276" s="124"/>
      <c r="W276" s="124"/>
      <c r="X276" s="124">
        <f t="shared" ref="X276:AV276" si="157">IF(X149&gt;0,W275,0)</f>
        <v>69884.035963081726</v>
      </c>
      <c r="Y276" s="124">
        <f t="shared" si="157"/>
        <v>41930.421577849047</v>
      </c>
      <c r="Z276" s="124">
        <f t="shared" si="157"/>
        <v>35640.858341171683</v>
      </c>
      <c r="AA276" s="124">
        <f t="shared" si="157"/>
        <v>30294.729589995935</v>
      </c>
      <c r="AB276" s="124">
        <f t="shared" si="157"/>
        <v>25750.520151496548</v>
      </c>
      <c r="AC276" s="124">
        <f t="shared" si="157"/>
        <v>21887.942128772072</v>
      </c>
      <c r="AD276" s="124">
        <f t="shared" si="157"/>
        <v>18604.750809456262</v>
      </c>
      <c r="AE276" s="124">
        <f t="shared" si="157"/>
        <v>15814.03818803781</v>
      </c>
      <c r="AF276" s="124">
        <f t="shared" si="157"/>
        <v>13441.932459832145</v>
      </c>
      <c r="AG276" s="124">
        <f t="shared" si="157"/>
        <v>11425.64259085732</v>
      </c>
      <c r="AH276" s="124">
        <f t="shared" si="157"/>
        <v>9711.7962022287265</v>
      </c>
      <c r="AI276" s="124">
        <f t="shared" si="157"/>
        <v>8255.0267718944124</v>
      </c>
      <c r="AJ276" s="124">
        <f t="shared" si="157"/>
        <v>7016.7727561102556</v>
      </c>
      <c r="AK276" s="124">
        <f t="shared" si="157"/>
        <v>5964.2568426937169</v>
      </c>
      <c r="AL276" s="124">
        <f t="shared" si="157"/>
        <v>5069.6183162896596</v>
      </c>
      <c r="AM276" s="124">
        <f t="shared" si="157"/>
        <v>4309.1755688462081</v>
      </c>
      <c r="AN276" s="124">
        <f t="shared" si="157"/>
        <v>3662.7992335192794</v>
      </c>
      <c r="AO276" s="124">
        <f t="shared" si="157"/>
        <v>3113.3793484913863</v>
      </c>
      <c r="AP276" s="124">
        <f t="shared" si="157"/>
        <v>2646.3724462176788</v>
      </c>
      <c r="AQ276" s="124">
        <f t="shared" si="157"/>
        <v>2249.4165792850276</v>
      </c>
      <c r="AR276" s="124">
        <f t="shared" si="157"/>
        <v>1912.0040923922727</v>
      </c>
      <c r="AS276" s="124">
        <f t="shared" si="157"/>
        <v>1625.2034785334324</v>
      </c>
      <c r="AT276" s="124">
        <f t="shared" si="157"/>
        <v>1381.4229567534171</v>
      </c>
      <c r="AU276" s="124">
        <f t="shared" si="157"/>
        <v>1174.2095132404047</v>
      </c>
      <c r="AV276" s="124">
        <f t="shared" si="157"/>
        <v>998.07808625434382</v>
      </c>
    </row>
    <row r="277" spans="2:48" ht="12.95" customHeight="1" x14ac:dyDescent="0.2">
      <c r="B277" s="14"/>
      <c r="C277" s="253" t="s">
        <v>874</v>
      </c>
      <c r="F277" s="253" t="s">
        <v>493</v>
      </c>
      <c r="G277" s="253" t="s">
        <v>432</v>
      </c>
      <c r="H277" s="277"/>
      <c r="I277" s="147"/>
      <c r="J277" s="124"/>
      <c r="K277" s="124"/>
      <c r="L277" s="124"/>
      <c r="M277" s="124"/>
      <c r="N277" s="124"/>
      <c r="O277" s="124"/>
      <c r="P277" s="124"/>
      <c r="Q277" s="124"/>
      <c r="R277" s="124"/>
      <c r="S277" s="124"/>
      <c r="T277" s="124"/>
      <c r="U277" s="124"/>
      <c r="V277" s="124"/>
      <c r="W277" s="124"/>
      <c r="X277" s="124"/>
      <c r="Y277" s="124">
        <f t="shared" ref="Y277:AV277" si="158">IF(Y150&gt;0,X276,0)</f>
        <v>69884.035963081726</v>
      </c>
      <c r="Z277" s="124">
        <f t="shared" si="158"/>
        <v>41930.421577849047</v>
      </c>
      <c r="AA277" s="124">
        <f t="shared" si="158"/>
        <v>35640.858341171683</v>
      </c>
      <c r="AB277" s="124">
        <f t="shared" si="158"/>
        <v>30294.729589995935</v>
      </c>
      <c r="AC277" s="124">
        <f t="shared" si="158"/>
        <v>25750.520151496548</v>
      </c>
      <c r="AD277" s="124">
        <f t="shared" si="158"/>
        <v>21887.942128772072</v>
      </c>
      <c r="AE277" s="124">
        <f t="shared" si="158"/>
        <v>18604.750809456262</v>
      </c>
      <c r="AF277" s="124">
        <f t="shared" si="158"/>
        <v>15814.03818803781</v>
      </c>
      <c r="AG277" s="124">
        <f t="shared" si="158"/>
        <v>13441.932459832145</v>
      </c>
      <c r="AH277" s="124">
        <f t="shared" si="158"/>
        <v>11425.64259085732</v>
      </c>
      <c r="AI277" s="124">
        <f t="shared" si="158"/>
        <v>9711.7962022287265</v>
      </c>
      <c r="AJ277" s="124">
        <f t="shared" si="158"/>
        <v>8255.0267718944124</v>
      </c>
      <c r="AK277" s="124">
        <f t="shared" si="158"/>
        <v>7016.7727561102556</v>
      </c>
      <c r="AL277" s="124">
        <f t="shared" si="158"/>
        <v>5964.2568426937169</v>
      </c>
      <c r="AM277" s="124">
        <f t="shared" si="158"/>
        <v>5069.6183162896596</v>
      </c>
      <c r="AN277" s="124">
        <f t="shared" si="158"/>
        <v>4309.1755688462081</v>
      </c>
      <c r="AO277" s="124">
        <f t="shared" si="158"/>
        <v>3662.7992335192794</v>
      </c>
      <c r="AP277" s="124">
        <f t="shared" si="158"/>
        <v>3113.3793484913863</v>
      </c>
      <c r="AQ277" s="124">
        <f t="shared" si="158"/>
        <v>2646.3724462176788</v>
      </c>
      <c r="AR277" s="124">
        <f t="shared" si="158"/>
        <v>2249.4165792850276</v>
      </c>
      <c r="AS277" s="124">
        <f t="shared" si="158"/>
        <v>1912.0040923922727</v>
      </c>
      <c r="AT277" s="124">
        <f t="shared" si="158"/>
        <v>1625.2034785334324</v>
      </c>
      <c r="AU277" s="124">
        <f t="shared" si="158"/>
        <v>1381.4229567534171</v>
      </c>
      <c r="AV277" s="124">
        <f t="shared" si="158"/>
        <v>1174.2095132404047</v>
      </c>
    </row>
    <row r="278" spans="2:48" ht="12.95" customHeight="1" x14ac:dyDescent="0.2">
      <c r="B278" s="14"/>
      <c r="C278" s="253" t="s">
        <v>875</v>
      </c>
      <c r="F278" s="253" t="s">
        <v>493</v>
      </c>
      <c r="G278" s="253" t="s">
        <v>432</v>
      </c>
      <c r="H278" s="277"/>
      <c r="I278" s="147"/>
      <c r="J278" s="124"/>
      <c r="K278" s="124"/>
      <c r="L278" s="124"/>
      <c r="M278" s="124"/>
      <c r="N278" s="124"/>
      <c r="O278" s="124"/>
      <c r="P278" s="124"/>
      <c r="Q278" s="124"/>
      <c r="R278" s="124"/>
      <c r="S278" s="124"/>
      <c r="T278" s="124"/>
      <c r="U278" s="124"/>
      <c r="V278" s="124"/>
      <c r="W278" s="124"/>
      <c r="X278" s="124"/>
      <c r="Y278" s="124"/>
      <c r="Z278" s="124">
        <f t="shared" ref="Z278:AV278" si="159">IF(Z151&gt;0,Y277,0)</f>
        <v>69884.035963081726</v>
      </c>
      <c r="AA278" s="124">
        <f t="shared" si="159"/>
        <v>41930.421577849047</v>
      </c>
      <c r="AB278" s="124">
        <f t="shared" si="159"/>
        <v>35640.858341171683</v>
      </c>
      <c r="AC278" s="124">
        <f t="shared" si="159"/>
        <v>30294.729589995935</v>
      </c>
      <c r="AD278" s="124">
        <f t="shared" si="159"/>
        <v>25750.520151496548</v>
      </c>
      <c r="AE278" s="124">
        <f t="shared" si="159"/>
        <v>21887.942128772072</v>
      </c>
      <c r="AF278" s="124">
        <f t="shared" si="159"/>
        <v>18604.750809456262</v>
      </c>
      <c r="AG278" s="124">
        <f t="shared" si="159"/>
        <v>15814.03818803781</v>
      </c>
      <c r="AH278" s="124">
        <f t="shared" si="159"/>
        <v>13441.932459832145</v>
      </c>
      <c r="AI278" s="124">
        <f t="shared" si="159"/>
        <v>11425.64259085732</v>
      </c>
      <c r="AJ278" s="124">
        <f t="shared" si="159"/>
        <v>9711.7962022287265</v>
      </c>
      <c r="AK278" s="124">
        <f t="shared" si="159"/>
        <v>8255.0267718944124</v>
      </c>
      <c r="AL278" s="124">
        <f t="shared" si="159"/>
        <v>7016.7727561102556</v>
      </c>
      <c r="AM278" s="124">
        <f t="shared" si="159"/>
        <v>5964.2568426937169</v>
      </c>
      <c r="AN278" s="124">
        <f t="shared" si="159"/>
        <v>5069.6183162896596</v>
      </c>
      <c r="AO278" s="124">
        <f t="shared" si="159"/>
        <v>4309.1755688462081</v>
      </c>
      <c r="AP278" s="124">
        <f t="shared" si="159"/>
        <v>3662.7992335192794</v>
      </c>
      <c r="AQ278" s="124">
        <f t="shared" si="159"/>
        <v>3113.3793484913863</v>
      </c>
      <c r="AR278" s="124">
        <f t="shared" si="159"/>
        <v>2646.3724462176788</v>
      </c>
      <c r="AS278" s="124">
        <f t="shared" si="159"/>
        <v>2249.4165792850276</v>
      </c>
      <c r="AT278" s="124">
        <f t="shared" si="159"/>
        <v>1912.0040923922727</v>
      </c>
      <c r="AU278" s="124">
        <f t="shared" si="159"/>
        <v>1625.2034785334324</v>
      </c>
      <c r="AV278" s="124">
        <f t="shared" si="159"/>
        <v>1381.4229567534171</v>
      </c>
    </row>
    <row r="279" spans="2:48" ht="12.95" customHeight="1" x14ac:dyDescent="0.2">
      <c r="B279" s="14"/>
      <c r="C279" s="253" t="s">
        <v>876</v>
      </c>
      <c r="F279" s="253" t="s">
        <v>493</v>
      </c>
      <c r="G279" s="253" t="s">
        <v>432</v>
      </c>
      <c r="H279" s="277"/>
      <c r="I279" s="147"/>
      <c r="J279" s="124"/>
      <c r="K279" s="124"/>
      <c r="L279" s="124"/>
      <c r="M279" s="124"/>
      <c r="N279" s="124"/>
      <c r="O279" s="124"/>
      <c r="P279" s="124"/>
      <c r="Q279" s="124"/>
      <c r="R279" s="124"/>
      <c r="S279" s="124"/>
      <c r="T279" s="124"/>
      <c r="U279" s="124"/>
      <c r="V279" s="124"/>
      <c r="W279" s="124"/>
      <c r="X279" s="124"/>
      <c r="Y279" s="124"/>
      <c r="Z279" s="124"/>
      <c r="AA279" s="124">
        <f t="shared" ref="AA279:AV279" si="160">IF(AA152&gt;0,Z278,0)</f>
        <v>69884.035963081726</v>
      </c>
      <c r="AB279" s="124">
        <f t="shared" si="160"/>
        <v>41930.421577849047</v>
      </c>
      <c r="AC279" s="124">
        <f t="shared" si="160"/>
        <v>35640.858341171683</v>
      </c>
      <c r="AD279" s="124">
        <f t="shared" si="160"/>
        <v>30294.729589995935</v>
      </c>
      <c r="AE279" s="124">
        <f t="shared" si="160"/>
        <v>25750.520151496548</v>
      </c>
      <c r="AF279" s="124">
        <f t="shared" si="160"/>
        <v>21887.942128772072</v>
      </c>
      <c r="AG279" s="124">
        <f t="shared" si="160"/>
        <v>18604.750809456262</v>
      </c>
      <c r="AH279" s="124">
        <f t="shared" si="160"/>
        <v>15814.03818803781</v>
      </c>
      <c r="AI279" s="124">
        <f t="shared" si="160"/>
        <v>13441.932459832145</v>
      </c>
      <c r="AJ279" s="124">
        <f t="shared" si="160"/>
        <v>11425.64259085732</v>
      </c>
      <c r="AK279" s="124">
        <f t="shared" si="160"/>
        <v>9711.7962022287265</v>
      </c>
      <c r="AL279" s="124">
        <f t="shared" si="160"/>
        <v>8255.0267718944124</v>
      </c>
      <c r="AM279" s="124">
        <f t="shared" si="160"/>
        <v>7016.7727561102556</v>
      </c>
      <c r="AN279" s="124">
        <f t="shared" si="160"/>
        <v>5964.2568426937169</v>
      </c>
      <c r="AO279" s="124">
        <f t="shared" si="160"/>
        <v>5069.6183162896596</v>
      </c>
      <c r="AP279" s="124">
        <f t="shared" si="160"/>
        <v>4309.1755688462081</v>
      </c>
      <c r="AQ279" s="124">
        <f t="shared" si="160"/>
        <v>3662.7992335192794</v>
      </c>
      <c r="AR279" s="124">
        <f t="shared" si="160"/>
        <v>3113.3793484913863</v>
      </c>
      <c r="AS279" s="124">
        <f t="shared" si="160"/>
        <v>2646.3724462176788</v>
      </c>
      <c r="AT279" s="124">
        <f t="shared" si="160"/>
        <v>2249.4165792850276</v>
      </c>
      <c r="AU279" s="124">
        <f t="shared" si="160"/>
        <v>1912.0040923922727</v>
      </c>
      <c r="AV279" s="124">
        <f t="shared" si="160"/>
        <v>1625.2034785334324</v>
      </c>
    </row>
    <row r="280" spans="2:48" ht="12.95" customHeight="1" x14ac:dyDescent="0.2">
      <c r="B280" s="14"/>
      <c r="C280" s="253" t="s">
        <v>877</v>
      </c>
      <c r="F280" s="253" t="s">
        <v>493</v>
      </c>
      <c r="G280" s="253" t="s">
        <v>432</v>
      </c>
      <c r="H280" s="277"/>
      <c r="I280" s="147"/>
      <c r="J280" s="124"/>
      <c r="K280" s="124"/>
      <c r="L280" s="124"/>
      <c r="M280" s="124"/>
      <c r="N280" s="124"/>
      <c r="O280" s="124"/>
      <c r="P280" s="124"/>
      <c r="Q280" s="124"/>
      <c r="R280" s="124"/>
      <c r="S280" s="124"/>
      <c r="T280" s="124"/>
      <c r="U280" s="124"/>
      <c r="V280" s="124"/>
      <c r="W280" s="124"/>
      <c r="X280" s="124"/>
      <c r="Y280" s="124"/>
      <c r="Z280" s="124"/>
      <c r="AA280" s="124"/>
      <c r="AB280" s="124">
        <f t="shared" ref="AB280:AV280" si="161">IF(AB153&gt;0,AA279,0)</f>
        <v>69884.035963081726</v>
      </c>
      <c r="AC280" s="124">
        <f t="shared" si="161"/>
        <v>41930.421577849047</v>
      </c>
      <c r="AD280" s="124">
        <f t="shared" si="161"/>
        <v>35640.858341171683</v>
      </c>
      <c r="AE280" s="124">
        <f t="shared" si="161"/>
        <v>30294.729589995935</v>
      </c>
      <c r="AF280" s="124">
        <f t="shared" si="161"/>
        <v>25750.520151496548</v>
      </c>
      <c r="AG280" s="124">
        <f t="shared" si="161"/>
        <v>21887.942128772072</v>
      </c>
      <c r="AH280" s="124">
        <f t="shared" si="161"/>
        <v>18604.750809456262</v>
      </c>
      <c r="AI280" s="124">
        <f t="shared" si="161"/>
        <v>15814.03818803781</v>
      </c>
      <c r="AJ280" s="124">
        <f t="shared" si="161"/>
        <v>13441.932459832145</v>
      </c>
      <c r="AK280" s="124">
        <f t="shared" si="161"/>
        <v>11425.64259085732</v>
      </c>
      <c r="AL280" s="124">
        <f t="shared" si="161"/>
        <v>9711.7962022287265</v>
      </c>
      <c r="AM280" s="124">
        <f t="shared" si="161"/>
        <v>8255.0267718944124</v>
      </c>
      <c r="AN280" s="124">
        <f t="shared" si="161"/>
        <v>7016.7727561102556</v>
      </c>
      <c r="AO280" s="124">
        <f t="shared" si="161"/>
        <v>5964.2568426937169</v>
      </c>
      <c r="AP280" s="124">
        <f t="shared" si="161"/>
        <v>5069.6183162896596</v>
      </c>
      <c r="AQ280" s="124">
        <f t="shared" si="161"/>
        <v>4309.1755688462081</v>
      </c>
      <c r="AR280" s="124">
        <f t="shared" si="161"/>
        <v>3662.7992335192794</v>
      </c>
      <c r="AS280" s="124">
        <f t="shared" si="161"/>
        <v>3113.3793484913863</v>
      </c>
      <c r="AT280" s="124">
        <f t="shared" si="161"/>
        <v>2646.3724462176788</v>
      </c>
      <c r="AU280" s="124">
        <f t="shared" si="161"/>
        <v>2249.4165792850276</v>
      </c>
      <c r="AV280" s="124">
        <f t="shared" si="161"/>
        <v>1912.0040923922727</v>
      </c>
    </row>
    <row r="281" spans="2:48" ht="12.95" customHeight="1" x14ac:dyDescent="0.2">
      <c r="B281" s="14"/>
      <c r="C281" s="253" t="s">
        <v>878</v>
      </c>
      <c r="F281" s="253" t="s">
        <v>493</v>
      </c>
      <c r="G281" s="253" t="s">
        <v>432</v>
      </c>
      <c r="H281" s="277"/>
      <c r="I281" s="147"/>
      <c r="J281" s="124"/>
      <c r="K281" s="124"/>
      <c r="L281" s="124"/>
      <c r="M281" s="124"/>
      <c r="N281" s="124"/>
      <c r="O281" s="124"/>
      <c r="P281" s="124"/>
      <c r="Q281" s="124"/>
      <c r="R281" s="124"/>
      <c r="S281" s="124"/>
      <c r="T281" s="124"/>
      <c r="U281" s="124"/>
      <c r="V281" s="124"/>
      <c r="W281" s="124"/>
      <c r="X281" s="124"/>
      <c r="Y281" s="124"/>
      <c r="Z281" s="124"/>
      <c r="AA281" s="124"/>
      <c r="AB281" s="124"/>
      <c r="AC281" s="124">
        <f t="shared" ref="AC281:AV281" si="162">IF(AC154&gt;0,AB280,0)</f>
        <v>69884.035963081726</v>
      </c>
      <c r="AD281" s="124">
        <f t="shared" si="162"/>
        <v>41930.421577849047</v>
      </c>
      <c r="AE281" s="124">
        <f t="shared" si="162"/>
        <v>35640.858341171683</v>
      </c>
      <c r="AF281" s="124">
        <f t="shared" si="162"/>
        <v>30294.729589995935</v>
      </c>
      <c r="AG281" s="124">
        <f t="shared" si="162"/>
        <v>25750.520151496548</v>
      </c>
      <c r="AH281" s="124">
        <f t="shared" si="162"/>
        <v>21887.942128772072</v>
      </c>
      <c r="AI281" s="124">
        <f t="shared" si="162"/>
        <v>18604.750809456262</v>
      </c>
      <c r="AJ281" s="124">
        <f t="shared" si="162"/>
        <v>15814.03818803781</v>
      </c>
      <c r="AK281" s="124">
        <f t="shared" si="162"/>
        <v>13441.932459832145</v>
      </c>
      <c r="AL281" s="124">
        <f t="shared" si="162"/>
        <v>11425.64259085732</v>
      </c>
      <c r="AM281" s="124">
        <f t="shared" si="162"/>
        <v>9711.7962022287265</v>
      </c>
      <c r="AN281" s="124">
        <f t="shared" si="162"/>
        <v>8255.0267718944124</v>
      </c>
      <c r="AO281" s="124">
        <f t="shared" si="162"/>
        <v>7016.7727561102556</v>
      </c>
      <c r="AP281" s="124">
        <f t="shared" si="162"/>
        <v>5964.2568426937169</v>
      </c>
      <c r="AQ281" s="124">
        <f t="shared" si="162"/>
        <v>5069.6183162896596</v>
      </c>
      <c r="AR281" s="124">
        <f t="shared" si="162"/>
        <v>4309.1755688462081</v>
      </c>
      <c r="AS281" s="124">
        <f t="shared" si="162"/>
        <v>3662.7992335192794</v>
      </c>
      <c r="AT281" s="124">
        <f t="shared" si="162"/>
        <v>3113.3793484913863</v>
      </c>
      <c r="AU281" s="124">
        <f t="shared" si="162"/>
        <v>2646.3724462176788</v>
      </c>
      <c r="AV281" s="124">
        <f t="shared" si="162"/>
        <v>2249.4165792850276</v>
      </c>
    </row>
    <row r="282" spans="2:48" ht="12.95" customHeight="1" x14ac:dyDescent="0.2">
      <c r="B282" s="14"/>
      <c r="C282" s="253" t="s">
        <v>879</v>
      </c>
      <c r="F282" s="253" t="s">
        <v>493</v>
      </c>
      <c r="G282" s="253" t="s">
        <v>432</v>
      </c>
      <c r="H282" s="277"/>
      <c r="I282" s="147"/>
      <c r="J282" s="124"/>
      <c r="K282" s="124"/>
      <c r="L282" s="124"/>
      <c r="M282" s="124"/>
      <c r="N282" s="124"/>
      <c r="O282" s="124"/>
      <c r="P282" s="124"/>
      <c r="Q282" s="124"/>
      <c r="R282" s="124"/>
      <c r="S282" s="124"/>
      <c r="T282" s="124"/>
      <c r="U282" s="124"/>
      <c r="V282" s="124"/>
      <c r="W282" s="124"/>
      <c r="X282" s="124"/>
      <c r="Y282" s="124"/>
      <c r="Z282" s="124"/>
      <c r="AA282" s="124"/>
      <c r="AB282" s="124"/>
      <c r="AC282" s="124"/>
      <c r="AD282" s="124">
        <f t="shared" ref="AD282:AV282" si="163">IF(AD155&gt;0,AC281,0)</f>
        <v>69884.035963081726</v>
      </c>
      <c r="AE282" s="124">
        <f t="shared" si="163"/>
        <v>41930.421577849047</v>
      </c>
      <c r="AF282" s="124">
        <f t="shared" si="163"/>
        <v>35640.858341171683</v>
      </c>
      <c r="AG282" s="124">
        <f t="shared" si="163"/>
        <v>30294.729589995935</v>
      </c>
      <c r="AH282" s="124">
        <f t="shared" si="163"/>
        <v>25750.520151496548</v>
      </c>
      <c r="AI282" s="124">
        <f t="shared" si="163"/>
        <v>21887.942128772072</v>
      </c>
      <c r="AJ282" s="124">
        <f t="shared" si="163"/>
        <v>18604.750809456262</v>
      </c>
      <c r="AK282" s="124">
        <f t="shared" si="163"/>
        <v>15814.03818803781</v>
      </c>
      <c r="AL282" s="124">
        <f t="shared" si="163"/>
        <v>13441.932459832145</v>
      </c>
      <c r="AM282" s="124">
        <f t="shared" si="163"/>
        <v>11425.64259085732</v>
      </c>
      <c r="AN282" s="124">
        <f t="shared" si="163"/>
        <v>9711.7962022287265</v>
      </c>
      <c r="AO282" s="124">
        <f t="shared" si="163"/>
        <v>8255.0267718944124</v>
      </c>
      <c r="AP282" s="124">
        <f t="shared" si="163"/>
        <v>7016.7727561102556</v>
      </c>
      <c r="AQ282" s="124">
        <f t="shared" si="163"/>
        <v>5964.2568426937169</v>
      </c>
      <c r="AR282" s="124">
        <f t="shared" si="163"/>
        <v>5069.6183162896596</v>
      </c>
      <c r="AS282" s="124">
        <f t="shared" si="163"/>
        <v>4309.1755688462081</v>
      </c>
      <c r="AT282" s="124">
        <f t="shared" si="163"/>
        <v>3662.7992335192794</v>
      </c>
      <c r="AU282" s="124">
        <f t="shared" si="163"/>
        <v>3113.3793484913863</v>
      </c>
      <c r="AV282" s="124">
        <f t="shared" si="163"/>
        <v>2646.3724462176788</v>
      </c>
    </row>
    <row r="283" spans="2:48" ht="12.95" customHeight="1" x14ac:dyDescent="0.2">
      <c r="B283" s="14"/>
      <c r="C283" s="253" t="s">
        <v>880</v>
      </c>
      <c r="F283" s="253" t="s">
        <v>493</v>
      </c>
      <c r="G283" s="253" t="s">
        <v>432</v>
      </c>
      <c r="H283" s="277"/>
      <c r="I283" s="147"/>
      <c r="J283" s="124"/>
      <c r="K283" s="124"/>
      <c r="L283" s="124"/>
      <c r="M283" s="124"/>
      <c r="N283" s="124"/>
      <c r="O283" s="124"/>
      <c r="P283" s="124"/>
      <c r="Q283" s="124"/>
      <c r="R283" s="124"/>
      <c r="S283" s="124"/>
      <c r="T283" s="124"/>
      <c r="U283" s="124"/>
      <c r="V283" s="124"/>
      <c r="W283" s="124"/>
      <c r="X283" s="124"/>
      <c r="Y283" s="124"/>
      <c r="Z283" s="124"/>
      <c r="AA283" s="124"/>
      <c r="AB283" s="124"/>
      <c r="AC283" s="124"/>
      <c r="AD283" s="124"/>
      <c r="AE283" s="124">
        <f t="shared" ref="AE283:AV283" si="164">IF(AE156&gt;0,AD282,0)</f>
        <v>69884.035963081726</v>
      </c>
      <c r="AF283" s="124">
        <f t="shared" si="164"/>
        <v>41930.421577849047</v>
      </c>
      <c r="AG283" s="124">
        <f t="shared" si="164"/>
        <v>35640.858341171683</v>
      </c>
      <c r="AH283" s="124">
        <f t="shared" si="164"/>
        <v>30294.729589995935</v>
      </c>
      <c r="AI283" s="124">
        <f t="shared" si="164"/>
        <v>25750.520151496548</v>
      </c>
      <c r="AJ283" s="124">
        <f t="shared" si="164"/>
        <v>21887.942128772072</v>
      </c>
      <c r="AK283" s="124">
        <f t="shared" si="164"/>
        <v>18604.750809456262</v>
      </c>
      <c r="AL283" s="124">
        <f t="shared" si="164"/>
        <v>15814.03818803781</v>
      </c>
      <c r="AM283" s="124">
        <f t="shared" si="164"/>
        <v>13441.932459832145</v>
      </c>
      <c r="AN283" s="124">
        <f t="shared" si="164"/>
        <v>11425.64259085732</v>
      </c>
      <c r="AO283" s="124">
        <f t="shared" si="164"/>
        <v>9711.7962022287265</v>
      </c>
      <c r="AP283" s="124">
        <f t="shared" si="164"/>
        <v>8255.0267718944124</v>
      </c>
      <c r="AQ283" s="124">
        <f t="shared" si="164"/>
        <v>7016.7727561102556</v>
      </c>
      <c r="AR283" s="124">
        <f t="shared" si="164"/>
        <v>5964.2568426937169</v>
      </c>
      <c r="AS283" s="124">
        <f t="shared" si="164"/>
        <v>5069.6183162896596</v>
      </c>
      <c r="AT283" s="124">
        <f t="shared" si="164"/>
        <v>4309.1755688462081</v>
      </c>
      <c r="AU283" s="124">
        <f t="shared" si="164"/>
        <v>3662.7992335192794</v>
      </c>
      <c r="AV283" s="124">
        <f t="shared" si="164"/>
        <v>3113.3793484913863</v>
      </c>
    </row>
    <row r="284" spans="2:48" ht="12.95" customHeight="1" x14ac:dyDescent="0.2">
      <c r="B284" s="14"/>
      <c r="C284" s="253" t="s">
        <v>881</v>
      </c>
      <c r="F284" s="253" t="s">
        <v>493</v>
      </c>
      <c r="G284" s="253" t="s">
        <v>432</v>
      </c>
      <c r="H284" s="277"/>
      <c r="I284" s="147"/>
      <c r="J284" s="124"/>
      <c r="K284" s="124"/>
      <c r="L284" s="124"/>
      <c r="M284" s="124"/>
      <c r="N284" s="124"/>
      <c r="O284" s="124"/>
      <c r="P284" s="124"/>
      <c r="Q284" s="124"/>
      <c r="R284" s="124"/>
      <c r="S284" s="124"/>
      <c r="T284" s="124"/>
      <c r="U284" s="124"/>
      <c r="V284" s="124"/>
      <c r="W284" s="124"/>
      <c r="X284" s="124"/>
      <c r="Y284" s="124"/>
      <c r="Z284" s="124"/>
      <c r="AA284" s="124"/>
      <c r="AB284" s="124"/>
      <c r="AC284" s="124"/>
      <c r="AD284" s="124"/>
      <c r="AE284" s="124"/>
      <c r="AF284" s="124">
        <f t="shared" ref="AF284:AV284" si="165">IF(AF157&gt;0,AE283,0)</f>
        <v>69884.035963081726</v>
      </c>
      <c r="AG284" s="124">
        <f t="shared" si="165"/>
        <v>41930.421577849047</v>
      </c>
      <c r="AH284" s="124">
        <f t="shared" si="165"/>
        <v>35640.858341171683</v>
      </c>
      <c r="AI284" s="124">
        <f t="shared" si="165"/>
        <v>30294.729589995935</v>
      </c>
      <c r="AJ284" s="124">
        <f t="shared" si="165"/>
        <v>25750.520151496548</v>
      </c>
      <c r="AK284" s="124">
        <f t="shared" si="165"/>
        <v>21887.942128772072</v>
      </c>
      <c r="AL284" s="124">
        <f t="shared" si="165"/>
        <v>18604.750809456262</v>
      </c>
      <c r="AM284" s="124">
        <f t="shared" si="165"/>
        <v>15814.03818803781</v>
      </c>
      <c r="AN284" s="124">
        <f t="shared" si="165"/>
        <v>13441.932459832145</v>
      </c>
      <c r="AO284" s="124">
        <f t="shared" si="165"/>
        <v>11425.64259085732</v>
      </c>
      <c r="AP284" s="124">
        <f t="shared" si="165"/>
        <v>9711.7962022287265</v>
      </c>
      <c r="AQ284" s="124">
        <f t="shared" si="165"/>
        <v>8255.0267718944124</v>
      </c>
      <c r="AR284" s="124">
        <f t="shared" si="165"/>
        <v>7016.7727561102556</v>
      </c>
      <c r="AS284" s="124">
        <f t="shared" si="165"/>
        <v>5964.2568426937169</v>
      </c>
      <c r="AT284" s="124">
        <f t="shared" si="165"/>
        <v>5069.6183162896596</v>
      </c>
      <c r="AU284" s="124">
        <f t="shared" si="165"/>
        <v>4309.1755688462081</v>
      </c>
      <c r="AV284" s="124">
        <f t="shared" si="165"/>
        <v>3662.7992335192794</v>
      </c>
    </row>
    <row r="285" spans="2:48" ht="12.95" customHeight="1" x14ac:dyDescent="0.2">
      <c r="B285" s="14"/>
      <c r="C285" s="253" t="s">
        <v>882</v>
      </c>
      <c r="F285" s="253" t="s">
        <v>493</v>
      </c>
      <c r="G285" s="253" t="s">
        <v>432</v>
      </c>
      <c r="H285" s="277"/>
      <c r="I285" s="147"/>
      <c r="J285" s="124"/>
      <c r="K285" s="124"/>
      <c r="L285" s="124"/>
      <c r="M285" s="124"/>
      <c r="N285" s="124"/>
      <c r="O285" s="124"/>
      <c r="P285" s="124"/>
      <c r="Q285" s="124"/>
      <c r="R285" s="124"/>
      <c r="S285" s="124"/>
      <c r="T285" s="124"/>
      <c r="U285" s="124"/>
      <c r="V285" s="124"/>
      <c r="W285" s="124"/>
      <c r="X285" s="124"/>
      <c r="Y285" s="124"/>
      <c r="Z285" s="124"/>
      <c r="AA285" s="124"/>
      <c r="AB285" s="124"/>
      <c r="AC285" s="124"/>
      <c r="AD285" s="124"/>
      <c r="AE285" s="124"/>
      <c r="AF285" s="124"/>
      <c r="AG285" s="124">
        <f t="shared" ref="AG285:AV285" si="166">IF(AG158&gt;0,AF284,0)</f>
        <v>69884.035963081726</v>
      </c>
      <c r="AH285" s="124">
        <f t="shared" si="166"/>
        <v>41930.421577849047</v>
      </c>
      <c r="AI285" s="124">
        <f t="shared" si="166"/>
        <v>35640.858341171683</v>
      </c>
      <c r="AJ285" s="124">
        <f t="shared" si="166"/>
        <v>30294.729589995935</v>
      </c>
      <c r="AK285" s="124">
        <f t="shared" si="166"/>
        <v>25750.520151496548</v>
      </c>
      <c r="AL285" s="124">
        <f t="shared" si="166"/>
        <v>21887.942128772072</v>
      </c>
      <c r="AM285" s="124">
        <f t="shared" si="166"/>
        <v>18604.750809456262</v>
      </c>
      <c r="AN285" s="124">
        <f t="shared" si="166"/>
        <v>15814.03818803781</v>
      </c>
      <c r="AO285" s="124">
        <f t="shared" si="166"/>
        <v>13441.932459832145</v>
      </c>
      <c r="AP285" s="124">
        <f t="shared" si="166"/>
        <v>11425.64259085732</v>
      </c>
      <c r="AQ285" s="124">
        <f t="shared" si="166"/>
        <v>9711.7962022287265</v>
      </c>
      <c r="AR285" s="124">
        <f t="shared" si="166"/>
        <v>8255.0267718944124</v>
      </c>
      <c r="AS285" s="124">
        <f t="shared" si="166"/>
        <v>7016.7727561102556</v>
      </c>
      <c r="AT285" s="124">
        <f t="shared" si="166"/>
        <v>5964.2568426937169</v>
      </c>
      <c r="AU285" s="124">
        <f t="shared" si="166"/>
        <v>5069.6183162896596</v>
      </c>
      <c r="AV285" s="124">
        <f t="shared" si="166"/>
        <v>4309.1755688462081</v>
      </c>
    </row>
    <row r="286" spans="2:48" ht="12.95" customHeight="1" x14ac:dyDescent="0.2">
      <c r="B286" s="14"/>
      <c r="C286" s="253" t="s">
        <v>883</v>
      </c>
      <c r="F286" s="253" t="s">
        <v>493</v>
      </c>
      <c r="G286" s="253" t="s">
        <v>432</v>
      </c>
      <c r="H286" s="277"/>
      <c r="I286" s="147"/>
      <c r="J286" s="124"/>
      <c r="K286" s="124"/>
      <c r="L286" s="124"/>
      <c r="M286" s="124"/>
      <c r="N286" s="124"/>
      <c r="O286" s="124"/>
      <c r="P286" s="124"/>
      <c r="Q286" s="124"/>
      <c r="R286" s="124"/>
      <c r="S286" s="124"/>
      <c r="T286" s="124"/>
      <c r="U286" s="124"/>
      <c r="V286" s="124"/>
      <c r="W286" s="124"/>
      <c r="X286" s="124"/>
      <c r="Y286" s="124"/>
      <c r="Z286" s="124"/>
      <c r="AA286" s="124"/>
      <c r="AB286" s="124"/>
      <c r="AC286" s="124"/>
      <c r="AD286" s="124"/>
      <c r="AE286" s="124"/>
      <c r="AF286" s="124"/>
      <c r="AG286" s="124"/>
      <c r="AH286" s="124">
        <f t="shared" ref="AH286:AV286" si="167">IF(AH159&gt;0,AG285,0)</f>
        <v>0</v>
      </c>
      <c r="AI286" s="124">
        <f t="shared" si="167"/>
        <v>0</v>
      </c>
      <c r="AJ286" s="124">
        <f t="shared" si="167"/>
        <v>0</v>
      </c>
      <c r="AK286" s="124">
        <f t="shared" si="167"/>
        <v>0</v>
      </c>
      <c r="AL286" s="124">
        <f t="shared" si="167"/>
        <v>0</v>
      </c>
      <c r="AM286" s="124">
        <f t="shared" si="167"/>
        <v>0</v>
      </c>
      <c r="AN286" s="124">
        <f t="shared" si="167"/>
        <v>0</v>
      </c>
      <c r="AO286" s="124">
        <f t="shared" si="167"/>
        <v>0</v>
      </c>
      <c r="AP286" s="124">
        <f t="shared" si="167"/>
        <v>0</v>
      </c>
      <c r="AQ286" s="124">
        <f t="shared" si="167"/>
        <v>0</v>
      </c>
      <c r="AR286" s="124">
        <f t="shared" si="167"/>
        <v>0</v>
      </c>
      <c r="AS286" s="124">
        <f t="shared" si="167"/>
        <v>0</v>
      </c>
      <c r="AT286" s="124">
        <f t="shared" si="167"/>
        <v>0</v>
      </c>
      <c r="AU286" s="124">
        <f t="shared" si="167"/>
        <v>0</v>
      </c>
      <c r="AV286" s="124">
        <f t="shared" si="167"/>
        <v>0</v>
      </c>
    </row>
    <row r="287" spans="2:48" ht="12.95" customHeight="1" x14ac:dyDescent="0.2">
      <c r="B287" s="14"/>
      <c r="C287" s="253" t="s">
        <v>884</v>
      </c>
      <c r="F287" s="253" t="s">
        <v>493</v>
      </c>
      <c r="G287" s="253" t="s">
        <v>432</v>
      </c>
      <c r="H287" s="277"/>
      <c r="I287" s="147"/>
      <c r="J287" s="124"/>
      <c r="K287" s="124"/>
      <c r="L287" s="124"/>
      <c r="M287" s="124"/>
      <c r="N287" s="124"/>
      <c r="O287" s="124"/>
      <c r="P287" s="124"/>
      <c r="Q287" s="124"/>
      <c r="R287" s="124"/>
      <c r="S287" s="124"/>
      <c r="T287" s="124"/>
      <c r="U287" s="124"/>
      <c r="V287" s="124"/>
      <c r="W287" s="124"/>
      <c r="X287" s="124"/>
      <c r="Y287" s="124"/>
      <c r="Z287" s="124"/>
      <c r="AA287" s="124"/>
      <c r="AB287" s="124"/>
      <c r="AC287" s="124"/>
      <c r="AD287" s="124"/>
      <c r="AE287" s="124"/>
      <c r="AF287" s="124"/>
      <c r="AG287" s="124"/>
      <c r="AH287" s="124"/>
      <c r="AI287" s="124">
        <f t="shared" ref="AI287:AV287" si="168">IF(AI160&gt;0,AH286,0)</f>
        <v>0</v>
      </c>
      <c r="AJ287" s="124">
        <f t="shared" si="168"/>
        <v>0</v>
      </c>
      <c r="AK287" s="124">
        <f t="shared" si="168"/>
        <v>0</v>
      </c>
      <c r="AL287" s="124">
        <f t="shared" si="168"/>
        <v>0</v>
      </c>
      <c r="AM287" s="124">
        <f t="shared" si="168"/>
        <v>0</v>
      </c>
      <c r="AN287" s="124">
        <f t="shared" si="168"/>
        <v>0</v>
      </c>
      <c r="AO287" s="124">
        <f t="shared" si="168"/>
        <v>0</v>
      </c>
      <c r="AP287" s="124">
        <f t="shared" si="168"/>
        <v>0</v>
      </c>
      <c r="AQ287" s="124">
        <f t="shared" si="168"/>
        <v>0</v>
      </c>
      <c r="AR287" s="124">
        <f t="shared" si="168"/>
        <v>0</v>
      </c>
      <c r="AS287" s="124">
        <f t="shared" si="168"/>
        <v>0</v>
      </c>
      <c r="AT287" s="124">
        <f t="shared" si="168"/>
        <v>0</v>
      </c>
      <c r="AU287" s="124">
        <f t="shared" si="168"/>
        <v>0</v>
      </c>
      <c r="AV287" s="124">
        <f t="shared" si="168"/>
        <v>0</v>
      </c>
    </row>
    <row r="288" spans="2:48" ht="12.95" customHeight="1" x14ac:dyDescent="0.2">
      <c r="B288" s="14"/>
      <c r="C288" s="253" t="s">
        <v>885</v>
      </c>
      <c r="F288" s="253" t="s">
        <v>493</v>
      </c>
      <c r="G288" s="253" t="s">
        <v>432</v>
      </c>
      <c r="H288" s="277"/>
      <c r="I288" s="147"/>
      <c r="J288" s="124"/>
      <c r="K288" s="124"/>
      <c r="L288" s="124"/>
      <c r="M288" s="124"/>
      <c r="N288" s="124"/>
      <c r="O288" s="124"/>
      <c r="P288" s="124"/>
      <c r="Q288" s="124"/>
      <c r="R288" s="124"/>
      <c r="S288" s="124"/>
      <c r="T288" s="124"/>
      <c r="U288" s="124"/>
      <c r="V288" s="124"/>
      <c r="W288" s="124"/>
      <c r="X288" s="124"/>
      <c r="Y288" s="124"/>
      <c r="Z288" s="124"/>
      <c r="AA288" s="124"/>
      <c r="AB288" s="124"/>
      <c r="AC288" s="124"/>
      <c r="AD288" s="124"/>
      <c r="AE288" s="124"/>
      <c r="AF288" s="124"/>
      <c r="AG288" s="124"/>
      <c r="AH288" s="124"/>
      <c r="AI288" s="124"/>
      <c r="AJ288" s="124">
        <f t="shared" ref="AJ288:AV288" si="169">IF(AJ161&gt;0,AI287,0)</f>
        <v>0</v>
      </c>
      <c r="AK288" s="124">
        <f t="shared" si="169"/>
        <v>0</v>
      </c>
      <c r="AL288" s="124">
        <f t="shared" si="169"/>
        <v>0</v>
      </c>
      <c r="AM288" s="124">
        <f t="shared" si="169"/>
        <v>0</v>
      </c>
      <c r="AN288" s="124">
        <f t="shared" si="169"/>
        <v>0</v>
      </c>
      <c r="AO288" s="124">
        <f t="shared" si="169"/>
        <v>0</v>
      </c>
      <c r="AP288" s="124">
        <f t="shared" si="169"/>
        <v>0</v>
      </c>
      <c r="AQ288" s="124">
        <f t="shared" si="169"/>
        <v>0</v>
      </c>
      <c r="AR288" s="124">
        <f t="shared" si="169"/>
        <v>0</v>
      </c>
      <c r="AS288" s="124">
        <f t="shared" si="169"/>
        <v>0</v>
      </c>
      <c r="AT288" s="124">
        <f t="shared" si="169"/>
        <v>0</v>
      </c>
      <c r="AU288" s="124">
        <f t="shared" si="169"/>
        <v>0</v>
      </c>
      <c r="AV288" s="124">
        <f t="shared" si="169"/>
        <v>0</v>
      </c>
    </row>
    <row r="289" spans="1:50" ht="12.95" customHeight="1" x14ac:dyDescent="0.2">
      <c r="B289" s="14"/>
      <c r="C289" s="253" t="s">
        <v>886</v>
      </c>
      <c r="F289" s="253" t="s">
        <v>493</v>
      </c>
      <c r="G289" s="253" t="s">
        <v>432</v>
      </c>
      <c r="H289" s="277"/>
      <c r="I289" s="147"/>
      <c r="J289" s="124"/>
      <c r="K289" s="124"/>
      <c r="L289" s="124"/>
      <c r="M289" s="124"/>
      <c r="N289" s="124"/>
      <c r="O289" s="124"/>
      <c r="P289" s="124"/>
      <c r="Q289" s="124"/>
      <c r="R289" s="124"/>
      <c r="S289" s="124"/>
      <c r="T289" s="124"/>
      <c r="U289" s="124"/>
      <c r="V289" s="124"/>
      <c r="W289" s="124"/>
      <c r="X289" s="124"/>
      <c r="Y289" s="124"/>
      <c r="Z289" s="124"/>
      <c r="AA289" s="124"/>
      <c r="AB289" s="124"/>
      <c r="AC289" s="124"/>
      <c r="AD289" s="124"/>
      <c r="AE289" s="124"/>
      <c r="AF289" s="124"/>
      <c r="AG289" s="124"/>
      <c r="AH289" s="124"/>
      <c r="AI289" s="124"/>
      <c r="AJ289" s="124"/>
      <c r="AK289" s="124">
        <f t="shared" ref="AK289:AV289" si="170">IF(AK162&gt;0,AJ288,0)</f>
        <v>0</v>
      </c>
      <c r="AL289" s="124">
        <f t="shared" si="170"/>
        <v>0</v>
      </c>
      <c r="AM289" s="124">
        <f t="shared" si="170"/>
        <v>0</v>
      </c>
      <c r="AN289" s="124">
        <f t="shared" si="170"/>
        <v>0</v>
      </c>
      <c r="AO289" s="124">
        <f t="shared" si="170"/>
        <v>0</v>
      </c>
      <c r="AP289" s="124">
        <f t="shared" si="170"/>
        <v>0</v>
      </c>
      <c r="AQ289" s="124">
        <f t="shared" si="170"/>
        <v>0</v>
      </c>
      <c r="AR289" s="124">
        <f t="shared" si="170"/>
        <v>0</v>
      </c>
      <c r="AS289" s="124">
        <f t="shared" si="170"/>
        <v>0</v>
      </c>
      <c r="AT289" s="124">
        <f t="shared" si="170"/>
        <v>0</v>
      </c>
      <c r="AU289" s="124">
        <f t="shared" si="170"/>
        <v>0</v>
      </c>
      <c r="AV289" s="124">
        <f t="shared" si="170"/>
        <v>0</v>
      </c>
    </row>
    <row r="290" spans="1:50" ht="12.95" customHeight="1" x14ac:dyDescent="0.2">
      <c r="B290" s="14"/>
      <c r="C290" s="253" t="s">
        <v>887</v>
      </c>
      <c r="F290" s="253" t="s">
        <v>493</v>
      </c>
      <c r="G290" s="253" t="s">
        <v>432</v>
      </c>
      <c r="H290" s="277"/>
      <c r="I290" s="147"/>
      <c r="J290" s="124"/>
      <c r="K290" s="124"/>
      <c r="L290" s="124"/>
      <c r="M290" s="124"/>
      <c r="N290" s="124"/>
      <c r="O290" s="124"/>
      <c r="P290" s="124"/>
      <c r="Q290" s="124"/>
      <c r="R290" s="124"/>
      <c r="S290" s="124"/>
      <c r="T290" s="124"/>
      <c r="U290" s="124"/>
      <c r="V290" s="124"/>
      <c r="W290" s="124"/>
      <c r="X290" s="124"/>
      <c r="Y290" s="124"/>
      <c r="Z290" s="124"/>
      <c r="AA290" s="124"/>
      <c r="AB290" s="124"/>
      <c r="AC290" s="124"/>
      <c r="AD290" s="124"/>
      <c r="AE290" s="124"/>
      <c r="AF290" s="124"/>
      <c r="AG290" s="124"/>
      <c r="AH290" s="124"/>
      <c r="AI290" s="124"/>
      <c r="AJ290" s="124"/>
      <c r="AK290" s="124"/>
      <c r="AL290" s="124">
        <f t="shared" ref="AL290:AV290" si="171">IF(AL163&gt;0,AK289,0)</f>
        <v>0</v>
      </c>
      <c r="AM290" s="124">
        <f t="shared" si="171"/>
        <v>0</v>
      </c>
      <c r="AN290" s="124">
        <f t="shared" si="171"/>
        <v>0</v>
      </c>
      <c r="AO290" s="124">
        <f t="shared" si="171"/>
        <v>0</v>
      </c>
      <c r="AP290" s="124">
        <f t="shared" si="171"/>
        <v>0</v>
      </c>
      <c r="AQ290" s="124">
        <f t="shared" si="171"/>
        <v>0</v>
      </c>
      <c r="AR290" s="124">
        <f t="shared" si="171"/>
        <v>0</v>
      </c>
      <c r="AS290" s="124">
        <f t="shared" si="171"/>
        <v>0</v>
      </c>
      <c r="AT290" s="124">
        <f t="shared" si="171"/>
        <v>0</v>
      </c>
      <c r="AU290" s="124">
        <f t="shared" si="171"/>
        <v>0</v>
      </c>
      <c r="AV290" s="124">
        <f t="shared" si="171"/>
        <v>0</v>
      </c>
    </row>
    <row r="291" spans="1:50" ht="12.95" customHeight="1" x14ac:dyDescent="0.2">
      <c r="B291" s="14"/>
      <c r="C291" s="253" t="s">
        <v>888</v>
      </c>
      <c r="F291" s="253" t="s">
        <v>493</v>
      </c>
      <c r="G291" s="253" t="s">
        <v>432</v>
      </c>
      <c r="H291" s="277"/>
      <c r="I291" s="147"/>
      <c r="J291" s="124"/>
      <c r="K291" s="124"/>
      <c r="L291" s="124"/>
      <c r="M291" s="124"/>
      <c r="N291" s="124"/>
      <c r="O291" s="124"/>
      <c r="P291" s="124"/>
      <c r="Q291" s="124"/>
      <c r="R291" s="124"/>
      <c r="S291" s="124"/>
      <c r="T291" s="124"/>
      <c r="U291" s="124"/>
      <c r="V291" s="124"/>
      <c r="W291" s="124"/>
      <c r="X291" s="124"/>
      <c r="Y291" s="124"/>
      <c r="Z291" s="124"/>
      <c r="AA291" s="124"/>
      <c r="AB291" s="124"/>
      <c r="AC291" s="124"/>
      <c r="AD291" s="124"/>
      <c r="AE291" s="124"/>
      <c r="AF291" s="124"/>
      <c r="AG291" s="124"/>
      <c r="AH291" s="124"/>
      <c r="AI291" s="124"/>
      <c r="AJ291" s="124"/>
      <c r="AK291" s="124"/>
      <c r="AL291" s="124"/>
      <c r="AM291" s="124">
        <f t="shared" ref="AM291:AV291" si="172">IF(AM164&gt;0,AL290,0)</f>
        <v>0</v>
      </c>
      <c r="AN291" s="124">
        <f t="shared" si="172"/>
        <v>0</v>
      </c>
      <c r="AO291" s="124">
        <f t="shared" si="172"/>
        <v>0</v>
      </c>
      <c r="AP291" s="124">
        <f t="shared" si="172"/>
        <v>0</v>
      </c>
      <c r="AQ291" s="124">
        <f t="shared" si="172"/>
        <v>0</v>
      </c>
      <c r="AR291" s="124">
        <f t="shared" si="172"/>
        <v>0</v>
      </c>
      <c r="AS291" s="124">
        <f t="shared" si="172"/>
        <v>0</v>
      </c>
      <c r="AT291" s="124">
        <f t="shared" si="172"/>
        <v>0</v>
      </c>
      <c r="AU291" s="124">
        <f t="shared" si="172"/>
        <v>0</v>
      </c>
      <c r="AV291" s="124">
        <f t="shared" si="172"/>
        <v>0</v>
      </c>
    </row>
    <row r="292" spans="1:50" ht="12.95" customHeight="1" x14ac:dyDescent="0.2">
      <c r="B292" s="14"/>
      <c r="C292" s="253" t="s">
        <v>889</v>
      </c>
      <c r="F292" s="253" t="s">
        <v>493</v>
      </c>
      <c r="G292" s="253" t="s">
        <v>432</v>
      </c>
      <c r="H292" s="277"/>
      <c r="I292" s="147"/>
      <c r="J292" s="124"/>
      <c r="K292" s="124"/>
      <c r="L292" s="124"/>
      <c r="M292" s="124"/>
      <c r="N292" s="124"/>
      <c r="O292" s="124"/>
      <c r="P292" s="124"/>
      <c r="Q292" s="124"/>
      <c r="R292" s="124"/>
      <c r="S292" s="124"/>
      <c r="T292" s="124"/>
      <c r="U292" s="124"/>
      <c r="V292" s="124"/>
      <c r="W292" s="124"/>
      <c r="X292" s="124"/>
      <c r="Y292" s="124"/>
      <c r="Z292" s="124"/>
      <c r="AA292" s="124"/>
      <c r="AB292" s="124"/>
      <c r="AC292" s="124"/>
      <c r="AD292" s="124"/>
      <c r="AE292" s="124"/>
      <c r="AF292" s="124"/>
      <c r="AG292" s="124"/>
      <c r="AH292" s="124"/>
      <c r="AI292" s="124"/>
      <c r="AJ292" s="124"/>
      <c r="AK292" s="124"/>
      <c r="AL292" s="124"/>
      <c r="AM292" s="124"/>
      <c r="AN292" s="124">
        <f t="shared" ref="AN292:AV292" si="173">IF(AN165&gt;0,AM291,0)</f>
        <v>0</v>
      </c>
      <c r="AO292" s="124">
        <f t="shared" si="173"/>
        <v>0</v>
      </c>
      <c r="AP292" s="124">
        <f t="shared" si="173"/>
        <v>0</v>
      </c>
      <c r="AQ292" s="124">
        <f t="shared" si="173"/>
        <v>0</v>
      </c>
      <c r="AR292" s="124">
        <f t="shared" si="173"/>
        <v>0</v>
      </c>
      <c r="AS292" s="124">
        <f t="shared" si="173"/>
        <v>0</v>
      </c>
      <c r="AT292" s="124">
        <f t="shared" si="173"/>
        <v>0</v>
      </c>
      <c r="AU292" s="124">
        <f t="shared" si="173"/>
        <v>0</v>
      </c>
      <c r="AV292" s="124">
        <f t="shared" si="173"/>
        <v>0</v>
      </c>
    </row>
    <row r="293" spans="1:50" ht="12.95" customHeight="1" x14ac:dyDescent="0.2">
      <c r="B293" s="14"/>
      <c r="C293" s="253" t="s">
        <v>890</v>
      </c>
      <c r="F293" s="253" t="s">
        <v>493</v>
      </c>
      <c r="G293" s="253" t="s">
        <v>432</v>
      </c>
      <c r="H293" s="277"/>
      <c r="I293" s="147"/>
      <c r="J293" s="124"/>
      <c r="K293" s="124"/>
      <c r="L293" s="124"/>
      <c r="M293" s="124"/>
      <c r="N293" s="124"/>
      <c r="O293" s="124"/>
      <c r="P293" s="124"/>
      <c r="Q293" s="124"/>
      <c r="R293" s="124"/>
      <c r="S293" s="124"/>
      <c r="T293" s="124"/>
      <c r="U293" s="124"/>
      <c r="V293" s="124"/>
      <c r="W293" s="124"/>
      <c r="X293" s="124"/>
      <c r="Y293" s="124"/>
      <c r="Z293" s="124"/>
      <c r="AA293" s="124"/>
      <c r="AB293" s="124"/>
      <c r="AC293" s="124"/>
      <c r="AD293" s="124"/>
      <c r="AE293" s="124"/>
      <c r="AF293" s="124"/>
      <c r="AG293" s="124"/>
      <c r="AH293" s="124"/>
      <c r="AI293" s="124"/>
      <c r="AJ293" s="124"/>
      <c r="AK293" s="124"/>
      <c r="AL293" s="124"/>
      <c r="AM293" s="124"/>
      <c r="AN293" s="124"/>
      <c r="AO293" s="124">
        <f t="shared" ref="AO293:AV293" si="174">IF(AO166&gt;0,AN292,0)</f>
        <v>0</v>
      </c>
      <c r="AP293" s="124">
        <f t="shared" si="174"/>
        <v>0</v>
      </c>
      <c r="AQ293" s="124">
        <f t="shared" si="174"/>
        <v>0</v>
      </c>
      <c r="AR293" s="124">
        <f t="shared" si="174"/>
        <v>0</v>
      </c>
      <c r="AS293" s="124">
        <f t="shared" si="174"/>
        <v>0</v>
      </c>
      <c r="AT293" s="124">
        <f t="shared" si="174"/>
        <v>0</v>
      </c>
      <c r="AU293" s="124">
        <f t="shared" si="174"/>
        <v>0</v>
      </c>
      <c r="AV293" s="124">
        <f t="shared" si="174"/>
        <v>0</v>
      </c>
    </row>
    <row r="294" spans="1:50" ht="12.95" customHeight="1" x14ac:dyDescent="0.2">
      <c r="B294" s="14"/>
      <c r="C294" s="253" t="s">
        <v>891</v>
      </c>
      <c r="F294" s="253" t="s">
        <v>493</v>
      </c>
      <c r="G294" s="253" t="s">
        <v>432</v>
      </c>
      <c r="H294" s="277"/>
      <c r="I294" s="147"/>
      <c r="J294" s="124"/>
      <c r="K294" s="124"/>
      <c r="L294" s="124"/>
      <c r="M294" s="124"/>
      <c r="N294" s="124"/>
      <c r="O294" s="124"/>
      <c r="P294" s="124"/>
      <c r="Q294" s="124"/>
      <c r="R294" s="124"/>
      <c r="S294" s="124"/>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4"/>
      <c r="AP294" s="124">
        <f t="shared" ref="AP294:AV294" si="175">IF(AP167&gt;0,AO293,0)</f>
        <v>0</v>
      </c>
      <c r="AQ294" s="124">
        <f t="shared" si="175"/>
        <v>0</v>
      </c>
      <c r="AR294" s="124">
        <f t="shared" si="175"/>
        <v>0</v>
      </c>
      <c r="AS294" s="124">
        <f t="shared" si="175"/>
        <v>0</v>
      </c>
      <c r="AT294" s="124">
        <f t="shared" si="175"/>
        <v>0</v>
      </c>
      <c r="AU294" s="124">
        <f t="shared" si="175"/>
        <v>0</v>
      </c>
      <c r="AV294" s="124">
        <f t="shared" si="175"/>
        <v>0</v>
      </c>
    </row>
    <row r="295" spans="1:50" ht="12.95" customHeight="1" x14ac:dyDescent="0.2">
      <c r="B295" s="14"/>
      <c r="C295" s="253" t="s">
        <v>892</v>
      </c>
      <c r="F295" s="253" t="s">
        <v>493</v>
      </c>
      <c r="G295" s="253" t="s">
        <v>432</v>
      </c>
      <c r="H295" s="277"/>
      <c r="I295" s="147"/>
      <c r="J295" s="124"/>
      <c r="K295" s="124"/>
      <c r="L295" s="124"/>
      <c r="M295" s="124"/>
      <c r="N295" s="124"/>
      <c r="O295" s="124"/>
      <c r="P295" s="124"/>
      <c r="Q295" s="124"/>
      <c r="R295" s="124"/>
      <c r="S295" s="124"/>
      <c r="T295" s="124"/>
      <c r="U295" s="124"/>
      <c r="V295" s="124"/>
      <c r="W295" s="124"/>
      <c r="X295" s="124"/>
      <c r="Y295" s="124"/>
      <c r="Z295" s="124"/>
      <c r="AA295" s="124"/>
      <c r="AB295" s="124"/>
      <c r="AC295" s="124"/>
      <c r="AD295" s="124"/>
      <c r="AE295" s="124"/>
      <c r="AF295" s="124"/>
      <c r="AG295" s="124"/>
      <c r="AH295" s="124"/>
      <c r="AI295" s="124"/>
      <c r="AJ295" s="124"/>
      <c r="AK295" s="124"/>
      <c r="AL295" s="124"/>
      <c r="AM295" s="124"/>
      <c r="AN295" s="124"/>
      <c r="AO295" s="124"/>
      <c r="AP295" s="124"/>
      <c r="AQ295" s="124">
        <f t="shared" ref="AQ295:AV295" si="176">IF(AQ168&gt;0,AP294,0)</f>
        <v>0</v>
      </c>
      <c r="AR295" s="124">
        <f t="shared" si="176"/>
        <v>0</v>
      </c>
      <c r="AS295" s="124">
        <f t="shared" si="176"/>
        <v>0</v>
      </c>
      <c r="AT295" s="124">
        <f t="shared" si="176"/>
        <v>0</v>
      </c>
      <c r="AU295" s="124">
        <f t="shared" si="176"/>
        <v>0</v>
      </c>
      <c r="AV295" s="124">
        <f t="shared" si="176"/>
        <v>0</v>
      </c>
    </row>
    <row r="296" spans="1:50" ht="12.95" customHeight="1" x14ac:dyDescent="0.2">
      <c r="B296" s="14"/>
      <c r="C296" s="253" t="s">
        <v>893</v>
      </c>
      <c r="F296" s="253" t="s">
        <v>493</v>
      </c>
      <c r="G296" s="253" t="s">
        <v>432</v>
      </c>
      <c r="H296" s="277"/>
      <c r="I296" s="147"/>
      <c r="J296" s="124"/>
      <c r="K296" s="124"/>
      <c r="L296" s="124"/>
      <c r="M296" s="124"/>
      <c r="N296" s="124"/>
      <c r="O296" s="124"/>
      <c r="P296" s="124"/>
      <c r="Q296" s="124"/>
      <c r="R296" s="124"/>
      <c r="S296" s="124"/>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4"/>
      <c r="AP296" s="124"/>
      <c r="AQ296" s="124"/>
      <c r="AR296" s="124">
        <f>IF(AR169&gt;0,AQ295,0)</f>
        <v>0</v>
      </c>
      <c r="AS296" s="124">
        <f>IF(AS169&gt;0,AR295,0)</f>
        <v>0</v>
      </c>
      <c r="AT296" s="124">
        <f>IF(AT169&gt;0,AS295,0)</f>
        <v>0</v>
      </c>
      <c r="AU296" s="124">
        <f>IF(AU169&gt;0,AT295,0)</f>
        <v>0</v>
      </c>
      <c r="AV296" s="124">
        <f>IF(AV169&gt;0,AU295,0)</f>
        <v>0</v>
      </c>
    </row>
    <row r="297" spans="1:50" ht="12.95" customHeight="1" x14ac:dyDescent="0.2">
      <c r="B297" s="14"/>
      <c r="C297" s="253" t="s">
        <v>894</v>
      </c>
      <c r="F297" s="253" t="s">
        <v>493</v>
      </c>
      <c r="G297" s="253" t="s">
        <v>432</v>
      </c>
      <c r="H297" s="277"/>
      <c r="I297" s="147"/>
      <c r="J297" s="124"/>
      <c r="K297" s="124"/>
      <c r="L297" s="124"/>
      <c r="M297" s="124"/>
      <c r="N297" s="124"/>
      <c r="O297" s="124"/>
      <c r="P297" s="124"/>
      <c r="Q297" s="124"/>
      <c r="R297" s="124"/>
      <c r="S297" s="124"/>
      <c r="T297" s="124"/>
      <c r="U297" s="124"/>
      <c r="V297" s="124"/>
      <c r="W297" s="124"/>
      <c r="X297" s="124"/>
      <c r="Y297" s="124"/>
      <c r="Z297" s="124"/>
      <c r="AA297" s="124"/>
      <c r="AB297" s="124"/>
      <c r="AC297" s="124"/>
      <c r="AD297" s="124"/>
      <c r="AE297" s="124"/>
      <c r="AF297" s="124"/>
      <c r="AG297" s="124"/>
      <c r="AH297" s="124"/>
      <c r="AI297" s="124"/>
      <c r="AJ297" s="124"/>
      <c r="AK297" s="124"/>
      <c r="AL297" s="124"/>
      <c r="AM297" s="124"/>
      <c r="AN297" s="124"/>
      <c r="AO297" s="124"/>
      <c r="AP297" s="124"/>
      <c r="AQ297" s="124"/>
      <c r="AR297" s="124"/>
      <c r="AS297" s="124">
        <f>IF(AS170&gt;0,AR296,0)</f>
        <v>0</v>
      </c>
      <c r="AT297" s="124">
        <f>IF(AT170&gt;0,AS296,0)</f>
        <v>0</v>
      </c>
      <c r="AU297" s="124">
        <f>IF(AU170&gt;0,AT296,0)</f>
        <v>0</v>
      </c>
      <c r="AV297" s="124">
        <f>IF(AV170&gt;0,AU296,0)</f>
        <v>0</v>
      </c>
    </row>
    <row r="298" spans="1:50" ht="12.95" customHeight="1" x14ac:dyDescent="0.2">
      <c r="B298" s="14"/>
      <c r="C298" s="253" t="s">
        <v>895</v>
      </c>
      <c r="F298" s="253" t="s">
        <v>493</v>
      </c>
      <c r="G298" s="253" t="s">
        <v>432</v>
      </c>
      <c r="H298" s="277"/>
      <c r="I298" s="147"/>
      <c r="J298" s="124"/>
      <c r="K298" s="124"/>
      <c r="L298" s="124"/>
      <c r="M298" s="124"/>
      <c r="N298" s="124"/>
      <c r="O298" s="124"/>
      <c r="P298" s="124"/>
      <c r="Q298" s="124"/>
      <c r="R298" s="124"/>
      <c r="S298" s="124"/>
      <c r="T298" s="124"/>
      <c r="U298" s="124"/>
      <c r="V298" s="124"/>
      <c r="W298" s="124"/>
      <c r="X298" s="124"/>
      <c r="Y298" s="124"/>
      <c r="Z298" s="124"/>
      <c r="AA298" s="124"/>
      <c r="AB298" s="124"/>
      <c r="AC298" s="124"/>
      <c r="AD298" s="124"/>
      <c r="AE298" s="124"/>
      <c r="AF298" s="124"/>
      <c r="AG298" s="124"/>
      <c r="AH298" s="124"/>
      <c r="AI298" s="124"/>
      <c r="AJ298" s="124"/>
      <c r="AK298" s="124"/>
      <c r="AL298" s="124"/>
      <c r="AM298" s="124"/>
      <c r="AN298" s="124"/>
      <c r="AO298" s="124"/>
      <c r="AP298" s="124"/>
      <c r="AQ298" s="124"/>
      <c r="AR298" s="124"/>
      <c r="AS298" s="124"/>
      <c r="AT298" s="124">
        <f>IF(AT171&gt;0,AS297,0)</f>
        <v>0</v>
      </c>
      <c r="AU298" s="124">
        <f>IF(AU171&gt;0,AT297,0)</f>
        <v>0</v>
      </c>
      <c r="AV298" s="124">
        <f>IF(AV171&gt;0,AU297,0)</f>
        <v>0</v>
      </c>
    </row>
    <row r="299" spans="1:50" ht="12.95" customHeight="1" x14ac:dyDescent="0.2">
      <c r="B299" s="14"/>
      <c r="C299" s="253" t="s">
        <v>896</v>
      </c>
      <c r="F299" s="253" t="s">
        <v>493</v>
      </c>
      <c r="G299" s="253" t="s">
        <v>432</v>
      </c>
      <c r="H299" s="277"/>
      <c r="I299" s="147"/>
      <c r="J299" s="124"/>
      <c r="K299" s="124"/>
      <c r="L299" s="124"/>
      <c r="M299" s="124"/>
      <c r="N299" s="124"/>
      <c r="O299" s="124"/>
      <c r="P299" s="124"/>
      <c r="Q299" s="124"/>
      <c r="R299" s="124"/>
      <c r="S299" s="124"/>
      <c r="T299" s="124"/>
      <c r="U299" s="124"/>
      <c r="V299" s="124"/>
      <c r="W299" s="124"/>
      <c r="X299" s="124"/>
      <c r="Y299" s="124"/>
      <c r="Z299" s="124"/>
      <c r="AA299" s="124"/>
      <c r="AB299" s="124"/>
      <c r="AC299" s="124"/>
      <c r="AD299" s="124"/>
      <c r="AE299" s="124"/>
      <c r="AF299" s="124"/>
      <c r="AG299" s="124"/>
      <c r="AH299" s="124"/>
      <c r="AI299" s="124"/>
      <c r="AJ299" s="124"/>
      <c r="AK299" s="124"/>
      <c r="AL299" s="124"/>
      <c r="AM299" s="124"/>
      <c r="AN299" s="124"/>
      <c r="AO299" s="124"/>
      <c r="AP299" s="124"/>
      <c r="AQ299" s="124"/>
      <c r="AR299" s="124"/>
      <c r="AS299" s="124"/>
      <c r="AT299" s="124"/>
      <c r="AU299" s="124">
        <f>IF(AU172&gt;0,AT298,0)</f>
        <v>0</v>
      </c>
      <c r="AV299" s="124">
        <f>IF(AV172&gt;0,AU298,0)</f>
        <v>0</v>
      </c>
    </row>
    <row r="300" spans="1:50" ht="12.95" customHeight="1" x14ac:dyDescent="0.2">
      <c r="B300" s="14"/>
      <c r="C300" s="253" t="s">
        <v>897</v>
      </c>
      <c r="F300" s="253" t="s">
        <v>493</v>
      </c>
      <c r="G300" s="253" t="s">
        <v>432</v>
      </c>
      <c r="H300" s="277"/>
      <c r="I300" s="147"/>
      <c r="J300" s="124"/>
      <c r="K300" s="124"/>
      <c r="L300" s="124"/>
      <c r="M300" s="124"/>
      <c r="N300" s="124"/>
      <c r="O300" s="124"/>
      <c r="P300" s="124"/>
      <c r="Q300" s="124"/>
      <c r="R300" s="124"/>
      <c r="S300" s="124"/>
      <c r="T300" s="124"/>
      <c r="U300" s="124"/>
      <c r="V300" s="124"/>
      <c r="W300" s="124"/>
      <c r="X300" s="124"/>
      <c r="Y300" s="124"/>
      <c r="Z300" s="124"/>
      <c r="AA300" s="124"/>
      <c r="AB300" s="124"/>
      <c r="AC300" s="124"/>
      <c r="AD300" s="124"/>
      <c r="AE300" s="124"/>
      <c r="AF300" s="124"/>
      <c r="AG300" s="124"/>
      <c r="AH300" s="124"/>
      <c r="AI300" s="124"/>
      <c r="AJ300" s="124"/>
      <c r="AK300" s="124"/>
      <c r="AL300" s="124"/>
      <c r="AM300" s="124"/>
      <c r="AN300" s="124"/>
      <c r="AO300" s="124"/>
      <c r="AP300" s="124"/>
      <c r="AQ300" s="124"/>
      <c r="AR300" s="124"/>
      <c r="AS300" s="124"/>
      <c r="AT300" s="124"/>
      <c r="AU300" s="124"/>
      <c r="AV300" s="124">
        <f>IF(AV173&gt;0,AU299,0)</f>
        <v>0</v>
      </c>
    </row>
    <row r="301" spans="1:50" ht="12.95" customHeight="1" x14ac:dyDescent="0.2">
      <c r="C301" s="253" t="s">
        <v>972</v>
      </c>
      <c r="F301" s="253" t="s">
        <v>493</v>
      </c>
      <c r="G301" s="253" t="s">
        <v>432</v>
      </c>
      <c r="H301" s="124"/>
      <c r="I301" s="124">
        <f t="shared" ref="I301:AV301" si="177">SUM(I261:I300)</f>
        <v>69884.035963081726</v>
      </c>
      <c r="J301" s="124">
        <f t="shared" si="177"/>
        <v>111814.45754093077</v>
      </c>
      <c r="K301" s="124">
        <f t="shared" si="177"/>
        <v>147455.31588210247</v>
      </c>
      <c r="L301" s="124">
        <f t="shared" si="177"/>
        <v>177750.0454720984</v>
      </c>
      <c r="M301" s="124">
        <f t="shared" si="177"/>
        <v>203500.56562359494</v>
      </c>
      <c r="N301" s="124">
        <f t="shared" si="177"/>
        <v>225388.50775236703</v>
      </c>
      <c r="O301" s="124">
        <f t="shared" si="177"/>
        <v>243993.25856182328</v>
      </c>
      <c r="P301" s="124">
        <f t="shared" si="177"/>
        <v>259807.2967498611</v>
      </c>
      <c r="Q301" s="124">
        <f t="shared" si="177"/>
        <v>273249.22920969321</v>
      </c>
      <c r="R301" s="124">
        <f t="shared" si="177"/>
        <v>284674.87180055055</v>
      </c>
      <c r="S301" s="124">
        <f t="shared" si="177"/>
        <v>294386.6680027793</v>
      </c>
      <c r="T301" s="124">
        <f t="shared" si="177"/>
        <v>302641.69477467367</v>
      </c>
      <c r="U301" s="124">
        <f t="shared" si="177"/>
        <v>309658.46753078396</v>
      </c>
      <c r="V301" s="124">
        <f t="shared" si="177"/>
        <v>315622.72437347769</v>
      </c>
      <c r="W301" s="124">
        <f t="shared" si="177"/>
        <v>320692.34268976731</v>
      </c>
      <c r="X301" s="124">
        <f t="shared" si="177"/>
        <v>325001.51825861353</v>
      </c>
      <c r="Y301" s="124">
        <f t="shared" si="177"/>
        <v>328664.31749213283</v>
      </c>
      <c r="Z301" s="124">
        <f t="shared" si="177"/>
        <v>331777.69684062421</v>
      </c>
      <c r="AA301" s="124">
        <f t="shared" si="177"/>
        <v>334424.0692868419</v>
      </c>
      <c r="AB301" s="124">
        <f t="shared" si="177"/>
        <v>336673.48586612695</v>
      </c>
      <c r="AC301" s="124">
        <f t="shared" si="177"/>
        <v>338585.48995851923</v>
      </c>
      <c r="AD301" s="124">
        <f t="shared" si="177"/>
        <v>340210.69343705266</v>
      </c>
      <c r="AE301" s="124">
        <f t="shared" si="177"/>
        <v>341592.11639380606</v>
      </c>
      <c r="AF301" s="124">
        <f t="shared" si="177"/>
        <v>342766.32590704644</v>
      </c>
      <c r="AG301" s="124">
        <f t="shared" si="177"/>
        <v>343764.40399330074</v>
      </c>
      <c r="AH301" s="124">
        <f t="shared" si="177"/>
        <v>343764.40399330074</v>
      </c>
      <c r="AI301" s="124">
        <f t="shared" si="177"/>
        <v>343764.4039933008</v>
      </c>
      <c r="AJ301" s="124">
        <f t="shared" si="177"/>
        <v>343764.4039933008</v>
      </c>
      <c r="AK301" s="124">
        <f t="shared" si="177"/>
        <v>343764.4039933008</v>
      </c>
      <c r="AL301" s="124">
        <f t="shared" si="177"/>
        <v>343764.40399330086</v>
      </c>
      <c r="AM301" s="124">
        <f t="shared" si="177"/>
        <v>343764.40399330086</v>
      </c>
      <c r="AN301" s="124">
        <f t="shared" si="177"/>
        <v>343764.40399330086</v>
      </c>
      <c r="AO301" s="124">
        <f t="shared" si="177"/>
        <v>343764.40399330092</v>
      </c>
      <c r="AP301" s="124">
        <f t="shared" si="177"/>
        <v>343764.40399330086</v>
      </c>
      <c r="AQ301" s="124">
        <f t="shared" si="177"/>
        <v>343764.40399330086</v>
      </c>
      <c r="AR301" s="124">
        <f t="shared" si="177"/>
        <v>343764.40399330086</v>
      </c>
      <c r="AS301" s="124">
        <f t="shared" si="177"/>
        <v>343764.4039933008</v>
      </c>
      <c r="AT301" s="124">
        <f t="shared" si="177"/>
        <v>343764.40399330086</v>
      </c>
      <c r="AU301" s="124">
        <f t="shared" si="177"/>
        <v>343764.40399330086</v>
      </c>
      <c r="AV301" s="124">
        <f t="shared" si="177"/>
        <v>343764.4039933008</v>
      </c>
    </row>
    <row r="302" spans="1:50" ht="12.95" customHeight="1" x14ac:dyDescent="0.2">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row>
    <row r="303" spans="1:50" ht="12.95" customHeight="1" x14ac:dyDescent="0.2">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row>
    <row r="304" spans="1:50" ht="12.95" customHeight="1" x14ac:dyDescent="0.2">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row>
    <row r="305" spans="1:50" ht="12.95" customHeight="1" x14ac:dyDescent="0.2">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row>
    <row r="306" spans="1:50" ht="12.95" customHeight="1" x14ac:dyDescent="0.2">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row>
    <row r="307" spans="1:50" ht="12.95" customHeight="1" x14ac:dyDescent="0.2">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row>
    <row r="308" spans="1:50" ht="12.95" customHeight="1" x14ac:dyDescent="0.2">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row>
    <row r="309" spans="1:50" ht="12.95" customHeight="1" x14ac:dyDescent="0.2">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row>
    <row r="310" spans="1:50" ht="12.95" customHeight="1" x14ac:dyDescent="0.2">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row>
    <row r="311" spans="1:50" ht="12.95" customHeight="1" x14ac:dyDescent="0.2">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row>
    <row r="312" spans="1:50" ht="12.95" customHeight="1" x14ac:dyDescent="0.2">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row>
    <row r="313" spans="1:50" ht="12.95" customHeight="1" x14ac:dyDescent="0.2">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row>
    <row r="314" spans="1:50" ht="12.95" customHeight="1" x14ac:dyDescent="0.2">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row>
    <row r="315" spans="1:50" ht="12.95" customHeight="1" x14ac:dyDescent="0.2">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row>
    <row r="316" spans="1:50" ht="12.95" customHeight="1" x14ac:dyDescent="0.2">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row>
    <row r="317" spans="1:50" ht="12.95" customHeight="1" x14ac:dyDescent="0.2">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row>
    <row r="318" spans="1:50" ht="12.95" customHeight="1" x14ac:dyDescent="0.2">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row>
    <row r="319" spans="1:50" ht="12.95" customHeight="1" x14ac:dyDescent="0.2">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row>
    <row r="320" spans="1:50" ht="12.95" customHeight="1" x14ac:dyDescent="0.2">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row>
    <row r="321" spans="1:50" ht="12.95" customHeight="1" x14ac:dyDescent="0.2">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row>
    <row r="322" spans="1:50" ht="12.95" customHeight="1" x14ac:dyDescent="0.2">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row>
    <row r="323" spans="1:50" ht="12.95" customHeight="1" x14ac:dyDescent="0.2">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row>
    <row r="324" spans="1:50" ht="12.95" customHeight="1" x14ac:dyDescent="0.2">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row>
    <row r="325" spans="1:50" ht="12.95" customHeight="1" x14ac:dyDescent="0.2">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row>
    <row r="326" spans="1:50" ht="12.95" customHeight="1" x14ac:dyDescent="0.2">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row>
    <row r="327" spans="1:50" ht="12.95" customHeight="1" x14ac:dyDescent="0.2">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row>
    <row r="328" spans="1:50" ht="12.95" customHeight="1" x14ac:dyDescent="0.2">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row>
    <row r="329" spans="1:50" ht="12.95" customHeight="1" x14ac:dyDescent="0.2">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row>
    <row r="330" spans="1:50" ht="12.95" customHeight="1" x14ac:dyDescent="0.2">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row>
    <row r="331" spans="1:50" ht="12.95" customHeight="1" x14ac:dyDescent="0.2">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row>
    <row r="332" spans="1:50" ht="12.95" customHeight="1" x14ac:dyDescent="0.2">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row>
    <row r="333" spans="1:50" ht="12.95" customHeight="1" x14ac:dyDescent="0.2">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row>
    <row r="334" spans="1:50" ht="12.95" customHeight="1" x14ac:dyDescent="0.2">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row>
    <row r="335" spans="1:50" ht="12.95" customHeight="1" x14ac:dyDescent="0.2">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row>
    <row r="336" spans="1:50" ht="12.95" customHeight="1" x14ac:dyDescent="0.2">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row>
    <row r="337" spans="1:50" ht="12.95" customHeight="1" x14ac:dyDescent="0.2">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row>
    <row r="338" spans="1:50" ht="12.95" customHeight="1" x14ac:dyDescent="0.2">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row>
    <row r="339" spans="1:50" ht="12.95" customHeight="1" x14ac:dyDescent="0.2">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row>
    <row r="340" spans="1:50" ht="12.95" customHeight="1" x14ac:dyDescent="0.2">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row>
    <row r="341" spans="1:50" ht="12.95" customHeight="1" x14ac:dyDescent="0.2">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row>
    <row r="342" spans="1:50" ht="12.95" customHeight="1" x14ac:dyDescent="0.2">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row>
    <row r="343" spans="1:50" ht="12.95" customHeight="1" x14ac:dyDescent="0.2">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row>
    <row r="344" spans="1:50" ht="12.95" customHeight="1" x14ac:dyDescent="0.2">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row>
    <row r="345" spans="1:50" ht="12.95" customHeight="1" x14ac:dyDescent="0.2">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row>
    <row r="346" spans="1:50" ht="12.95" customHeight="1" x14ac:dyDescent="0.2">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row>
    <row r="347" spans="1:50" ht="12.95" customHeight="1" x14ac:dyDescent="0.2">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row>
    <row r="348" spans="1:50" ht="12.95" customHeight="1" x14ac:dyDescent="0.2">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row>
    <row r="349" spans="1:50" ht="12.95" customHeight="1" x14ac:dyDescent="0.2">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row>
    <row r="350" spans="1:50" ht="12.95" customHeight="1" x14ac:dyDescent="0.2">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row>
    <row r="351" spans="1:50" ht="12.95" customHeight="1" x14ac:dyDescent="0.2">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row>
    <row r="352" spans="1:50" ht="12.95" customHeight="1" x14ac:dyDescent="0.2">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row>
    <row r="353" spans="1:50" ht="12.95" customHeight="1" x14ac:dyDescent="0.2">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row>
    <row r="354" spans="1:50" ht="12.95" customHeight="1" x14ac:dyDescent="0.2">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row>
    <row r="355" spans="1:50" ht="12.95" customHeight="1" x14ac:dyDescent="0.2">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row>
    <row r="356" spans="1:50" ht="12.95" customHeight="1" x14ac:dyDescent="0.2">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row>
    <row r="357" spans="1:50" ht="12.95" customHeight="1" x14ac:dyDescent="0.2">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row>
    <row r="358" spans="1:50" ht="12.95" customHeight="1" x14ac:dyDescent="0.2">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row>
    <row r="359" spans="1:50" ht="12.95" customHeight="1" x14ac:dyDescent="0.2">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row>
    <row r="360" spans="1:50" ht="12.95" customHeight="1" x14ac:dyDescent="0.2">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row>
    <row r="361" spans="1:50" ht="12.95" customHeight="1" x14ac:dyDescent="0.2">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row>
    <row r="362" spans="1:50" ht="12.95" customHeight="1" x14ac:dyDescent="0.2">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row>
    <row r="363" spans="1:50" ht="12.95" customHeight="1" x14ac:dyDescent="0.2">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row>
    <row r="364" spans="1:50" ht="12.95" customHeight="1" x14ac:dyDescent="0.2">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row>
    <row r="365" spans="1:50" ht="12.95" customHeight="1" x14ac:dyDescent="0.2">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row>
    <row r="366" spans="1:50" ht="12.95" customHeight="1" x14ac:dyDescent="0.2">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row>
    <row r="367" spans="1:50" ht="12.95" customHeight="1" x14ac:dyDescent="0.2">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row>
    <row r="368" spans="1:50" ht="12.95" customHeight="1" x14ac:dyDescent="0.2">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row>
    <row r="369" spans="1:50" ht="12.95" customHeight="1" x14ac:dyDescent="0.2">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row>
    <row r="370" spans="1:50" ht="12.95" customHeight="1" x14ac:dyDescent="0.2">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row>
    <row r="371" spans="1:50" ht="12.95" customHeight="1" x14ac:dyDescent="0.2">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row>
    <row r="372" spans="1:50" ht="12.95" customHeight="1" x14ac:dyDescent="0.2">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row>
    <row r="373" spans="1:50" ht="12.95" customHeight="1" x14ac:dyDescent="0.2">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row>
    <row r="374" spans="1:50" ht="12.95" customHeight="1" x14ac:dyDescent="0.2">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row>
    <row r="375" spans="1:50" ht="12.95" customHeight="1" x14ac:dyDescent="0.2">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row>
    <row r="376" spans="1:50" ht="12.95" customHeight="1" x14ac:dyDescent="0.2">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row>
    <row r="377" spans="1:50" ht="12.95" customHeight="1" x14ac:dyDescent="0.2">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row>
    <row r="378" spans="1:50" ht="12.95" customHeight="1" x14ac:dyDescent="0.2">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row>
    <row r="379" spans="1:50" ht="12.95" customHeight="1" x14ac:dyDescent="0.2">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row>
    <row r="380" spans="1:50" ht="12.95" customHeight="1" x14ac:dyDescent="0.2">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row>
    <row r="381" spans="1:50" ht="12.95" customHeight="1" x14ac:dyDescent="0.2">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row>
    <row r="382" spans="1:50" ht="12.95" customHeight="1" x14ac:dyDescent="0.2">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row>
    <row r="383" spans="1:50" ht="12.95" customHeight="1" x14ac:dyDescent="0.2">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row>
    <row r="384" spans="1:50" ht="12.95" customHeight="1" x14ac:dyDescent="0.2">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row>
    <row r="385" spans="1:50" ht="12.95" customHeight="1" x14ac:dyDescent="0.2">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row>
    <row r="386" spans="1:50" ht="12.95" customHeight="1" x14ac:dyDescent="0.2">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row>
    <row r="387" spans="1:50" ht="12.95" customHeight="1" x14ac:dyDescent="0.2">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row>
    <row r="388" spans="1:50" ht="12.95" customHeight="1" x14ac:dyDescent="0.2">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row>
    <row r="389" spans="1:50" ht="12.95" customHeight="1" x14ac:dyDescent="0.2">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row>
    <row r="390" spans="1:50" ht="12.95" customHeight="1" x14ac:dyDescent="0.2">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row>
    <row r="391" spans="1:50" ht="12.95" customHeight="1" x14ac:dyDescent="0.2">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row>
    <row r="392" spans="1:50" ht="12.95" customHeight="1" x14ac:dyDescent="0.2">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row>
    <row r="393" spans="1:50" ht="12.95" customHeight="1" x14ac:dyDescent="0.2">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row>
    <row r="394" spans="1:50" ht="12.95" customHeight="1" x14ac:dyDescent="0.2">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row>
    <row r="395" spans="1:50" ht="12.95" customHeight="1" x14ac:dyDescent="0.2">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row>
    <row r="396" spans="1:50" ht="12.95" customHeight="1" x14ac:dyDescent="0.2">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row>
    <row r="397" spans="1:50" ht="12.95" customHeight="1" x14ac:dyDescent="0.2">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row>
    <row r="398" spans="1:50" ht="12.95" customHeight="1" x14ac:dyDescent="0.2">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row>
    <row r="399" spans="1:50" ht="12.95" customHeight="1" x14ac:dyDescent="0.2">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row>
    <row r="400" spans="1:50" ht="12.95" customHeight="1" x14ac:dyDescent="0.2">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row>
    <row r="401" spans="1:50" ht="12.95" customHeight="1" x14ac:dyDescent="0.2">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row>
    <row r="402" spans="1:50" ht="12.95" customHeight="1" x14ac:dyDescent="0.2">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row>
    <row r="403" spans="1:50" ht="12.95" customHeight="1" x14ac:dyDescent="0.2">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row>
    <row r="404" spans="1:50" ht="12.95" customHeight="1" x14ac:dyDescent="0.2">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row>
    <row r="405" spans="1:50" ht="12.95" customHeight="1" x14ac:dyDescent="0.2">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row>
    <row r="406" spans="1:50" ht="12.95" customHeight="1" x14ac:dyDescent="0.2">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row>
    <row r="407" spans="1:50" ht="12.95" customHeight="1" x14ac:dyDescent="0.2">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row>
    <row r="408" spans="1:50" ht="12.95" customHeight="1" x14ac:dyDescent="0.2">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row>
    <row r="409" spans="1:50" ht="12.95" customHeight="1" x14ac:dyDescent="0.2">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row>
    <row r="410" spans="1:50" ht="12.95" customHeight="1" x14ac:dyDescent="0.2">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row>
    <row r="411" spans="1:50" ht="12.95" customHeight="1" x14ac:dyDescent="0.2">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row>
    <row r="412" spans="1:50" ht="12.95" customHeight="1" x14ac:dyDescent="0.2">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row>
    <row r="413" spans="1:50" ht="12.95" customHeight="1" x14ac:dyDescent="0.2">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row>
    <row r="414" spans="1:50" ht="12.95" customHeight="1" x14ac:dyDescent="0.2">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row>
    <row r="415" spans="1:50" ht="12.95" customHeight="1" x14ac:dyDescent="0.2">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row>
    <row r="416" spans="1:50" ht="12.95" customHeight="1" x14ac:dyDescent="0.2">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row>
    <row r="417" spans="1:50" ht="12.95" customHeight="1" x14ac:dyDescent="0.2">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row>
    <row r="418" spans="1:50" ht="12.95" customHeight="1" x14ac:dyDescent="0.2">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row>
    <row r="419" spans="1:50" ht="12.95" customHeight="1" x14ac:dyDescent="0.2">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row>
    <row r="420" spans="1:50" ht="12.95" customHeight="1" x14ac:dyDescent="0.2">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row>
    <row r="421" spans="1:50" ht="12.95" customHeight="1" x14ac:dyDescent="0.2">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row>
    <row r="422" spans="1:50" ht="12.95" customHeight="1" x14ac:dyDescent="0.2">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row>
    <row r="423" spans="1:50" ht="12.95" customHeight="1" x14ac:dyDescent="0.2">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row>
    <row r="424" spans="1:50" ht="12.95" customHeight="1" x14ac:dyDescent="0.2">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row>
    <row r="425" spans="1:50" ht="12.95" customHeight="1" x14ac:dyDescent="0.2">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row>
    <row r="426" spans="1:50" ht="12.95" customHeight="1" x14ac:dyDescent="0.2">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row>
    <row r="427" spans="1:50" ht="12.95" customHeight="1" x14ac:dyDescent="0.2">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row>
    <row r="428" spans="1:50" ht="12.95" customHeight="1" x14ac:dyDescent="0.2">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row>
    <row r="429" spans="1:50" ht="12.95" customHeight="1" x14ac:dyDescent="0.2">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row>
    <row r="430" spans="1:50" ht="12.95" customHeight="1" x14ac:dyDescent="0.2">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row>
    <row r="431" spans="1:50" ht="12.95" customHeight="1" x14ac:dyDescent="0.2">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row>
    <row r="432" spans="1:50" ht="12.95" customHeight="1" x14ac:dyDescent="0.2">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row>
    <row r="433" spans="1:50" ht="12.95" customHeight="1" x14ac:dyDescent="0.2">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row>
    <row r="434" spans="1:50" ht="12.95" customHeight="1" x14ac:dyDescent="0.2">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row>
    <row r="435" spans="1:50" ht="12.95" customHeight="1" x14ac:dyDescent="0.2">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row>
    <row r="436" spans="1:50" ht="12.95" customHeight="1" x14ac:dyDescent="0.2">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row>
    <row r="437" spans="1:50" ht="12.95" customHeight="1" x14ac:dyDescent="0.2">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row>
    <row r="438" spans="1:50" ht="12.95" customHeight="1" x14ac:dyDescent="0.2">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row>
    <row r="439" spans="1:50" ht="12.95" customHeight="1" x14ac:dyDescent="0.2">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row>
    <row r="440" spans="1:50" ht="12.95" customHeight="1" x14ac:dyDescent="0.2">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row>
    <row r="441" spans="1:50" ht="12.95" customHeight="1" x14ac:dyDescent="0.2">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row>
    <row r="442" spans="1:50" ht="12.95" customHeight="1" x14ac:dyDescent="0.2">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row>
    <row r="443" spans="1:50" ht="12.95" customHeight="1" x14ac:dyDescent="0.2">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row>
    <row r="444" spans="1:50" ht="12.95" customHeight="1" x14ac:dyDescent="0.2">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row>
    <row r="445" spans="1:50" ht="12.95" customHeight="1" x14ac:dyDescent="0.2">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row>
    <row r="446" spans="1:50" ht="12.95" customHeight="1" x14ac:dyDescent="0.2">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row>
    <row r="447" spans="1:50" ht="12.95" customHeight="1" x14ac:dyDescent="0.2">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row>
    <row r="448" spans="1:50" ht="12.95" customHeight="1" x14ac:dyDescent="0.2">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row>
    <row r="449" spans="1:50" ht="12.95" customHeight="1" x14ac:dyDescent="0.2">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row>
    <row r="450" spans="1:50" ht="12.95" customHeight="1" x14ac:dyDescent="0.2">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row>
    <row r="451" spans="1:50" ht="12.95" customHeight="1" x14ac:dyDescent="0.2">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row>
    <row r="452" spans="1:50" ht="12.95" customHeight="1" x14ac:dyDescent="0.2">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row>
    <row r="453" spans="1:50" ht="12.95" customHeight="1" x14ac:dyDescent="0.2">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row>
    <row r="454" spans="1:50" ht="12.95" customHeight="1" x14ac:dyDescent="0.2">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row>
    <row r="455" spans="1:50" ht="12.95" customHeight="1" x14ac:dyDescent="0.2">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row>
    <row r="456" spans="1:50" ht="12.95" customHeight="1" x14ac:dyDescent="0.2">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row>
    <row r="457" spans="1:50" ht="12.95" customHeight="1" x14ac:dyDescent="0.2">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row>
    <row r="458" spans="1:50" ht="12.95" customHeight="1" x14ac:dyDescent="0.2">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row>
    <row r="459" spans="1:50" ht="12.95" customHeight="1" x14ac:dyDescent="0.2">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row>
    <row r="460" spans="1:50" ht="12.95" customHeight="1" x14ac:dyDescent="0.2">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row>
    <row r="461" spans="1:50" ht="12.95" customHeight="1" x14ac:dyDescent="0.2">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row>
    <row r="462" spans="1:50" ht="12.95" customHeight="1" x14ac:dyDescent="0.2">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row>
    <row r="463" spans="1:50" ht="12.95" customHeight="1" x14ac:dyDescent="0.2">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row>
    <row r="464" spans="1:50" ht="12.95" customHeight="1" x14ac:dyDescent="0.2">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row>
    <row r="465" spans="1:50" ht="12.95" customHeight="1" x14ac:dyDescent="0.2">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row>
    <row r="466" spans="1:50" ht="12.95" customHeight="1" x14ac:dyDescent="0.2">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row>
    <row r="467" spans="1:50" ht="12.95" customHeight="1" x14ac:dyDescent="0.2">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row>
    <row r="468" spans="1:50" ht="12.95" customHeight="1" x14ac:dyDescent="0.2">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row>
    <row r="469" spans="1:50" ht="12.95" customHeight="1" x14ac:dyDescent="0.2">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row>
    <row r="470" spans="1:50" ht="12.95" customHeight="1" x14ac:dyDescent="0.2">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row>
    <row r="471" spans="1:50" ht="12.95" customHeight="1" x14ac:dyDescent="0.2">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row>
    <row r="472" spans="1:50" ht="12.95" customHeight="1" x14ac:dyDescent="0.2">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row>
    <row r="473" spans="1:50" ht="12.95" customHeight="1" x14ac:dyDescent="0.2">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row>
    <row r="474" spans="1:50" ht="12.95" customHeight="1" x14ac:dyDescent="0.2">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row>
    <row r="475" spans="1:50" ht="12.95" customHeight="1" x14ac:dyDescent="0.2">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row>
    <row r="476" spans="1:50" ht="12.95" customHeight="1" x14ac:dyDescent="0.2">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row>
    <row r="477" spans="1:50" ht="12.95" customHeight="1" x14ac:dyDescent="0.2">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row>
    <row r="478" spans="1:50" ht="12.95" customHeight="1" x14ac:dyDescent="0.2">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row>
    <row r="479" spans="1:50" ht="12.95" customHeight="1" x14ac:dyDescent="0.2">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row>
    <row r="480" spans="1:50" ht="12.95" customHeight="1" x14ac:dyDescent="0.2">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row>
    <row r="481" spans="1:50" ht="12.95" customHeight="1" x14ac:dyDescent="0.2">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row>
    <row r="482" spans="1:50" ht="12.95" customHeight="1" x14ac:dyDescent="0.2">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row>
    <row r="483" spans="1:50" ht="12.95" customHeight="1" x14ac:dyDescent="0.2">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row>
    <row r="484" spans="1:50" ht="12.95" customHeight="1" x14ac:dyDescent="0.2">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row>
    <row r="485" spans="1:50" ht="12.95" customHeight="1" x14ac:dyDescent="0.2">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row>
    <row r="486" spans="1:50" ht="12.95" customHeight="1" x14ac:dyDescent="0.2">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row>
    <row r="487" spans="1:50" ht="12.95" customHeight="1" x14ac:dyDescent="0.2">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row>
    <row r="488" spans="1:50" ht="12.95" customHeight="1" x14ac:dyDescent="0.2">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row>
    <row r="489" spans="1:50" ht="12.95" customHeight="1" x14ac:dyDescent="0.2">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row>
    <row r="490" spans="1:50" ht="12.95" customHeight="1" x14ac:dyDescent="0.2">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row>
    <row r="491" spans="1:50" ht="12.95" customHeight="1" x14ac:dyDescent="0.2">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row>
    <row r="492" spans="1:50" ht="12.95" customHeight="1" x14ac:dyDescent="0.2">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row>
    <row r="493" spans="1:50" ht="12.95" customHeight="1" x14ac:dyDescent="0.2">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row>
    <row r="494" spans="1:50" ht="12.95" customHeight="1" x14ac:dyDescent="0.2">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row>
    <row r="495" spans="1:50" ht="12.95" customHeight="1" x14ac:dyDescent="0.2">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row>
    <row r="496" spans="1:50" ht="12.95" customHeight="1" x14ac:dyDescent="0.2">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row>
    <row r="497" spans="1:50" ht="12.95" customHeight="1" x14ac:dyDescent="0.2">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row>
    <row r="498" spans="1:50" ht="12.95" customHeight="1" x14ac:dyDescent="0.2">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row>
    <row r="499" spans="1:50" ht="12.95" customHeight="1" x14ac:dyDescent="0.2">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row>
    <row r="500" spans="1:50" ht="12.95" customHeight="1" x14ac:dyDescent="0.2">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row>
    <row r="501" spans="1:50" ht="12.95" customHeight="1" x14ac:dyDescent="0.2">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row>
    <row r="502" spans="1:50" ht="12.95" customHeight="1" x14ac:dyDescent="0.2">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row>
    <row r="503" spans="1:50" ht="12.95" customHeight="1" x14ac:dyDescent="0.2">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row>
    <row r="504" spans="1:50" ht="12.95" customHeight="1" x14ac:dyDescent="0.2">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row>
    <row r="505" spans="1:50" ht="12.95" customHeight="1" x14ac:dyDescent="0.2">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row>
    <row r="506" spans="1:50" ht="12.95" customHeight="1" x14ac:dyDescent="0.2">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row>
    <row r="507" spans="1:50" ht="12.95" customHeight="1" x14ac:dyDescent="0.2">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row>
    <row r="508" spans="1:50" ht="12.95" customHeight="1" x14ac:dyDescent="0.2">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row>
    <row r="509" spans="1:50" ht="12.95" customHeight="1" x14ac:dyDescent="0.2">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row>
    <row r="510" spans="1:50" ht="12.95" customHeight="1" x14ac:dyDescent="0.2">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row>
    <row r="511" spans="1:50" ht="12.95" customHeight="1" x14ac:dyDescent="0.2">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row>
    <row r="512" spans="1:50" ht="12.95" customHeight="1" x14ac:dyDescent="0.2">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row>
    <row r="513" spans="1:50" ht="12.95" customHeight="1" x14ac:dyDescent="0.2">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row>
    <row r="514" spans="1:50" ht="12.95" customHeight="1" x14ac:dyDescent="0.2">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row>
    <row r="515" spans="1:50" ht="12.95" customHeight="1" x14ac:dyDescent="0.2">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row>
    <row r="516" spans="1:50" ht="12.95" customHeight="1" x14ac:dyDescent="0.2">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row>
    <row r="517" spans="1:50" ht="12.95" customHeight="1" x14ac:dyDescent="0.2">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row>
    <row r="518" spans="1:50" ht="12.95" customHeight="1" x14ac:dyDescent="0.2">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row>
    <row r="519" spans="1:50" ht="12.95" customHeight="1" x14ac:dyDescent="0.2">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row>
    <row r="520" spans="1:50" ht="12.95" customHeight="1" x14ac:dyDescent="0.2">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row>
    <row r="521" spans="1:50" ht="12.95" customHeight="1" x14ac:dyDescent="0.2">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row>
    <row r="522" spans="1:50" ht="12.95" customHeight="1" x14ac:dyDescent="0.2">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row>
    <row r="523" spans="1:50" ht="12.95" customHeight="1" x14ac:dyDescent="0.2">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row>
    <row r="524" spans="1:50" ht="12.95" customHeight="1" x14ac:dyDescent="0.2">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row>
    <row r="525" spans="1:50" ht="12.95" customHeight="1" x14ac:dyDescent="0.2">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row>
    <row r="526" spans="1:50" ht="12.95" customHeight="1" x14ac:dyDescent="0.2">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row>
    <row r="527" spans="1:50" ht="12.95" customHeight="1" x14ac:dyDescent="0.2">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row>
    <row r="528" spans="1:50" ht="12.95" customHeight="1" x14ac:dyDescent="0.2">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row>
    <row r="529" spans="1:50" ht="12.95" customHeight="1" x14ac:dyDescent="0.2">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row>
    <row r="530" spans="1:50" ht="12.95" customHeight="1" x14ac:dyDescent="0.2">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row>
    <row r="531" spans="1:50" ht="12.95" customHeight="1" x14ac:dyDescent="0.2">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row>
    <row r="532" spans="1:50" ht="12.95" customHeight="1" x14ac:dyDescent="0.2">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row>
    <row r="533" spans="1:50" ht="12.95" customHeight="1" x14ac:dyDescent="0.2">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row>
    <row r="534" spans="1:50" ht="12.95" customHeight="1" x14ac:dyDescent="0.2">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row>
    <row r="535" spans="1:50" ht="12.95" customHeight="1" x14ac:dyDescent="0.2">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row>
    <row r="536" spans="1:50" ht="12.95" customHeight="1" x14ac:dyDescent="0.2">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row>
    <row r="537" spans="1:50" ht="12.95" customHeight="1" x14ac:dyDescent="0.2">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row>
    <row r="538" spans="1:50" ht="12.95" customHeight="1" x14ac:dyDescent="0.2">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row>
    <row r="539" spans="1:50" ht="12.95" customHeight="1" x14ac:dyDescent="0.2">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row>
    <row r="540" spans="1:50" ht="12.95" customHeight="1" x14ac:dyDescent="0.2">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row>
    <row r="541" spans="1:50" ht="12.95" customHeight="1" x14ac:dyDescent="0.2">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row>
    <row r="542" spans="1:50" ht="12.95" customHeight="1" x14ac:dyDescent="0.2">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row>
    <row r="543" spans="1:50" ht="12.95" customHeight="1" x14ac:dyDescent="0.2">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row>
    <row r="544" spans="1:50" ht="12.95" customHeight="1" x14ac:dyDescent="0.2">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row>
    <row r="545" spans="1:50" ht="12.95" customHeight="1" x14ac:dyDescent="0.2">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row>
    <row r="546" spans="1:50" ht="12.95" customHeight="1" x14ac:dyDescent="0.2">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row>
    <row r="547" spans="1:50" ht="12.95" customHeight="1" x14ac:dyDescent="0.2">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row>
    <row r="548" spans="1:50" ht="12.95" customHeight="1" x14ac:dyDescent="0.2">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row>
    <row r="549" spans="1:50" ht="12.95" customHeight="1" x14ac:dyDescent="0.2">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row>
    <row r="550" spans="1:50" ht="12.95" customHeight="1" x14ac:dyDescent="0.2">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row>
    <row r="551" spans="1:50" ht="12.95" customHeight="1" x14ac:dyDescent="0.2">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row>
    <row r="552" spans="1:50" ht="12.95" customHeight="1" x14ac:dyDescent="0.2">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row>
    <row r="553" spans="1:50" ht="12.95" customHeight="1" x14ac:dyDescent="0.2">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row>
    <row r="554" spans="1:50" ht="12.95" customHeight="1" x14ac:dyDescent="0.2">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row>
    <row r="555" spans="1:50" ht="12.95" customHeight="1" x14ac:dyDescent="0.2">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row>
    <row r="556" spans="1:50" ht="12.95" customHeight="1" x14ac:dyDescent="0.2">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row>
    <row r="557" spans="1:50" ht="12.95" customHeight="1" x14ac:dyDescent="0.2">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row>
    <row r="558" spans="1:50" ht="12.95" customHeight="1" x14ac:dyDescent="0.2">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row>
    <row r="559" spans="1:50" ht="12.95" customHeight="1" x14ac:dyDescent="0.2">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row>
    <row r="560" spans="1:50" ht="12.95" customHeight="1" x14ac:dyDescent="0.2">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row>
    <row r="561" spans="1:50" ht="12.95" customHeight="1" x14ac:dyDescent="0.2">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row>
    <row r="562" spans="1:50" ht="12.95" customHeight="1" x14ac:dyDescent="0.2">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row>
    <row r="563" spans="1:50" ht="12.95" customHeight="1" x14ac:dyDescent="0.2">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row>
    <row r="564" spans="1:50" ht="12.95" customHeight="1" x14ac:dyDescent="0.2">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row>
    <row r="565" spans="1:50" ht="12.95" customHeight="1" x14ac:dyDescent="0.2">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row>
    <row r="566" spans="1:50" ht="12.95" customHeight="1" x14ac:dyDescent="0.2">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row>
    <row r="567" spans="1:50" ht="12.95" customHeight="1" x14ac:dyDescent="0.2">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row>
    <row r="568" spans="1:50" ht="12.95" customHeight="1" x14ac:dyDescent="0.2">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row>
    <row r="569" spans="1:50" ht="12.95" customHeight="1" x14ac:dyDescent="0.2">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row>
    <row r="570" spans="1:50" ht="12.95" customHeight="1" x14ac:dyDescent="0.2">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row>
    <row r="571" spans="1:50" ht="12.95" customHeight="1" x14ac:dyDescent="0.2">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row>
    <row r="572" spans="1:50" ht="12.95" customHeight="1" x14ac:dyDescent="0.2">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row>
    <row r="573" spans="1:50" ht="12.95" customHeight="1" x14ac:dyDescent="0.2">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row>
    <row r="574" spans="1:50" ht="12.95" customHeight="1" x14ac:dyDescent="0.2">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row>
    <row r="575" spans="1:50" ht="12.95" customHeight="1" x14ac:dyDescent="0.2">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row>
    <row r="576" spans="1:50" ht="12.95" customHeight="1" x14ac:dyDescent="0.2">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row>
    <row r="577" spans="1:50" ht="12.95" customHeight="1" x14ac:dyDescent="0.2">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row>
    <row r="578" spans="1:50" ht="12.95" customHeight="1" x14ac:dyDescent="0.2">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row>
    <row r="579" spans="1:50" ht="12.95" customHeight="1" x14ac:dyDescent="0.2">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row>
    <row r="580" spans="1:50" ht="12.95" customHeight="1" x14ac:dyDescent="0.2">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row>
    <row r="581" spans="1:50" ht="12.95" customHeight="1" x14ac:dyDescent="0.2">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row>
    <row r="582" spans="1:50" ht="12.95" customHeight="1" x14ac:dyDescent="0.2">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row>
    <row r="583" spans="1:50" ht="12.95" customHeight="1" x14ac:dyDescent="0.2">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row>
    <row r="584" spans="1:50" ht="12.95" customHeight="1" x14ac:dyDescent="0.2">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row>
    <row r="585" spans="1:50" ht="12.95" customHeight="1" x14ac:dyDescent="0.2">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row>
    <row r="586" spans="1:50" ht="12.95" customHeight="1" x14ac:dyDescent="0.2">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row>
    <row r="587" spans="1:50" ht="12.95" customHeight="1" x14ac:dyDescent="0.2">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row>
    <row r="588" spans="1:50" ht="12.95" customHeight="1" x14ac:dyDescent="0.2">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row>
    <row r="589" spans="1:50" ht="12.95" customHeight="1" x14ac:dyDescent="0.2">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row>
    <row r="590" spans="1:50" ht="12.95" customHeight="1" x14ac:dyDescent="0.2">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row>
    <row r="591" spans="1:50" ht="12.95" customHeight="1" x14ac:dyDescent="0.2">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row>
    <row r="592" spans="1:50" ht="12.95" customHeight="1" x14ac:dyDescent="0.2">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row>
    <row r="593" spans="1:50" ht="12.95" customHeight="1" x14ac:dyDescent="0.2">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row>
    <row r="594" spans="1:50" ht="12.95" customHeight="1" x14ac:dyDescent="0.2">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row>
    <row r="595" spans="1:50" ht="12.95" customHeight="1" x14ac:dyDescent="0.2">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row>
    <row r="596" spans="1:50" ht="12.95" customHeight="1" x14ac:dyDescent="0.2">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row>
    <row r="597" spans="1:50" ht="12.95" customHeight="1" x14ac:dyDescent="0.2">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row>
    <row r="598" spans="1:50" ht="12.95" customHeight="1" x14ac:dyDescent="0.2">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row>
    <row r="599" spans="1:50" ht="12.95" customHeight="1" x14ac:dyDescent="0.2">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row>
    <row r="600" spans="1:50" ht="12.95" customHeight="1" x14ac:dyDescent="0.2">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row>
    <row r="601" spans="1:50" ht="12.95" customHeight="1" x14ac:dyDescent="0.2">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row>
    <row r="602" spans="1:50" ht="12.95" customHeight="1" x14ac:dyDescent="0.2">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row>
    <row r="603" spans="1:50" ht="12.95" customHeight="1" x14ac:dyDescent="0.2">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row>
    <row r="604" spans="1:50" ht="12.95" customHeight="1" x14ac:dyDescent="0.2">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row>
    <row r="605" spans="1:50" ht="12.95" customHeight="1" x14ac:dyDescent="0.2">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row>
    <row r="606" spans="1:50" ht="12.95" customHeight="1" x14ac:dyDescent="0.2">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row>
    <row r="607" spans="1:50" ht="12.95" customHeight="1" x14ac:dyDescent="0.2">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row>
    <row r="608" spans="1:50" ht="12.95" customHeight="1" x14ac:dyDescent="0.2">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row>
    <row r="609" spans="1:50" ht="12.95" customHeight="1" x14ac:dyDescent="0.2">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row>
    <row r="610" spans="1:50" ht="12.95" customHeight="1" x14ac:dyDescent="0.2">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row>
    <row r="611" spans="1:50" ht="12.95" customHeight="1" x14ac:dyDescent="0.2">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row>
    <row r="612" spans="1:50" ht="12.95" customHeight="1" x14ac:dyDescent="0.2">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row>
    <row r="613" spans="1:50" ht="12.95" customHeight="1" x14ac:dyDescent="0.2">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row>
    <row r="614" spans="1:50" ht="12.95" customHeight="1" x14ac:dyDescent="0.2">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row>
    <row r="615" spans="1:50" ht="12.95" customHeight="1" x14ac:dyDescent="0.2">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row>
    <row r="616" spans="1:50" ht="12.95" customHeight="1" x14ac:dyDescent="0.2">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row>
    <row r="617" spans="1:50" ht="12.95" customHeight="1" x14ac:dyDescent="0.2">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row>
    <row r="618" spans="1:50" ht="12.95" customHeight="1" x14ac:dyDescent="0.2">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row>
    <row r="619" spans="1:50" ht="12.95" customHeight="1" x14ac:dyDescent="0.2">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row>
    <row r="620" spans="1:50" ht="12.95" customHeight="1" x14ac:dyDescent="0.2">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row>
    <row r="621" spans="1:50" ht="12.95" customHeight="1" x14ac:dyDescent="0.2">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row>
    <row r="622" spans="1:50" ht="12.95" customHeight="1" x14ac:dyDescent="0.2">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row>
    <row r="623" spans="1:50" ht="12.95" customHeight="1" x14ac:dyDescent="0.2">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row>
    <row r="624" spans="1:50" ht="12.95" customHeight="1" x14ac:dyDescent="0.2">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row>
    <row r="625" spans="1:50" ht="12.95" customHeight="1" x14ac:dyDescent="0.2">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row>
    <row r="626" spans="1:50" ht="12.95" customHeight="1" x14ac:dyDescent="0.2">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row>
    <row r="627" spans="1:50" ht="12.95" customHeight="1" x14ac:dyDescent="0.2">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row>
    <row r="628" spans="1:50" ht="12.95" customHeight="1" x14ac:dyDescent="0.2">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row>
    <row r="629" spans="1:50" ht="12.95" customHeight="1" x14ac:dyDescent="0.2">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row>
    <row r="630" spans="1:50" ht="12.95" customHeight="1" x14ac:dyDescent="0.2">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row>
    <row r="631" spans="1:50" ht="12.95" customHeight="1" x14ac:dyDescent="0.2">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row>
    <row r="632" spans="1:50" ht="12.95" customHeight="1" x14ac:dyDescent="0.2">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row>
    <row r="633" spans="1:50" ht="12.95" customHeight="1" x14ac:dyDescent="0.2">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row>
    <row r="634" spans="1:50" ht="12.95" customHeight="1" x14ac:dyDescent="0.2">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row>
    <row r="635" spans="1:50" ht="12.95" customHeight="1" x14ac:dyDescent="0.2">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row>
    <row r="636" spans="1:50" ht="12.95" customHeight="1" x14ac:dyDescent="0.2">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row>
    <row r="637" spans="1:50" ht="12.95" customHeight="1" x14ac:dyDescent="0.2">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row>
    <row r="638" spans="1:50" ht="12.95" customHeight="1" x14ac:dyDescent="0.2">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row>
    <row r="639" spans="1:50" ht="12.95" customHeight="1" x14ac:dyDescent="0.2">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row>
    <row r="640" spans="1:50" ht="12.95" customHeight="1" x14ac:dyDescent="0.2">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row>
    <row r="641" spans="1:50" ht="12.95" customHeight="1" x14ac:dyDescent="0.2">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row>
    <row r="642" spans="1:50" ht="12.95" customHeight="1" x14ac:dyDescent="0.2">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row>
    <row r="643" spans="1:50" ht="12.95" customHeight="1" x14ac:dyDescent="0.2">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row>
    <row r="644" spans="1:50" ht="12.95" customHeight="1" x14ac:dyDescent="0.2">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row>
    <row r="645" spans="1:50" ht="12.95" customHeight="1" x14ac:dyDescent="0.2">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row>
    <row r="646" spans="1:50" ht="12.95" customHeight="1" x14ac:dyDescent="0.2">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row>
    <row r="647" spans="1:50" ht="12.95" customHeight="1" x14ac:dyDescent="0.2">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row>
    <row r="648" spans="1:50" ht="12.95" customHeight="1" x14ac:dyDescent="0.2">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row>
    <row r="649" spans="1:50" ht="12.95" customHeight="1" x14ac:dyDescent="0.2">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row>
    <row r="650" spans="1:50" ht="12.95" customHeight="1" x14ac:dyDescent="0.2">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row>
    <row r="651" spans="1:50" ht="12.95" customHeight="1" x14ac:dyDescent="0.2">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row>
    <row r="652" spans="1:50" ht="12.95" customHeight="1" x14ac:dyDescent="0.2">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row>
    <row r="653" spans="1:50" ht="12.95" customHeight="1" x14ac:dyDescent="0.2">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row>
    <row r="654" spans="1:50" ht="12.95" customHeight="1" x14ac:dyDescent="0.2">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row>
    <row r="655" spans="1:50" ht="12.95" customHeight="1" x14ac:dyDescent="0.2">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row>
    <row r="656" spans="1:50" ht="12.95" customHeight="1" x14ac:dyDescent="0.2">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row>
    <row r="657" spans="1:50" ht="12.95" customHeight="1" x14ac:dyDescent="0.2">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row>
    <row r="658" spans="1:50" ht="12.95" customHeight="1" x14ac:dyDescent="0.2">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row>
    <row r="659" spans="1:50" ht="12.95" customHeight="1" x14ac:dyDescent="0.2">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row>
    <row r="660" spans="1:50" ht="12.95" customHeight="1" x14ac:dyDescent="0.2">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row>
    <row r="661" spans="1:50" ht="12.95" customHeight="1" x14ac:dyDescent="0.2">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row>
    <row r="662" spans="1:50" ht="12.95" customHeight="1" x14ac:dyDescent="0.2">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row>
    <row r="663" spans="1:50" ht="12.95" customHeight="1" x14ac:dyDescent="0.2">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row>
    <row r="664" spans="1:50" ht="12.95" customHeight="1" x14ac:dyDescent="0.2">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row>
    <row r="665" spans="1:50" ht="12.95" customHeight="1" x14ac:dyDescent="0.2">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row>
    <row r="666" spans="1:50" ht="12.95" customHeight="1" x14ac:dyDescent="0.2">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row>
    <row r="667" spans="1:50" ht="12.95" customHeight="1" x14ac:dyDescent="0.2">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row>
    <row r="668" spans="1:50" ht="12.95" customHeight="1" x14ac:dyDescent="0.2">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row>
    <row r="669" spans="1:50" ht="12.95" customHeight="1" x14ac:dyDescent="0.2">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row>
    <row r="670" spans="1:50" ht="12.95" customHeight="1" x14ac:dyDescent="0.2">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row>
    <row r="671" spans="1:50" ht="12.95" customHeight="1" x14ac:dyDescent="0.2">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row>
    <row r="672" spans="1:50" ht="12.95" customHeight="1" x14ac:dyDescent="0.2">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row>
    <row r="673" spans="1:50" ht="12.95" customHeight="1" x14ac:dyDescent="0.2">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row>
    <row r="674" spans="1:50" ht="12.95" customHeight="1" x14ac:dyDescent="0.2">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row>
    <row r="675" spans="1:50" ht="12.95" customHeight="1" x14ac:dyDescent="0.2">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row>
    <row r="676" spans="1:50" ht="12.95" customHeight="1" x14ac:dyDescent="0.2">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row>
    <row r="677" spans="1:50" ht="12.95" customHeight="1" x14ac:dyDescent="0.2">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row>
    <row r="678" spans="1:50" ht="12.95" customHeight="1" x14ac:dyDescent="0.2">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row>
    <row r="679" spans="1:50" ht="12.95" customHeight="1" x14ac:dyDescent="0.2">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row>
    <row r="680" spans="1:50" ht="12.95" customHeight="1" x14ac:dyDescent="0.2">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row>
    <row r="681" spans="1:50" ht="12.95" customHeight="1" x14ac:dyDescent="0.2">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row>
    <row r="682" spans="1:50" ht="12.95" customHeight="1" x14ac:dyDescent="0.2">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row>
    <row r="683" spans="1:50" ht="12.95" customHeight="1" x14ac:dyDescent="0.2">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row>
    <row r="684" spans="1:50" ht="12.95" customHeight="1" x14ac:dyDescent="0.2">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row>
    <row r="685" spans="1:50" ht="12.95" customHeight="1" x14ac:dyDescent="0.2">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row>
    <row r="686" spans="1:50" ht="12.95" customHeight="1" x14ac:dyDescent="0.2">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row>
    <row r="687" spans="1:50" ht="12.95" customHeight="1" x14ac:dyDescent="0.2">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row>
    <row r="688" spans="1:50" ht="12.95" customHeight="1" x14ac:dyDescent="0.2">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row>
    <row r="689" spans="1:50" ht="12.95" customHeight="1" x14ac:dyDescent="0.2">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row>
    <row r="690" spans="1:50" ht="12.95" customHeight="1" x14ac:dyDescent="0.2">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row>
    <row r="691" spans="1:50" ht="12.95" customHeight="1" x14ac:dyDescent="0.2">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row>
    <row r="692" spans="1:50" ht="12.95" customHeight="1" x14ac:dyDescent="0.2">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row>
    <row r="693" spans="1:50" ht="12.95" customHeight="1" x14ac:dyDescent="0.2">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row>
    <row r="694" spans="1:50" ht="12.95" customHeight="1" x14ac:dyDescent="0.2">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row>
    <row r="695" spans="1:50" ht="12.95" customHeight="1" x14ac:dyDescent="0.2">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row>
    <row r="696" spans="1:50" ht="12.95" customHeight="1" x14ac:dyDescent="0.2">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row>
    <row r="697" spans="1:50" s="170" customFormat="1" ht="12.95" customHeight="1" x14ac:dyDescent="0.2">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row>
    <row r="698" spans="1:50" ht="12.95" customHeight="1" x14ac:dyDescent="0.2">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row>
    <row r="699" spans="1:50" ht="12.95" customHeight="1" x14ac:dyDescent="0.2">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row>
    <row r="700" spans="1:50" ht="12.95" customHeight="1" x14ac:dyDescent="0.2">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row>
    <row r="701" spans="1:50" ht="12.95" customHeight="1" x14ac:dyDescent="0.2">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row>
    <row r="702" spans="1:50" ht="12.95" customHeight="1" x14ac:dyDescent="0.2">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row>
    <row r="703" spans="1:50" ht="12.95" customHeight="1" x14ac:dyDescent="0.2">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row>
    <row r="704" spans="1:50" ht="12.95" customHeight="1" x14ac:dyDescent="0.2">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row>
    <row r="705" spans="1:50" ht="12.95" customHeight="1" x14ac:dyDescent="0.2">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row>
    <row r="706" spans="1:50" ht="12.95" customHeight="1" x14ac:dyDescent="0.2">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row>
    <row r="707" spans="1:50" ht="12.95" customHeight="1" x14ac:dyDescent="0.2">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row>
    <row r="708" spans="1:50" ht="12.95" customHeight="1" x14ac:dyDescent="0.2">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row>
    <row r="709" spans="1:50" ht="12.95" customHeight="1" x14ac:dyDescent="0.2">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row>
    <row r="710" spans="1:50" ht="12.95" customHeight="1" x14ac:dyDescent="0.2">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row>
    <row r="711" spans="1:50" ht="12.95" customHeight="1" x14ac:dyDescent="0.2">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row>
    <row r="712" spans="1:50" ht="12.95" customHeight="1" x14ac:dyDescent="0.2">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row>
    <row r="713" spans="1:50" ht="12.95" customHeight="1" x14ac:dyDescent="0.2">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row>
    <row r="714" spans="1:50" ht="12.95" customHeight="1" x14ac:dyDescent="0.2">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row>
    <row r="715" spans="1:50" ht="12.95" customHeight="1" x14ac:dyDescent="0.2">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row>
    <row r="716" spans="1:50" ht="12.95" customHeight="1" x14ac:dyDescent="0.2">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row>
    <row r="717" spans="1:50" ht="12.95" customHeight="1" x14ac:dyDescent="0.2">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row>
    <row r="718" spans="1:50" ht="12.95" customHeight="1" x14ac:dyDescent="0.2">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row>
    <row r="719" spans="1:50" ht="12.95" customHeight="1" x14ac:dyDescent="0.2">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row>
    <row r="720" spans="1:50" ht="12.95" customHeight="1" x14ac:dyDescent="0.2">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row>
    <row r="721" spans="1:50" ht="12.95" customHeight="1" x14ac:dyDescent="0.2">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row>
    <row r="722" spans="1:50" ht="12.95" customHeight="1" x14ac:dyDescent="0.2">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row>
    <row r="723" spans="1:50" ht="12.95" customHeight="1" x14ac:dyDescent="0.2">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row>
    <row r="724" spans="1:50" ht="12.95" customHeight="1" x14ac:dyDescent="0.2">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row>
    <row r="725" spans="1:50" ht="12.95" customHeight="1" x14ac:dyDescent="0.2">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row>
    <row r="726" spans="1:50" ht="12.95" customHeight="1" x14ac:dyDescent="0.2">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row>
    <row r="727" spans="1:50" ht="12.95" customHeight="1" x14ac:dyDescent="0.2">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row>
    <row r="728" spans="1:50" ht="12.95" customHeight="1" x14ac:dyDescent="0.2">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row>
    <row r="729" spans="1:50" ht="12.95" customHeight="1" x14ac:dyDescent="0.2">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row>
    <row r="730" spans="1:50" ht="12.95" customHeight="1" x14ac:dyDescent="0.2">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row>
    <row r="731" spans="1:50" ht="12.95" customHeight="1" x14ac:dyDescent="0.2">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row>
    <row r="732" spans="1:50" ht="12.95" customHeight="1" x14ac:dyDescent="0.2">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row>
    <row r="733" spans="1:50" ht="12.95" customHeight="1" x14ac:dyDescent="0.2">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row>
    <row r="734" spans="1:50" ht="12.95" customHeight="1" x14ac:dyDescent="0.2">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row>
    <row r="735" spans="1:50" ht="12.95" customHeight="1" x14ac:dyDescent="0.2">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row>
    <row r="736" spans="1:50" ht="12.95" customHeight="1" x14ac:dyDescent="0.2">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row>
    <row r="737" spans="1:50" ht="12.95" customHeight="1" x14ac:dyDescent="0.2">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row>
    <row r="738" spans="1:50" ht="12.95" customHeight="1" x14ac:dyDescent="0.2">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row>
    <row r="739" spans="1:50" ht="12.95" customHeight="1" x14ac:dyDescent="0.2">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row>
    <row r="740" spans="1:50" ht="12.95" customHeight="1" x14ac:dyDescent="0.2">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row>
    <row r="741" spans="1:50" ht="12.95" customHeight="1" x14ac:dyDescent="0.2">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row>
    <row r="742" spans="1:50" ht="12.95" customHeight="1" x14ac:dyDescent="0.2">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row>
    <row r="743" spans="1:50" ht="12.95" customHeight="1" x14ac:dyDescent="0.2">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row>
    <row r="744" spans="1:50" ht="12.95" customHeight="1" x14ac:dyDescent="0.2">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row>
    <row r="745" spans="1:50" ht="12.95" customHeight="1" x14ac:dyDescent="0.2">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row>
    <row r="746" spans="1:50" ht="12.95" customHeight="1" x14ac:dyDescent="0.2">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row>
    <row r="747" spans="1:50" ht="12.95" customHeight="1" x14ac:dyDescent="0.2">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row>
    <row r="748" spans="1:50" ht="12.95" customHeight="1" x14ac:dyDescent="0.2">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row>
    <row r="749" spans="1:50" ht="12.95" customHeight="1" x14ac:dyDescent="0.2">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row>
    <row r="750" spans="1:50" ht="12.95" customHeight="1" x14ac:dyDescent="0.2">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row>
    <row r="751" spans="1:50" ht="12.95" customHeight="1" x14ac:dyDescent="0.2">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row>
    <row r="752" spans="1:50" ht="12.95" customHeight="1" x14ac:dyDescent="0.2">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row>
    <row r="753" spans="1:50" ht="12.95" customHeight="1" x14ac:dyDescent="0.2">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row>
    <row r="754" spans="1:50" ht="12.95" customHeight="1" x14ac:dyDescent="0.2">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row>
    <row r="755" spans="1:50" ht="12.95" customHeight="1" x14ac:dyDescent="0.2">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row>
    <row r="756" spans="1:50" ht="12.95" customHeight="1" x14ac:dyDescent="0.2">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row>
    <row r="757" spans="1:50" ht="12.95" customHeight="1" x14ac:dyDescent="0.2">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row>
    <row r="758" spans="1:50" ht="12.95" customHeight="1" x14ac:dyDescent="0.2">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row>
    <row r="759" spans="1:50" ht="12.95" customHeight="1" x14ac:dyDescent="0.2">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row>
    <row r="760" spans="1:50" ht="12.95" customHeight="1" x14ac:dyDescent="0.2">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row>
    <row r="761" spans="1:50" ht="12.95" customHeight="1" x14ac:dyDescent="0.2">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row>
    <row r="762" spans="1:50" ht="12.95" customHeight="1" x14ac:dyDescent="0.2">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row>
    <row r="763" spans="1:50" ht="12.95" customHeight="1" x14ac:dyDescent="0.2">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row>
    <row r="764" spans="1:50" ht="12.95" customHeight="1" x14ac:dyDescent="0.2">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row>
    <row r="765" spans="1:50" ht="12.95" customHeight="1" x14ac:dyDescent="0.2">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row>
    <row r="766" spans="1:50" ht="12.95" customHeight="1" x14ac:dyDescent="0.2">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row>
    <row r="767" spans="1:50" ht="12.95" customHeight="1" x14ac:dyDescent="0.2">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row>
    <row r="768" spans="1:50" ht="12.95" customHeight="1" x14ac:dyDescent="0.2">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row>
    <row r="769" spans="1:50" ht="12.95" customHeight="1" x14ac:dyDescent="0.2">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row>
    <row r="770" spans="1:50" ht="12.95" customHeight="1" x14ac:dyDescent="0.2">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row>
    <row r="771" spans="1:50" ht="12.95" customHeight="1" x14ac:dyDescent="0.2">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row>
    <row r="772" spans="1:50" ht="12.95" customHeight="1" x14ac:dyDescent="0.2">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row>
    <row r="773" spans="1:50" ht="12.95" customHeight="1" x14ac:dyDescent="0.2">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row>
    <row r="774" spans="1:50" ht="12.95" customHeight="1" x14ac:dyDescent="0.2">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row>
    <row r="775" spans="1:50" ht="12.95" customHeight="1" x14ac:dyDescent="0.2">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row>
    <row r="776" spans="1:50" ht="12.95" customHeight="1" x14ac:dyDescent="0.2">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row>
    <row r="777" spans="1:50" ht="12.95" customHeight="1" x14ac:dyDescent="0.2">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row>
    <row r="778" spans="1:50" ht="12.95" customHeight="1" x14ac:dyDescent="0.2">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row>
    <row r="779" spans="1:50" ht="12.95" customHeight="1" x14ac:dyDescent="0.2">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row>
    <row r="780" spans="1:50" ht="12.95" customHeight="1" x14ac:dyDescent="0.2">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row>
    <row r="781" spans="1:50" ht="12.95" customHeight="1" x14ac:dyDescent="0.2">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row>
    <row r="782" spans="1:50" ht="12.95" customHeight="1" x14ac:dyDescent="0.2">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row>
    <row r="783" spans="1:50" ht="12.95" customHeight="1" x14ac:dyDescent="0.2">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row>
    <row r="784" spans="1:50" ht="12.95" customHeight="1" x14ac:dyDescent="0.2">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row>
    <row r="785" spans="1:50" ht="12.95" customHeight="1" x14ac:dyDescent="0.2">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row>
    <row r="786" spans="1:50" ht="12.95" customHeight="1" x14ac:dyDescent="0.2">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row>
    <row r="787" spans="1:50" ht="12.95" customHeight="1" x14ac:dyDescent="0.2">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row>
    <row r="788" spans="1:50" ht="12.95" customHeight="1" x14ac:dyDescent="0.2">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row>
    <row r="789" spans="1:50" ht="12.95" customHeight="1" x14ac:dyDescent="0.2">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row>
    <row r="790" spans="1:50" ht="12.95" customHeight="1" x14ac:dyDescent="0.2">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row>
    <row r="791" spans="1:50" ht="12.95" customHeight="1" x14ac:dyDescent="0.2">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row>
    <row r="792" spans="1:50" ht="12.95" customHeight="1" x14ac:dyDescent="0.2">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row>
    <row r="793" spans="1:50" ht="12.95" customHeight="1" x14ac:dyDescent="0.2">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row>
    <row r="794" spans="1:50" ht="12.95" customHeight="1" x14ac:dyDescent="0.2">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row>
    <row r="795" spans="1:50" ht="12.95" customHeight="1" x14ac:dyDescent="0.2">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row>
    <row r="796" spans="1:50" ht="12.95" customHeight="1" x14ac:dyDescent="0.2">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row>
    <row r="797" spans="1:50" ht="12.95" customHeight="1" x14ac:dyDescent="0.2">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row>
    <row r="798" spans="1:50" ht="12.95" customHeight="1" x14ac:dyDescent="0.2">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row>
    <row r="799" spans="1:50" ht="12.95" customHeight="1" x14ac:dyDescent="0.2">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row>
    <row r="800" spans="1:50" ht="12.95" customHeight="1" x14ac:dyDescent="0.2">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row>
    <row r="801" spans="1:50" ht="12.95" customHeight="1" x14ac:dyDescent="0.2">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row>
    <row r="802" spans="1:50" ht="12.95" customHeight="1" x14ac:dyDescent="0.2">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row>
    <row r="803" spans="1:50" ht="12.95" customHeight="1" x14ac:dyDescent="0.2">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row>
    <row r="804" spans="1:50" ht="12.95" customHeight="1" x14ac:dyDescent="0.2">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row>
    <row r="805" spans="1:50" ht="12.95" customHeight="1" x14ac:dyDescent="0.2">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row>
    <row r="806" spans="1:50" ht="12.95" customHeight="1" x14ac:dyDescent="0.2">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row>
    <row r="807" spans="1:50" ht="12.95" customHeight="1" x14ac:dyDescent="0.2">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row>
    <row r="808" spans="1:50" ht="12.95" customHeight="1" x14ac:dyDescent="0.2">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row>
    <row r="809" spans="1:50" ht="12.95" customHeight="1" x14ac:dyDescent="0.2">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row>
    <row r="810" spans="1:50" ht="12.95" customHeight="1" x14ac:dyDescent="0.2">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row>
    <row r="811" spans="1:50" ht="12.95" customHeight="1" x14ac:dyDescent="0.2">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row>
    <row r="812" spans="1:50" ht="12.95" customHeight="1" x14ac:dyDescent="0.2">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row>
    <row r="813" spans="1:50" ht="12.95" customHeight="1" x14ac:dyDescent="0.2">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row>
    <row r="814" spans="1:50" ht="12.95" customHeight="1" x14ac:dyDescent="0.2">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row>
    <row r="815" spans="1:50" ht="12.95" customHeight="1" x14ac:dyDescent="0.2">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row>
    <row r="816" spans="1:50" ht="12.95" customHeight="1" x14ac:dyDescent="0.2">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row>
    <row r="817" spans="1:50" ht="12.95" customHeight="1" x14ac:dyDescent="0.2">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row>
    <row r="818" spans="1:50" ht="12.95" customHeight="1" x14ac:dyDescent="0.2">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row>
    <row r="819" spans="1:50" ht="12.95" customHeight="1" x14ac:dyDescent="0.2">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row>
    <row r="820" spans="1:50" ht="12.95" customHeight="1" x14ac:dyDescent="0.2">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row>
    <row r="821" spans="1:50" ht="12.95" customHeight="1" x14ac:dyDescent="0.2">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row>
    <row r="822" spans="1:50" ht="12.95" customHeight="1" x14ac:dyDescent="0.2">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row>
    <row r="823" spans="1:50" ht="12.95" customHeight="1" x14ac:dyDescent="0.2">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row>
    <row r="824" spans="1:50" ht="12.95" customHeight="1" x14ac:dyDescent="0.2">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row>
    <row r="825" spans="1:50" ht="12.95" customHeight="1" x14ac:dyDescent="0.2">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row>
    <row r="826" spans="1:50" ht="12.95" customHeight="1" x14ac:dyDescent="0.2">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row>
    <row r="827" spans="1:50" ht="12.95" customHeight="1" x14ac:dyDescent="0.2">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row>
    <row r="828" spans="1:50" ht="12.95" customHeight="1" x14ac:dyDescent="0.2">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row>
    <row r="829" spans="1:50" ht="12.95" customHeight="1" x14ac:dyDescent="0.2">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row>
    <row r="830" spans="1:50" ht="12.95" customHeight="1" x14ac:dyDescent="0.2">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row>
    <row r="831" spans="1:50" ht="12.95" customHeight="1" x14ac:dyDescent="0.2">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row>
    <row r="832" spans="1:50" ht="12.95" customHeight="1" x14ac:dyDescent="0.2">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row>
    <row r="833" spans="1:50" ht="12.95" customHeight="1" x14ac:dyDescent="0.2">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row>
    <row r="834" spans="1:50" ht="12.95" customHeight="1" x14ac:dyDescent="0.2">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row>
    <row r="835" spans="1:50" ht="12.95" customHeight="1" x14ac:dyDescent="0.2">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row>
    <row r="836" spans="1:50" ht="12.95" customHeight="1" x14ac:dyDescent="0.2">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row>
    <row r="837" spans="1:50" ht="12.95" customHeight="1" x14ac:dyDescent="0.2">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row>
    <row r="838" spans="1:50" ht="12.95" customHeight="1" x14ac:dyDescent="0.2">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row>
    <row r="839" spans="1:50" ht="12.95" customHeight="1" x14ac:dyDescent="0.2">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row>
    <row r="840" spans="1:50" ht="12.95" customHeight="1" x14ac:dyDescent="0.2">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row>
    <row r="841" spans="1:50" ht="12.95" customHeight="1" x14ac:dyDescent="0.2">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row>
    <row r="842" spans="1:50" ht="12.95" customHeight="1" x14ac:dyDescent="0.2">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row>
    <row r="843" spans="1:50" ht="12.95" customHeight="1" x14ac:dyDescent="0.2">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row>
    <row r="844" spans="1:50" ht="12.95" customHeight="1" x14ac:dyDescent="0.2">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row>
    <row r="845" spans="1:50" ht="12.95" customHeight="1" x14ac:dyDescent="0.2">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row>
    <row r="846" spans="1:50" ht="12.95" customHeight="1" x14ac:dyDescent="0.2">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row>
    <row r="847" spans="1:50" ht="12.95" customHeight="1" x14ac:dyDescent="0.2">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row>
    <row r="848" spans="1:50" ht="12.95" customHeight="1" x14ac:dyDescent="0.2">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row>
    <row r="849" spans="1:50" ht="12.95" customHeight="1" x14ac:dyDescent="0.2">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row>
    <row r="850" spans="1:50" ht="12.95" customHeight="1" x14ac:dyDescent="0.2">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row>
    <row r="851" spans="1:50" ht="12.95" customHeight="1" x14ac:dyDescent="0.2">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row>
    <row r="852" spans="1:50" ht="12.95" customHeight="1" x14ac:dyDescent="0.2">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row>
    <row r="853" spans="1:50" ht="12.95" customHeight="1" x14ac:dyDescent="0.2">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row>
    <row r="854" spans="1:50" ht="12.95" customHeight="1" x14ac:dyDescent="0.2">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row>
    <row r="855" spans="1:50" ht="12.95" customHeight="1" x14ac:dyDescent="0.2">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row>
    <row r="856" spans="1:50" ht="12.95" customHeight="1" x14ac:dyDescent="0.2">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row>
    <row r="857" spans="1:50" ht="12.95" customHeight="1" x14ac:dyDescent="0.2">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row>
    <row r="858" spans="1:50" ht="12.95" customHeight="1" x14ac:dyDescent="0.2">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row>
    <row r="859" spans="1:50" ht="12.95" customHeight="1" x14ac:dyDescent="0.2">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row>
    <row r="860" spans="1:50" ht="12.95" customHeight="1" x14ac:dyDescent="0.2">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row>
    <row r="861" spans="1:50" ht="12.95" customHeight="1" x14ac:dyDescent="0.2">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row>
    <row r="862" spans="1:50" ht="12.95" customHeight="1" x14ac:dyDescent="0.2">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row>
    <row r="863" spans="1:50" ht="12.95" customHeight="1" x14ac:dyDescent="0.2">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row>
    <row r="864" spans="1:50" ht="12.95" customHeight="1" x14ac:dyDescent="0.2">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row>
    <row r="865" spans="1:50" ht="12.95" customHeight="1" x14ac:dyDescent="0.2">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row>
    <row r="866" spans="1:50" ht="12.95" customHeight="1" x14ac:dyDescent="0.2">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row>
    <row r="867" spans="1:50" ht="12.95" customHeight="1" x14ac:dyDescent="0.2">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row>
    <row r="868" spans="1:50" ht="12.95" customHeight="1" x14ac:dyDescent="0.2">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row>
    <row r="869" spans="1:50" ht="12.95" customHeight="1" x14ac:dyDescent="0.2">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row>
    <row r="870" spans="1:50" ht="12.95" customHeight="1" x14ac:dyDescent="0.2">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row>
    <row r="871" spans="1:50" ht="12.95" customHeight="1" x14ac:dyDescent="0.2">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row>
    <row r="872" spans="1:50" ht="12.95" customHeight="1" x14ac:dyDescent="0.2">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row>
    <row r="873" spans="1:50" ht="12.95" customHeight="1" x14ac:dyDescent="0.2">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row>
    <row r="874" spans="1:50" ht="12.95" customHeight="1" x14ac:dyDescent="0.2">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row>
    <row r="875" spans="1:50" ht="12.95" customHeight="1" x14ac:dyDescent="0.2">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row>
    <row r="876" spans="1:50" ht="12.95" customHeight="1" x14ac:dyDescent="0.2">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row>
    <row r="877" spans="1:50" ht="12.95" customHeight="1" x14ac:dyDescent="0.2">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row>
    <row r="878" spans="1:50" ht="12.95" customHeight="1" x14ac:dyDescent="0.2">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row>
    <row r="879" spans="1:50" ht="12.95" customHeight="1" x14ac:dyDescent="0.2">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row>
    <row r="880" spans="1:50" ht="12.95" customHeight="1" x14ac:dyDescent="0.2">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row>
    <row r="881" spans="1:50" ht="12.95" customHeight="1" x14ac:dyDescent="0.2">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row>
    <row r="882" spans="1:50" ht="12.95" customHeight="1" x14ac:dyDescent="0.2">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row>
    <row r="883" spans="1:50" ht="12.95" customHeight="1" x14ac:dyDescent="0.2">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row>
    <row r="884" spans="1:50" ht="12.95" customHeight="1" x14ac:dyDescent="0.2">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row>
    <row r="885" spans="1:50" ht="12.95" customHeight="1" x14ac:dyDescent="0.2">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row>
    <row r="886" spans="1:50" ht="12.95" customHeight="1" x14ac:dyDescent="0.2">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row>
    <row r="887" spans="1:50" ht="12.95" customHeight="1" x14ac:dyDescent="0.2">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row>
    <row r="888" spans="1:50" ht="12.95" customHeight="1" x14ac:dyDescent="0.2">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row>
    <row r="889" spans="1:50" ht="12.95" customHeight="1" x14ac:dyDescent="0.2">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row>
    <row r="890" spans="1:50" ht="12.95" customHeight="1" x14ac:dyDescent="0.2">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row>
    <row r="891" spans="1:50" ht="12.95" customHeight="1" x14ac:dyDescent="0.2">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row>
    <row r="892" spans="1:50" ht="12.95" customHeight="1" x14ac:dyDescent="0.2">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row>
    <row r="893" spans="1:50" ht="12.95" customHeight="1" x14ac:dyDescent="0.2">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row>
    <row r="894" spans="1:50" ht="12.95" customHeight="1" x14ac:dyDescent="0.2">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row>
    <row r="895" spans="1:50" ht="12.95" customHeight="1" x14ac:dyDescent="0.2">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row>
    <row r="896" spans="1:50" ht="12.95" customHeight="1" x14ac:dyDescent="0.2">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row>
    <row r="897" spans="1:50" ht="12.95" customHeight="1" x14ac:dyDescent="0.2">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row>
    <row r="898" spans="1:50" ht="12.95" customHeight="1" x14ac:dyDescent="0.2">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row>
    <row r="899" spans="1:50" ht="12.95" customHeight="1" x14ac:dyDescent="0.2">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row>
    <row r="900" spans="1:50" ht="12.95" customHeight="1" x14ac:dyDescent="0.2">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row>
    <row r="901" spans="1:50" ht="12.95" customHeight="1" x14ac:dyDescent="0.2">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row>
    <row r="902" spans="1:50" ht="12.95" customHeight="1" x14ac:dyDescent="0.2">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row>
    <row r="903" spans="1:50" ht="12.95" customHeight="1" x14ac:dyDescent="0.2">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row>
    <row r="904" spans="1:50" ht="12.95" customHeight="1" x14ac:dyDescent="0.2">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row>
    <row r="905" spans="1:50" ht="12.95" customHeight="1" x14ac:dyDescent="0.2">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row>
    <row r="906" spans="1:50" ht="12.95" customHeight="1" x14ac:dyDescent="0.2">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row>
    <row r="907" spans="1:50" ht="12.95" customHeight="1" x14ac:dyDescent="0.2">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row>
    <row r="908" spans="1:50" ht="12.95" customHeight="1" x14ac:dyDescent="0.2">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row>
    <row r="909" spans="1:50" ht="12.95" customHeight="1" x14ac:dyDescent="0.2">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row>
    <row r="910" spans="1:50" ht="12.95" customHeight="1" x14ac:dyDescent="0.2">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row>
    <row r="911" spans="1:50" ht="12.95" customHeight="1" x14ac:dyDescent="0.2">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row>
    <row r="912" spans="1:50" ht="12.95" customHeight="1" x14ac:dyDescent="0.2">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row>
    <row r="913" spans="1:50" ht="12.95" customHeight="1" x14ac:dyDescent="0.2">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row>
    <row r="914" spans="1:50" ht="12.95" customHeight="1" x14ac:dyDescent="0.2">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row>
    <row r="915" spans="1:50" ht="12.95" customHeight="1" x14ac:dyDescent="0.2">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row>
    <row r="916" spans="1:50" ht="12.95" customHeight="1" x14ac:dyDescent="0.2">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row>
    <row r="917" spans="1:50" ht="12.95" customHeight="1" x14ac:dyDescent="0.2">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row>
    <row r="918" spans="1:50" ht="12.95" customHeight="1" x14ac:dyDescent="0.2">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row>
    <row r="919" spans="1:50" ht="12.95" customHeight="1" x14ac:dyDescent="0.2">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row>
    <row r="920" spans="1:50" ht="12.95" customHeight="1" x14ac:dyDescent="0.2">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row>
    <row r="921" spans="1:50" ht="12.95" customHeight="1" x14ac:dyDescent="0.2">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row>
    <row r="922" spans="1:50" ht="12.95" customHeight="1" x14ac:dyDescent="0.2">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row>
    <row r="923" spans="1:50" ht="12.95" customHeight="1" x14ac:dyDescent="0.2">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row>
    <row r="924" spans="1:50" ht="12.95" customHeight="1" x14ac:dyDescent="0.2">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row>
    <row r="925" spans="1:50" ht="12.95" customHeight="1" x14ac:dyDescent="0.2">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row>
    <row r="926" spans="1:50" ht="12.95" customHeight="1" x14ac:dyDescent="0.2">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row>
    <row r="927" spans="1:50" ht="12.95" customHeight="1" x14ac:dyDescent="0.2">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row>
    <row r="928" spans="1:50" ht="12.95" customHeight="1" x14ac:dyDescent="0.2">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row>
    <row r="929" spans="1:50" ht="12.95" customHeight="1" x14ac:dyDescent="0.2">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row>
    <row r="930" spans="1:50" ht="12.95" customHeight="1" x14ac:dyDescent="0.2">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row>
    <row r="931" spans="1:50" ht="12.95" customHeight="1" x14ac:dyDescent="0.2">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row>
    <row r="932" spans="1:50" ht="12.95" customHeight="1" x14ac:dyDescent="0.2">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row>
    <row r="933" spans="1:50" ht="12.95" customHeight="1" x14ac:dyDescent="0.2">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row>
    <row r="934" spans="1:50" ht="12.95" customHeight="1" x14ac:dyDescent="0.2">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row>
    <row r="935" spans="1:50" ht="12.95" customHeight="1" x14ac:dyDescent="0.2">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row>
    <row r="936" spans="1:50" ht="12.95" customHeight="1" x14ac:dyDescent="0.2">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row>
  </sheetData>
  <mergeCells count="160">
    <mergeCell ref="C141:E141"/>
    <mergeCell ref="C182:E182"/>
    <mergeCell ref="C13:E13"/>
    <mergeCell ref="C14:E14"/>
    <mergeCell ref="C55:E55"/>
    <mergeCell ref="C134:E134"/>
    <mergeCell ref="C135:E135"/>
    <mergeCell ref="C136:E136"/>
    <mergeCell ref="C7:E7"/>
    <mergeCell ref="C8:E8"/>
    <mergeCell ref="C9:E9"/>
    <mergeCell ref="C10:E10"/>
    <mergeCell ref="C11:E11"/>
    <mergeCell ref="C12:E12"/>
    <mergeCell ref="C170:E170"/>
    <mergeCell ref="C171:E171"/>
    <mergeCell ref="C172:E172"/>
    <mergeCell ref="C173:E173"/>
    <mergeCell ref="C175:E175"/>
    <mergeCell ref="C164:E164"/>
    <mergeCell ref="C165:E165"/>
    <mergeCell ref="C166:E166"/>
    <mergeCell ref="C167:E167"/>
    <mergeCell ref="C168:E168"/>
    <mergeCell ref="C213:E213"/>
    <mergeCell ref="C214:E214"/>
    <mergeCell ref="C207:E207"/>
    <mergeCell ref="C208:E208"/>
    <mergeCell ref="C209:E209"/>
    <mergeCell ref="C210:E210"/>
    <mergeCell ref="C211:E211"/>
    <mergeCell ref="C212:E212"/>
    <mergeCell ref="C201:E201"/>
    <mergeCell ref="C202:E202"/>
    <mergeCell ref="C203:E203"/>
    <mergeCell ref="C204:E204"/>
    <mergeCell ref="C205:E205"/>
    <mergeCell ref="C206:E206"/>
    <mergeCell ref="C195:E195"/>
    <mergeCell ref="C196:E196"/>
    <mergeCell ref="C197:E197"/>
    <mergeCell ref="C198:E198"/>
    <mergeCell ref="C199:E199"/>
    <mergeCell ref="C200:E200"/>
    <mergeCell ref="C189:E189"/>
    <mergeCell ref="C190:E190"/>
    <mergeCell ref="C191:E191"/>
    <mergeCell ref="C192:E192"/>
    <mergeCell ref="C193:E193"/>
    <mergeCell ref="C194:E194"/>
    <mergeCell ref="C183:E183"/>
    <mergeCell ref="C184:E184"/>
    <mergeCell ref="C185:E185"/>
    <mergeCell ref="C186:E186"/>
    <mergeCell ref="C187:E187"/>
    <mergeCell ref="C188:E188"/>
    <mergeCell ref="C176:E176"/>
    <mergeCell ref="C177:E177"/>
    <mergeCell ref="C178:E178"/>
    <mergeCell ref="C179:E179"/>
    <mergeCell ref="C180:E180"/>
    <mergeCell ref="C181:E181"/>
    <mergeCell ref="C169:E169"/>
    <mergeCell ref="C158:E158"/>
    <mergeCell ref="C159:E159"/>
    <mergeCell ref="C160:E160"/>
    <mergeCell ref="C161:E161"/>
    <mergeCell ref="C162:E162"/>
    <mergeCell ref="C163:E163"/>
    <mergeCell ref="C152:E152"/>
    <mergeCell ref="C153:E153"/>
    <mergeCell ref="C154:E154"/>
    <mergeCell ref="C155:E155"/>
    <mergeCell ref="C156:E156"/>
    <mergeCell ref="C157:E157"/>
    <mergeCell ref="C146:E146"/>
    <mergeCell ref="C147:E147"/>
    <mergeCell ref="C148:E148"/>
    <mergeCell ref="C149:E149"/>
    <mergeCell ref="C150:E150"/>
    <mergeCell ref="C151:E151"/>
    <mergeCell ref="C142:E142"/>
    <mergeCell ref="C143:E143"/>
    <mergeCell ref="C144:E144"/>
    <mergeCell ref="C145:E145"/>
    <mergeCell ref="C137:E137"/>
    <mergeCell ref="C138:E138"/>
    <mergeCell ref="C139:E139"/>
    <mergeCell ref="C140:E140"/>
    <mergeCell ref="C82:E82"/>
    <mergeCell ref="C83:E83"/>
    <mergeCell ref="C84:E84"/>
    <mergeCell ref="C85:E85"/>
    <mergeCell ref="C86:E86"/>
    <mergeCell ref="C87:E87"/>
    <mergeCell ref="C76:E76"/>
    <mergeCell ref="C77:E77"/>
    <mergeCell ref="C78:E78"/>
    <mergeCell ref="C79:E79"/>
    <mergeCell ref="C80:E80"/>
    <mergeCell ref="C81:E81"/>
    <mergeCell ref="C70:E70"/>
    <mergeCell ref="C71:E71"/>
    <mergeCell ref="C72:E72"/>
    <mergeCell ref="C73:E73"/>
    <mergeCell ref="C74:E74"/>
    <mergeCell ref="C75:E75"/>
    <mergeCell ref="C64:E64"/>
    <mergeCell ref="C65:E65"/>
    <mergeCell ref="C66:E66"/>
    <mergeCell ref="C67:E67"/>
    <mergeCell ref="C68:E68"/>
    <mergeCell ref="C69:E69"/>
    <mergeCell ref="C58:E58"/>
    <mergeCell ref="C59:E59"/>
    <mergeCell ref="C60:E60"/>
    <mergeCell ref="C61:E61"/>
    <mergeCell ref="C62:E62"/>
    <mergeCell ref="C63:E63"/>
    <mergeCell ref="C51:E51"/>
    <mergeCell ref="C52:E52"/>
    <mergeCell ref="C53:E53"/>
    <mergeCell ref="C54:E54"/>
    <mergeCell ref="C56:E56"/>
    <mergeCell ref="C57:E57"/>
    <mergeCell ref="C45:E45"/>
    <mergeCell ref="C46:E46"/>
    <mergeCell ref="C48:E48"/>
    <mergeCell ref="C49:E49"/>
    <mergeCell ref="C50:E50"/>
    <mergeCell ref="C39:E39"/>
    <mergeCell ref="C40:E40"/>
    <mergeCell ref="C41:E41"/>
    <mergeCell ref="C42:E42"/>
    <mergeCell ref="C43:E43"/>
    <mergeCell ref="C44:E44"/>
    <mergeCell ref="C33:E33"/>
    <mergeCell ref="C34:E34"/>
    <mergeCell ref="C35:E35"/>
    <mergeCell ref="C36:E36"/>
    <mergeCell ref="C37:E37"/>
    <mergeCell ref="C38:E38"/>
    <mergeCell ref="C30:E30"/>
    <mergeCell ref="C31:E31"/>
    <mergeCell ref="C32:E32"/>
    <mergeCell ref="C21:E21"/>
    <mergeCell ref="C22:E22"/>
    <mergeCell ref="C23:E23"/>
    <mergeCell ref="C24:E24"/>
    <mergeCell ref="C25:E25"/>
    <mergeCell ref="C26:E26"/>
    <mergeCell ref="C15:E15"/>
    <mergeCell ref="C16:E16"/>
    <mergeCell ref="C17:E17"/>
    <mergeCell ref="C18:E18"/>
    <mergeCell ref="C19:E19"/>
    <mergeCell ref="C20:E20"/>
    <mergeCell ref="C27:E27"/>
    <mergeCell ref="C28:E28"/>
    <mergeCell ref="C29:E29"/>
  </mergeCells>
  <hyperlinks>
    <hyperlink ref="B2" location="cover!B18" display="return to TOC" xr:uid="{3E2D72BC-4ACF-4629-8153-961923A005C5}"/>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DBA0F-F07E-4056-B697-DDD1CF1BD8F0}">
  <sheetPr published="0" codeName="Sheet29">
    <tabColor rgb="FF2171B5"/>
  </sheetPr>
  <dimension ref="A1:AX935"/>
  <sheetViews>
    <sheetView workbookViewId="0"/>
  </sheetViews>
  <sheetFormatPr defaultColWidth="10.83203125" defaultRowHeight="12.95" customHeight="1" x14ac:dyDescent="0.2"/>
  <cols>
    <col min="1" max="1" width="1.83203125" style="253" customWidth="1"/>
    <col min="2" max="4" width="2.83203125" style="253" customWidth="1"/>
    <col min="5" max="5" width="32.83203125" style="253" customWidth="1"/>
    <col min="6" max="6" width="8.83203125" style="253" customWidth="1"/>
    <col min="7" max="8" width="10.83203125" style="253" customWidth="1"/>
    <col min="9" max="9" width="8.83203125" style="253" customWidth="1"/>
    <col min="10" max="48" width="8.83203125" style="250" customWidth="1"/>
    <col min="49" max="49" width="75.83203125" style="253" customWidth="1"/>
    <col min="50" max="50" width="10.83203125" style="253" customWidth="1"/>
    <col min="51" max="16384" width="10.83203125" style="253"/>
  </cols>
  <sheetData>
    <row r="1" spans="1:50" ht="30" customHeight="1" x14ac:dyDescent="0.2">
      <c r="A1" s="85"/>
      <c r="B1" s="86" t="s">
        <v>1021</v>
      </c>
      <c r="C1" s="302"/>
      <c r="D1" s="302"/>
      <c r="E1" s="302"/>
      <c r="F1" s="302"/>
      <c r="G1" s="14"/>
      <c r="H1" s="14"/>
      <c r="I1" s="14"/>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14"/>
      <c r="AX1" s="14"/>
    </row>
    <row r="2" spans="1:50" ht="12.95" customHeight="1" x14ac:dyDescent="0.2">
      <c r="A2" s="85"/>
      <c r="B2" s="81" t="s">
        <v>349</v>
      </c>
      <c r="C2" s="21"/>
      <c r="D2" s="21"/>
      <c r="E2" s="21"/>
      <c r="F2" s="21"/>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row>
    <row r="3" spans="1:50" ht="12.95" customHeight="1" x14ac:dyDescent="0.2">
      <c r="B3" s="21"/>
      <c r="C3" s="21"/>
      <c r="D3" s="21"/>
      <c r="E3" s="21"/>
      <c r="F3" s="21"/>
      <c r="I3" s="81"/>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row>
    <row r="4" spans="1:50" ht="12.95" customHeight="1" x14ac:dyDescent="0.25">
      <c r="B4" s="307" t="s">
        <v>975</v>
      </c>
      <c r="C4" s="106"/>
      <c r="D4" s="106"/>
      <c r="E4" s="106"/>
      <c r="F4" s="106"/>
      <c r="G4" s="106"/>
      <c r="H4" s="106"/>
      <c r="I4" s="106"/>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8"/>
    </row>
    <row r="5" spans="1:50" ht="12.95" customHeight="1" x14ac:dyDescent="0.25">
      <c r="B5" s="19" t="s">
        <v>300</v>
      </c>
      <c r="C5" s="75"/>
      <c r="D5" s="75"/>
      <c r="E5" s="74"/>
      <c r="F5" s="74"/>
      <c r="G5" s="113" t="s">
        <v>1</v>
      </c>
      <c r="H5" s="114" t="s">
        <v>456</v>
      </c>
      <c r="I5" s="114" t="s">
        <v>381</v>
      </c>
      <c r="J5" s="56" t="s">
        <v>382</v>
      </c>
      <c r="K5" s="56" t="s">
        <v>383</v>
      </c>
      <c r="L5" s="56" t="s">
        <v>384</v>
      </c>
      <c r="M5" s="56" t="s">
        <v>385</v>
      </c>
      <c r="N5" s="56" t="s">
        <v>386</v>
      </c>
      <c r="O5" s="56" t="s">
        <v>387</v>
      </c>
      <c r="P5" s="56" t="s">
        <v>388</v>
      </c>
      <c r="Q5" s="56" t="s">
        <v>389</v>
      </c>
      <c r="R5" s="56" t="s">
        <v>390</v>
      </c>
      <c r="S5" s="56" t="s">
        <v>401</v>
      </c>
      <c r="T5" s="56" t="s">
        <v>402</v>
      </c>
      <c r="U5" s="56" t="s">
        <v>403</v>
      </c>
      <c r="V5" s="56" t="s">
        <v>404</v>
      </c>
      <c r="W5" s="56" t="s">
        <v>405</v>
      </c>
      <c r="X5" s="56" t="s">
        <v>406</v>
      </c>
      <c r="Y5" s="56" t="s">
        <v>407</v>
      </c>
      <c r="Z5" s="56" t="s">
        <v>408</v>
      </c>
      <c r="AA5" s="56" t="s">
        <v>409</v>
      </c>
      <c r="AB5" s="56" t="s">
        <v>410</v>
      </c>
      <c r="AC5" s="56" t="s">
        <v>411</v>
      </c>
      <c r="AD5" s="56" t="s">
        <v>412</v>
      </c>
      <c r="AE5" s="56" t="s">
        <v>413</v>
      </c>
      <c r="AF5" s="56" t="s">
        <v>414</v>
      </c>
      <c r="AG5" s="56" t="s">
        <v>415</v>
      </c>
      <c r="AH5" s="56" t="s">
        <v>416</v>
      </c>
      <c r="AI5" s="56" t="s">
        <v>417</v>
      </c>
      <c r="AJ5" s="56" t="s">
        <v>418</v>
      </c>
      <c r="AK5" s="56" t="s">
        <v>419</v>
      </c>
      <c r="AL5" s="56" t="s">
        <v>420</v>
      </c>
      <c r="AM5" s="56" t="s">
        <v>421</v>
      </c>
      <c r="AN5" s="56" t="s">
        <v>422</v>
      </c>
      <c r="AO5" s="56" t="s">
        <v>423</v>
      </c>
      <c r="AP5" s="56" t="s">
        <v>424</v>
      </c>
      <c r="AQ5" s="56" t="s">
        <v>425</v>
      </c>
      <c r="AR5" s="56" t="s">
        <v>426</v>
      </c>
      <c r="AS5" s="56" t="s">
        <v>427</v>
      </c>
      <c r="AT5" s="56" t="s">
        <v>428</v>
      </c>
      <c r="AU5" s="56" t="s">
        <v>429</v>
      </c>
      <c r="AV5" s="56" t="s">
        <v>430</v>
      </c>
      <c r="AW5" s="5" t="s">
        <v>2</v>
      </c>
      <c r="AX5" s="14"/>
    </row>
    <row r="6" spans="1:50" ht="12.95" customHeight="1" x14ac:dyDescent="0.2">
      <c r="B6" s="14" t="s">
        <v>479</v>
      </c>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c r="AT6" s="171"/>
      <c r="AU6" s="171"/>
      <c r="AV6" s="171"/>
    </row>
    <row r="7" spans="1:50" ht="12.95" customHeight="1" x14ac:dyDescent="0.2">
      <c r="B7" s="14"/>
      <c r="C7" s="372">
        <v>1</v>
      </c>
      <c r="D7" s="372"/>
      <c r="E7" s="372"/>
      <c r="F7" s="253" t="s">
        <v>492</v>
      </c>
      <c r="G7" s="253" t="s">
        <v>4</v>
      </c>
      <c r="H7" s="124">
        <f>THIN!$F$9</f>
        <v>15</v>
      </c>
      <c r="I7" s="124">
        <f>MOD(H7,THIN!$F$8)+1</f>
        <v>16</v>
      </c>
      <c r="J7" s="124">
        <f>MOD(I7,THIN!$F$8)+1</f>
        <v>17</v>
      </c>
      <c r="K7" s="124">
        <f>MOD(J7,THIN!$F$8)+1</f>
        <v>18</v>
      </c>
      <c r="L7" s="124">
        <f>MOD(K7,THIN!$F$8)+1</f>
        <v>19</v>
      </c>
      <c r="M7" s="124">
        <f>MOD(L7,THIN!$F$8)+1</f>
        <v>20</v>
      </c>
      <c r="N7" s="124">
        <f>MOD(M7,THIN!$F$8)+1</f>
        <v>21</v>
      </c>
      <c r="O7" s="124">
        <f>MOD(N7,THIN!$F$8)+1</f>
        <v>22</v>
      </c>
      <c r="P7" s="124">
        <f>MOD(O7,THIN!$F$8)+1</f>
        <v>23</v>
      </c>
      <c r="Q7" s="124">
        <f>MOD(P7,THIN!$F$8)+1</f>
        <v>24</v>
      </c>
      <c r="R7" s="124">
        <f>MOD(Q7,THIN!$F$8)+1</f>
        <v>25</v>
      </c>
      <c r="S7" s="124">
        <f>MOD(R7,THIN!$F$8)+1</f>
        <v>1</v>
      </c>
      <c r="T7" s="124">
        <f>MOD(S7,THIN!$F$8)+1</f>
        <v>2</v>
      </c>
      <c r="U7" s="124">
        <f>MOD(T7,THIN!$F$8)+1</f>
        <v>3</v>
      </c>
      <c r="V7" s="124">
        <f>MOD(U7,THIN!$F$8)+1</f>
        <v>4</v>
      </c>
      <c r="W7" s="124">
        <f>MOD(V7,THIN!$F$8)+1</f>
        <v>5</v>
      </c>
      <c r="X7" s="124">
        <f>MOD(W7,THIN!$F$8)+1</f>
        <v>6</v>
      </c>
      <c r="Y7" s="124">
        <f>MOD(X7,THIN!$F$8)+1</f>
        <v>7</v>
      </c>
      <c r="Z7" s="124">
        <f>MOD(Y7,THIN!$F$8)+1</f>
        <v>8</v>
      </c>
      <c r="AA7" s="124">
        <f>MOD(Z7,THIN!$F$8)+1</f>
        <v>9</v>
      </c>
      <c r="AB7" s="124">
        <f>MOD(AA7,THIN!$F$8)+1</f>
        <v>10</v>
      </c>
      <c r="AC7" s="124">
        <f>MOD(AB7,THIN!$F$8)+1</f>
        <v>11</v>
      </c>
      <c r="AD7" s="124">
        <f>MOD(AC7,THIN!$F$8)+1</f>
        <v>12</v>
      </c>
      <c r="AE7" s="124">
        <f>MOD(AD7,THIN!$F$8)+1</f>
        <v>13</v>
      </c>
      <c r="AF7" s="124">
        <f>MOD(AE7,THIN!$F$8)+1</f>
        <v>14</v>
      </c>
      <c r="AG7" s="124">
        <f>MOD(AF7,THIN!$F$8)+1</f>
        <v>15</v>
      </c>
      <c r="AH7" s="124">
        <f>MOD(AG7,THIN!$F$8)+1</f>
        <v>16</v>
      </c>
      <c r="AI7" s="124">
        <f>MOD(AH7,THIN!$F$8)+1</f>
        <v>17</v>
      </c>
      <c r="AJ7" s="124">
        <f>MOD(AI7,THIN!$F$8)+1</f>
        <v>18</v>
      </c>
      <c r="AK7" s="124">
        <f>MOD(AJ7,THIN!$F$8)+1</f>
        <v>19</v>
      </c>
      <c r="AL7" s="124">
        <f>MOD(AK7,THIN!$F$8)+1</f>
        <v>20</v>
      </c>
      <c r="AM7" s="124">
        <f>MOD(AL7,THIN!$F$8)+1</f>
        <v>21</v>
      </c>
      <c r="AN7" s="124">
        <f>MOD(AM7,THIN!$F$8)+1</f>
        <v>22</v>
      </c>
      <c r="AO7" s="124">
        <f>MOD(AN7,THIN!$F$8)+1</f>
        <v>23</v>
      </c>
      <c r="AP7" s="124">
        <f>MOD(AO7,THIN!$F$8)+1</f>
        <v>24</v>
      </c>
      <c r="AQ7" s="124">
        <f>MOD(AP7,THIN!$F$8)+1</f>
        <v>25</v>
      </c>
      <c r="AR7" s="124">
        <f>MOD(AQ7,THIN!$F$8)+1</f>
        <v>1</v>
      </c>
      <c r="AS7" s="124">
        <f>MOD(AR7,THIN!$F$8)+1</f>
        <v>2</v>
      </c>
      <c r="AT7" s="124">
        <f>MOD(AS7,THIN!$F$8)+1</f>
        <v>3</v>
      </c>
      <c r="AU7" s="124">
        <f>MOD(AT7,THIN!$F$8)+1</f>
        <v>4</v>
      </c>
      <c r="AV7" s="124">
        <f>MOD(AU7,THIN!$F$8)+1</f>
        <v>5</v>
      </c>
    </row>
    <row r="8" spans="1:50" ht="12.95" customHeight="1" x14ac:dyDescent="0.2">
      <c r="B8" s="14"/>
      <c r="C8" s="372">
        <v>2</v>
      </c>
      <c r="D8" s="372"/>
      <c r="E8" s="372"/>
      <c r="F8" s="253" t="s">
        <v>492</v>
      </c>
      <c r="G8" s="253" t="s">
        <v>4</v>
      </c>
      <c r="H8" s="124"/>
      <c r="I8" s="124">
        <f>IF($C8&gt;THIN!$F$8,0,H7)</f>
        <v>15</v>
      </c>
      <c r="J8" s="124">
        <f>IF($C8&gt;THIN!$F$8,0,I7)</f>
        <v>16</v>
      </c>
      <c r="K8" s="124">
        <f>IF($C8&gt;THIN!$F$8,0,J7)</f>
        <v>17</v>
      </c>
      <c r="L8" s="124">
        <f>IF($C8&gt;THIN!$F$8,0,K7)</f>
        <v>18</v>
      </c>
      <c r="M8" s="124">
        <f>IF($C8&gt;THIN!$F$8,0,L7)</f>
        <v>19</v>
      </c>
      <c r="N8" s="124">
        <f>IF($C8&gt;THIN!$F$8,0,M7)</f>
        <v>20</v>
      </c>
      <c r="O8" s="124">
        <f>IF($C8&gt;THIN!$F$8,0,N7)</f>
        <v>21</v>
      </c>
      <c r="P8" s="124">
        <f>IF($C8&gt;THIN!$F$8,0,O7)</f>
        <v>22</v>
      </c>
      <c r="Q8" s="124">
        <f>IF($C8&gt;THIN!$F$8,0,P7)</f>
        <v>23</v>
      </c>
      <c r="R8" s="124">
        <f>IF($C8&gt;THIN!$F$8,0,Q7)</f>
        <v>24</v>
      </c>
      <c r="S8" s="124">
        <f>IF($C8&gt;THIN!$F$8,0,R7)</f>
        <v>25</v>
      </c>
      <c r="T8" s="124">
        <f>IF($C8&gt;THIN!$F$8,0,S7)</f>
        <v>1</v>
      </c>
      <c r="U8" s="124">
        <f>IF($C8&gt;THIN!$F$8,0,T7)</f>
        <v>2</v>
      </c>
      <c r="V8" s="124">
        <f>IF($C8&gt;THIN!$F$8,0,U7)</f>
        <v>3</v>
      </c>
      <c r="W8" s="124">
        <f>IF($C8&gt;THIN!$F$8,0,V7)</f>
        <v>4</v>
      </c>
      <c r="X8" s="124">
        <f>IF($C8&gt;THIN!$F$8,0,W7)</f>
        <v>5</v>
      </c>
      <c r="Y8" s="124">
        <f>IF($C8&gt;THIN!$F$8,0,X7)</f>
        <v>6</v>
      </c>
      <c r="Z8" s="124">
        <f>IF($C8&gt;THIN!$F$8,0,Y7)</f>
        <v>7</v>
      </c>
      <c r="AA8" s="124">
        <f>IF($C8&gt;THIN!$F$8,0,Z7)</f>
        <v>8</v>
      </c>
      <c r="AB8" s="124">
        <f>IF($C8&gt;THIN!$F$8,0,AA7)</f>
        <v>9</v>
      </c>
      <c r="AC8" s="124">
        <f>IF($C8&gt;THIN!$F$8,0,AB7)</f>
        <v>10</v>
      </c>
      <c r="AD8" s="124">
        <f>IF($C8&gt;THIN!$F$8,0,AC7)</f>
        <v>11</v>
      </c>
      <c r="AE8" s="124">
        <f>IF($C8&gt;THIN!$F$8,0,AD7)</f>
        <v>12</v>
      </c>
      <c r="AF8" s="124">
        <f>IF($C8&gt;THIN!$F$8,0,AE7)</f>
        <v>13</v>
      </c>
      <c r="AG8" s="124">
        <f>IF($C8&gt;THIN!$F$8,0,AF7)</f>
        <v>14</v>
      </c>
      <c r="AH8" s="124">
        <f>IF($C8&gt;THIN!$F$8,0,AG7)</f>
        <v>15</v>
      </c>
      <c r="AI8" s="124">
        <f>IF($C8&gt;THIN!$F$8,0,AH7)</f>
        <v>16</v>
      </c>
      <c r="AJ8" s="124">
        <f>IF($C8&gt;THIN!$F$8,0,AI7)</f>
        <v>17</v>
      </c>
      <c r="AK8" s="124">
        <f>IF($C8&gt;THIN!$F$8,0,AJ7)</f>
        <v>18</v>
      </c>
      <c r="AL8" s="124">
        <f>IF($C8&gt;THIN!$F$8,0,AK7)</f>
        <v>19</v>
      </c>
      <c r="AM8" s="124">
        <f>IF($C8&gt;THIN!$F$8,0,AL7)</f>
        <v>20</v>
      </c>
      <c r="AN8" s="124">
        <f>IF($C8&gt;THIN!$F$8,0,AM7)</f>
        <v>21</v>
      </c>
      <c r="AO8" s="124">
        <f>IF($C8&gt;THIN!$F$8,0,AN7)</f>
        <v>22</v>
      </c>
      <c r="AP8" s="124">
        <f>IF($C8&gt;THIN!$F$8,0,AO7)</f>
        <v>23</v>
      </c>
      <c r="AQ8" s="124">
        <f>IF($C8&gt;THIN!$F$8,0,AP7)</f>
        <v>24</v>
      </c>
      <c r="AR8" s="124">
        <f>IF($C8&gt;THIN!$F$8,0,AQ7)</f>
        <v>25</v>
      </c>
      <c r="AS8" s="124">
        <f>IF($C8&gt;THIN!$F$8,0,AR7)</f>
        <v>1</v>
      </c>
      <c r="AT8" s="124">
        <f>IF($C8&gt;THIN!$F$8,0,AS7)</f>
        <v>2</v>
      </c>
      <c r="AU8" s="124">
        <f>IF($C8&gt;THIN!$F$8,0,AT7)</f>
        <v>3</v>
      </c>
      <c r="AV8" s="124">
        <f>IF($C8&gt;THIN!$F$8,0,AU7)</f>
        <v>4</v>
      </c>
    </row>
    <row r="9" spans="1:50" ht="12.95" customHeight="1" x14ac:dyDescent="0.2">
      <c r="B9" s="14"/>
      <c r="C9" s="372">
        <v>3</v>
      </c>
      <c r="D9" s="372"/>
      <c r="E9" s="372"/>
      <c r="F9" s="253" t="s">
        <v>492</v>
      </c>
      <c r="G9" s="253" t="s">
        <v>4</v>
      </c>
      <c r="H9" s="124"/>
      <c r="I9" s="124"/>
      <c r="J9" s="124">
        <f>IF($C9&gt;THIN!$F$8,0,I8)</f>
        <v>15</v>
      </c>
      <c r="K9" s="124">
        <f>IF($C9&gt;THIN!$F$8,0,J8)</f>
        <v>16</v>
      </c>
      <c r="L9" s="124">
        <f>IF($C9&gt;THIN!$F$8,0,K8)</f>
        <v>17</v>
      </c>
      <c r="M9" s="124">
        <f>IF($C9&gt;THIN!$F$8,0,L8)</f>
        <v>18</v>
      </c>
      <c r="N9" s="124">
        <f>IF($C9&gt;THIN!$F$8,0,M8)</f>
        <v>19</v>
      </c>
      <c r="O9" s="124">
        <f>IF($C9&gt;THIN!$F$8,0,N8)</f>
        <v>20</v>
      </c>
      <c r="P9" s="124">
        <f>IF($C9&gt;THIN!$F$8,0,O8)</f>
        <v>21</v>
      </c>
      <c r="Q9" s="124">
        <f>IF($C9&gt;THIN!$F$8,0,P8)</f>
        <v>22</v>
      </c>
      <c r="R9" s="124">
        <f>IF($C9&gt;THIN!$F$8,0,Q8)</f>
        <v>23</v>
      </c>
      <c r="S9" s="124">
        <f>IF($C9&gt;THIN!$F$8,0,R8)</f>
        <v>24</v>
      </c>
      <c r="T9" s="124">
        <f>IF($C9&gt;THIN!$F$8,0,S8)</f>
        <v>25</v>
      </c>
      <c r="U9" s="124">
        <f>IF($C9&gt;THIN!$F$8,0,T8)</f>
        <v>1</v>
      </c>
      <c r="V9" s="124">
        <f>IF($C9&gt;THIN!$F$8,0,U8)</f>
        <v>2</v>
      </c>
      <c r="W9" s="124">
        <f>IF($C9&gt;THIN!$F$8,0,V8)</f>
        <v>3</v>
      </c>
      <c r="X9" s="124">
        <f>IF($C9&gt;THIN!$F$8,0,W8)</f>
        <v>4</v>
      </c>
      <c r="Y9" s="124">
        <f>IF($C9&gt;THIN!$F$8,0,X8)</f>
        <v>5</v>
      </c>
      <c r="Z9" s="124">
        <f>IF($C9&gt;THIN!$F$8,0,Y8)</f>
        <v>6</v>
      </c>
      <c r="AA9" s="124">
        <f>IF($C9&gt;THIN!$F$8,0,Z8)</f>
        <v>7</v>
      </c>
      <c r="AB9" s="124">
        <f>IF($C9&gt;THIN!$F$8,0,AA8)</f>
        <v>8</v>
      </c>
      <c r="AC9" s="124">
        <f>IF($C9&gt;THIN!$F$8,0,AB8)</f>
        <v>9</v>
      </c>
      <c r="AD9" s="124">
        <f>IF($C9&gt;THIN!$F$8,0,AC8)</f>
        <v>10</v>
      </c>
      <c r="AE9" s="124">
        <f>IF($C9&gt;THIN!$F$8,0,AD8)</f>
        <v>11</v>
      </c>
      <c r="AF9" s="124">
        <f>IF($C9&gt;THIN!$F$8,0,AE8)</f>
        <v>12</v>
      </c>
      <c r="AG9" s="124">
        <f>IF($C9&gt;THIN!$F$8,0,AF8)</f>
        <v>13</v>
      </c>
      <c r="AH9" s="124">
        <f>IF($C9&gt;THIN!$F$8,0,AG8)</f>
        <v>14</v>
      </c>
      <c r="AI9" s="124">
        <f>IF($C9&gt;THIN!$F$8,0,AH8)</f>
        <v>15</v>
      </c>
      <c r="AJ9" s="124">
        <f>IF($C9&gt;THIN!$F$8,0,AI8)</f>
        <v>16</v>
      </c>
      <c r="AK9" s="124">
        <f>IF($C9&gt;THIN!$F$8,0,AJ8)</f>
        <v>17</v>
      </c>
      <c r="AL9" s="124">
        <f>IF($C9&gt;THIN!$F$8,0,AK8)</f>
        <v>18</v>
      </c>
      <c r="AM9" s="124">
        <f>IF($C9&gt;THIN!$F$8,0,AL8)</f>
        <v>19</v>
      </c>
      <c r="AN9" s="124">
        <f>IF($C9&gt;THIN!$F$8,0,AM8)</f>
        <v>20</v>
      </c>
      <c r="AO9" s="124">
        <f>IF($C9&gt;THIN!$F$8,0,AN8)</f>
        <v>21</v>
      </c>
      <c r="AP9" s="124">
        <f>IF($C9&gt;THIN!$F$8,0,AO8)</f>
        <v>22</v>
      </c>
      <c r="AQ9" s="124">
        <f>IF($C9&gt;THIN!$F$8,0,AP8)</f>
        <v>23</v>
      </c>
      <c r="AR9" s="124">
        <f>IF($C9&gt;THIN!$F$8,0,AQ8)</f>
        <v>24</v>
      </c>
      <c r="AS9" s="124">
        <f>IF($C9&gt;THIN!$F$8,0,AR8)</f>
        <v>25</v>
      </c>
      <c r="AT9" s="124">
        <f>IF($C9&gt;THIN!$F$8,0,AS8)</f>
        <v>1</v>
      </c>
      <c r="AU9" s="124">
        <f>IF($C9&gt;THIN!$F$8,0,AT8)</f>
        <v>2</v>
      </c>
      <c r="AV9" s="124">
        <f>IF($C9&gt;THIN!$F$8,0,AU8)</f>
        <v>3</v>
      </c>
    </row>
    <row r="10" spans="1:50" ht="12.95" customHeight="1" x14ac:dyDescent="0.2">
      <c r="B10" s="14"/>
      <c r="C10" s="372">
        <v>4</v>
      </c>
      <c r="D10" s="372"/>
      <c r="E10" s="372"/>
      <c r="F10" s="253" t="s">
        <v>492</v>
      </c>
      <c r="G10" s="253" t="s">
        <v>4</v>
      </c>
      <c r="H10" s="124"/>
      <c r="I10" s="124"/>
      <c r="J10" s="124"/>
      <c r="K10" s="124">
        <f>IF($C10&gt;THIN!$F$8,0,J9)</f>
        <v>15</v>
      </c>
      <c r="L10" s="124">
        <f>IF($C10&gt;THIN!$F$8,0,K9)</f>
        <v>16</v>
      </c>
      <c r="M10" s="124">
        <f>IF($C10&gt;THIN!$F$8,0,L9)</f>
        <v>17</v>
      </c>
      <c r="N10" s="124">
        <f>IF($C10&gt;THIN!$F$8,0,M9)</f>
        <v>18</v>
      </c>
      <c r="O10" s="124">
        <f>IF($C10&gt;THIN!$F$8,0,N9)</f>
        <v>19</v>
      </c>
      <c r="P10" s="124">
        <f>IF($C10&gt;THIN!$F$8,0,O9)</f>
        <v>20</v>
      </c>
      <c r="Q10" s="124">
        <f>IF($C10&gt;THIN!$F$8,0,P9)</f>
        <v>21</v>
      </c>
      <c r="R10" s="124">
        <f>IF($C10&gt;THIN!$F$8,0,Q9)</f>
        <v>22</v>
      </c>
      <c r="S10" s="124">
        <f>IF($C10&gt;THIN!$F$8,0,R9)</f>
        <v>23</v>
      </c>
      <c r="T10" s="124">
        <f>IF($C10&gt;THIN!$F$8,0,S9)</f>
        <v>24</v>
      </c>
      <c r="U10" s="124">
        <f>IF($C10&gt;THIN!$F$8,0,T9)</f>
        <v>25</v>
      </c>
      <c r="V10" s="124">
        <f>IF($C10&gt;THIN!$F$8,0,U9)</f>
        <v>1</v>
      </c>
      <c r="W10" s="124">
        <f>IF($C10&gt;THIN!$F$8,0,V9)</f>
        <v>2</v>
      </c>
      <c r="X10" s="124">
        <f>IF($C10&gt;THIN!$F$8,0,W9)</f>
        <v>3</v>
      </c>
      <c r="Y10" s="124">
        <f>IF($C10&gt;THIN!$F$8,0,X9)</f>
        <v>4</v>
      </c>
      <c r="Z10" s="124">
        <f>IF($C10&gt;THIN!$F$8,0,Y9)</f>
        <v>5</v>
      </c>
      <c r="AA10" s="124">
        <f>IF($C10&gt;THIN!$F$8,0,Z9)</f>
        <v>6</v>
      </c>
      <c r="AB10" s="124">
        <f>IF($C10&gt;THIN!$F$8,0,AA9)</f>
        <v>7</v>
      </c>
      <c r="AC10" s="124">
        <f>IF($C10&gt;THIN!$F$8,0,AB9)</f>
        <v>8</v>
      </c>
      <c r="AD10" s="124">
        <f>IF($C10&gt;THIN!$F$8,0,AC9)</f>
        <v>9</v>
      </c>
      <c r="AE10" s="124">
        <f>IF($C10&gt;THIN!$F$8,0,AD9)</f>
        <v>10</v>
      </c>
      <c r="AF10" s="124">
        <f>IF($C10&gt;THIN!$F$8,0,AE9)</f>
        <v>11</v>
      </c>
      <c r="AG10" s="124">
        <f>IF($C10&gt;THIN!$F$8,0,AF9)</f>
        <v>12</v>
      </c>
      <c r="AH10" s="124">
        <f>IF($C10&gt;THIN!$F$8,0,AG9)</f>
        <v>13</v>
      </c>
      <c r="AI10" s="124">
        <f>IF($C10&gt;THIN!$F$8,0,AH9)</f>
        <v>14</v>
      </c>
      <c r="AJ10" s="124">
        <f>IF($C10&gt;THIN!$F$8,0,AI9)</f>
        <v>15</v>
      </c>
      <c r="AK10" s="124">
        <f>IF($C10&gt;THIN!$F$8,0,AJ9)</f>
        <v>16</v>
      </c>
      <c r="AL10" s="124">
        <f>IF($C10&gt;THIN!$F$8,0,AK9)</f>
        <v>17</v>
      </c>
      <c r="AM10" s="124">
        <f>IF($C10&gt;THIN!$F$8,0,AL9)</f>
        <v>18</v>
      </c>
      <c r="AN10" s="124">
        <f>IF($C10&gt;THIN!$F$8,0,AM9)</f>
        <v>19</v>
      </c>
      <c r="AO10" s="124">
        <f>IF($C10&gt;THIN!$F$8,0,AN9)</f>
        <v>20</v>
      </c>
      <c r="AP10" s="124">
        <f>IF($C10&gt;THIN!$F$8,0,AO9)</f>
        <v>21</v>
      </c>
      <c r="AQ10" s="124">
        <f>IF($C10&gt;THIN!$F$8,0,AP9)</f>
        <v>22</v>
      </c>
      <c r="AR10" s="124">
        <f>IF($C10&gt;THIN!$F$8,0,AQ9)</f>
        <v>23</v>
      </c>
      <c r="AS10" s="124">
        <f>IF($C10&gt;THIN!$F$8,0,AR9)</f>
        <v>24</v>
      </c>
      <c r="AT10" s="124">
        <f>IF($C10&gt;THIN!$F$8,0,AS9)</f>
        <v>25</v>
      </c>
      <c r="AU10" s="124">
        <f>IF($C10&gt;THIN!$F$8,0,AT9)</f>
        <v>1</v>
      </c>
      <c r="AV10" s="124">
        <f>IF($C10&gt;THIN!$F$8,0,AU9)</f>
        <v>2</v>
      </c>
    </row>
    <row r="11" spans="1:50" ht="12.95" customHeight="1" x14ac:dyDescent="0.2">
      <c r="B11" s="14"/>
      <c r="C11" s="372">
        <v>5</v>
      </c>
      <c r="D11" s="372"/>
      <c r="E11" s="372"/>
      <c r="F11" s="253" t="s">
        <v>492</v>
      </c>
      <c r="G11" s="253" t="s">
        <v>4</v>
      </c>
      <c r="H11" s="124"/>
      <c r="I11" s="124"/>
      <c r="J11" s="124"/>
      <c r="K11" s="124"/>
      <c r="L11" s="124">
        <f>IF($C11&gt;THIN!$F$8,0,K10)</f>
        <v>15</v>
      </c>
      <c r="M11" s="124">
        <f>IF($C11&gt;THIN!$F$8,0,L10)</f>
        <v>16</v>
      </c>
      <c r="N11" s="124">
        <f>IF($C11&gt;THIN!$F$8,0,M10)</f>
        <v>17</v>
      </c>
      <c r="O11" s="124">
        <f>IF($C11&gt;THIN!$F$8,0,N10)</f>
        <v>18</v>
      </c>
      <c r="P11" s="124">
        <f>IF($C11&gt;THIN!$F$8,0,O10)</f>
        <v>19</v>
      </c>
      <c r="Q11" s="124">
        <f>IF($C11&gt;THIN!$F$8,0,P10)</f>
        <v>20</v>
      </c>
      <c r="R11" s="124">
        <f>IF($C11&gt;THIN!$F$8,0,Q10)</f>
        <v>21</v>
      </c>
      <c r="S11" s="124">
        <f>IF($C11&gt;THIN!$F$8,0,R10)</f>
        <v>22</v>
      </c>
      <c r="T11" s="124">
        <f>IF($C11&gt;THIN!$F$8,0,S10)</f>
        <v>23</v>
      </c>
      <c r="U11" s="124">
        <f>IF($C11&gt;THIN!$F$8,0,T10)</f>
        <v>24</v>
      </c>
      <c r="V11" s="124">
        <f>IF($C11&gt;THIN!$F$8,0,U10)</f>
        <v>25</v>
      </c>
      <c r="W11" s="124">
        <f>IF($C11&gt;THIN!$F$8,0,V10)</f>
        <v>1</v>
      </c>
      <c r="X11" s="124">
        <f>IF($C11&gt;THIN!$F$8,0,W10)</f>
        <v>2</v>
      </c>
      <c r="Y11" s="124">
        <f>IF($C11&gt;THIN!$F$8,0,X10)</f>
        <v>3</v>
      </c>
      <c r="Z11" s="124">
        <f>IF($C11&gt;THIN!$F$8,0,Y10)</f>
        <v>4</v>
      </c>
      <c r="AA11" s="124">
        <f>IF($C11&gt;THIN!$F$8,0,Z10)</f>
        <v>5</v>
      </c>
      <c r="AB11" s="124">
        <f>IF($C11&gt;THIN!$F$8,0,AA10)</f>
        <v>6</v>
      </c>
      <c r="AC11" s="124">
        <f>IF($C11&gt;THIN!$F$8,0,AB10)</f>
        <v>7</v>
      </c>
      <c r="AD11" s="124">
        <f>IF($C11&gt;THIN!$F$8,0,AC10)</f>
        <v>8</v>
      </c>
      <c r="AE11" s="124">
        <f>IF($C11&gt;THIN!$F$8,0,AD10)</f>
        <v>9</v>
      </c>
      <c r="AF11" s="124">
        <f>IF($C11&gt;THIN!$F$8,0,AE10)</f>
        <v>10</v>
      </c>
      <c r="AG11" s="124">
        <f>IF($C11&gt;THIN!$F$8,0,AF10)</f>
        <v>11</v>
      </c>
      <c r="AH11" s="124">
        <f>IF($C11&gt;THIN!$F$8,0,AG10)</f>
        <v>12</v>
      </c>
      <c r="AI11" s="124">
        <f>IF($C11&gt;THIN!$F$8,0,AH10)</f>
        <v>13</v>
      </c>
      <c r="AJ11" s="124">
        <f>IF($C11&gt;THIN!$F$8,0,AI10)</f>
        <v>14</v>
      </c>
      <c r="AK11" s="124">
        <f>IF($C11&gt;THIN!$F$8,0,AJ10)</f>
        <v>15</v>
      </c>
      <c r="AL11" s="124">
        <f>IF($C11&gt;THIN!$F$8,0,AK10)</f>
        <v>16</v>
      </c>
      <c r="AM11" s="124">
        <f>IF($C11&gt;THIN!$F$8,0,AL10)</f>
        <v>17</v>
      </c>
      <c r="AN11" s="124">
        <f>IF($C11&gt;THIN!$F$8,0,AM10)</f>
        <v>18</v>
      </c>
      <c r="AO11" s="124">
        <f>IF($C11&gt;THIN!$F$8,0,AN10)</f>
        <v>19</v>
      </c>
      <c r="AP11" s="124">
        <f>IF($C11&gt;THIN!$F$8,0,AO10)</f>
        <v>20</v>
      </c>
      <c r="AQ11" s="124">
        <f>IF($C11&gt;THIN!$F$8,0,AP10)</f>
        <v>21</v>
      </c>
      <c r="AR11" s="124">
        <f>IF($C11&gt;THIN!$F$8,0,AQ10)</f>
        <v>22</v>
      </c>
      <c r="AS11" s="124">
        <f>IF($C11&gt;THIN!$F$8,0,AR10)</f>
        <v>23</v>
      </c>
      <c r="AT11" s="124">
        <f>IF($C11&gt;THIN!$F$8,0,AS10)</f>
        <v>24</v>
      </c>
      <c r="AU11" s="124">
        <f>IF($C11&gt;THIN!$F$8,0,AT10)</f>
        <v>25</v>
      </c>
      <c r="AV11" s="124">
        <f>IF($C11&gt;THIN!$F$8,0,AU10)</f>
        <v>1</v>
      </c>
    </row>
    <row r="12" spans="1:50" ht="12.95" customHeight="1" x14ac:dyDescent="0.2">
      <c r="B12" s="14"/>
      <c r="C12" s="372">
        <v>6</v>
      </c>
      <c r="D12" s="372"/>
      <c r="E12" s="372"/>
      <c r="F12" s="253" t="s">
        <v>492</v>
      </c>
      <c r="G12" s="253" t="s">
        <v>4</v>
      </c>
      <c r="H12" s="124"/>
      <c r="I12" s="124"/>
      <c r="J12" s="124"/>
      <c r="K12" s="124"/>
      <c r="L12" s="124"/>
      <c r="M12" s="124">
        <f>IF($C12&gt;THIN!$F$8,0,L11)</f>
        <v>15</v>
      </c>
      <c r="N12" s="124">
        <f>IF($C12&gt;THIN!$F$8,0,M11)</f>
        <v>16</v>
      </c>
      <c r="O12" s="124">
        <f>IF($C12&gt;THIN!$F$8,0,N11)</f>
        <v>17</v>
      </c>
      <c r="P12" s="124">
        <f>IF($C12&gt;THIN!$F$8,0,O11)</f>
        <v>18</v>
      </c>
      <c r="Q12" s="124">
        <f>IF($C12&gt;THIN!$F$8,0,P11)</f>
        <v>19</v>
      </c>
      <c r="R12" s="124">
        <f>IF($C12&gt;THIN!$F$8,0,Q11)</f>
        <v>20</v>
      </c>
      <c r="S12" s="124">
        <f>IF($C12&gt;THIN!$F$8,0,R11)</f>
        <v>21</v>
      </c>
      <c r="T12" s="124">
        <f>IF($C12&gt;THIN!$F$8,0,S11)</f>
        <v>22</v>
      </c>
      <c r="U12" s="124">
        <f>IF($C12&gt;THIN!$F$8,0,T11)</f>
        <v>23</v>
      </c>
      <c r="V12" s="124">
        <f>IF($C12&gt;THIN!$F$8,0,U11)</f>
        <v>24</v>
      </c>
      <c r="W12" s="124">
        <f>IF($C12&gt;THIN!$F$8,0,V11)</f>
        <v>25</v>
      </c>
      <c r="X12" s="124">
        <f>IF($C12&gt;THIN!$F$8,0,W11)</f>
        <v>1</v>
      </c>
      <c r="Y12" s="124">
        <f>IF($C12&gt;THIN!$F$8,0,X11)</f>
        <v>2</v>
      </c>
      <c r="Z12" s="124">
        <f>IF($C12&gt;THIN!$F$8,0,Y11)</f>
        <v>3</v>
      </c>
      <c r="AA12" s="124">
        <f>IF($C12&gt;THIN!$F$8,0,Z11)</f>
        <v>4</v>
      </c>
      <c r="AB12" s="124">
        <f>IF($C12&gt;THIN!$F$8,0,AA11)</f>
        <v>5</v>
      </c>
      <c r="AC12" s="124">
        <f>IF($C12&gt;THIN!$F$8,0,AB11)</f>
        <v>6</v>
      </c>
      <c r="AD12" s="124">
        <f>IF($C12&gt;THIN!$F$8,0,AC11)</f>
        <v>7</v>
      </c>
      <c r="AE12" s="124">
        <f>IF($C12&gt;THIN!$F$8,0,AD11)</f>
        <v>8</v>
      </c>
      <c r="AF12" s="124">
        <f>IF($C12&gt;THIN!$F$8,0,AE11)</f>
        <v>9</v>
      </c>
      <c r="AG12" s="124">
        <f>IF($C12&gt;THIN!$F$8,0,AF11)</f>
        <v>10</v>
      </c>
      <c r="AH12" s="124">
        <f>IF($C12&gt;THIN!$F$8,0,AG11)</f>
        <v>11</v>
      </c>
      <c r="AI12" s="124">
        <f>IF($C12&gt;THIN!$F$8,0,AH11)</f>
        <v>12</v>
      </c>
      <c r="AJ12" s="124">
        <f>IF($C12&gt;THIN!$F$8,0,AI11)</f>
        <v>13</v>
      </c>
      <c r="AK12" s="124">
        <f>IF($C12&gt;THIN!$F$8,0,AJ11)</f>
        <v>14</v>
      </c>
      <c r="AL12" s="124">
        <f>IF($C12&gt;THIN!$F$8,0,AK11)</f>
        <v>15</v>
      </c>
      <c r="AM12" s="124">
        <f>IF($C12&gt;THIN!$F$8,0,AL11)</f>
        <v>16</v>
      </c>
      <c r="AN12" s="124">
        <f>IF($C12&gt;THIN!$F$8,0,AM11)</f>
        <v>17</v>
      </c>
      <c r="AO12" s="124">
        <f>IF($C12&gt;THIN!$F$8,0,AN11)</f>
        <v>18</v>
      </c>
      <c r="AP12" s="124">
        <f>IF($C12&gt;THIN!$F$8,0,AO11)</f>
        <v>19</v>
      </c>
      <c r="AQ12" s="124">
        <f>IF($C12&gt;THIN!$F$8,0,AP11)</f>
        <v>20</v>
      </c>
      <c r="AR12" s="124">
        <f>IF($C12&gt;THIN!$F$8,0,AQ11)</f>
        <v>21</v>
      </c>
      <c r="AS12" s="124">
        <f>IF($C12&gt;THIN!$F$8,0,AR11)</f>
        <v>22</v>
      </c>
      <c r="AT12" s="124">
        <f>IF($C12&gt;THIN!$F$8,0,AS11)</f>
        <v>23</v>
      </c>
      <c r="AU12" s="124">
        <f>IF($C12&gt;THIN!$F$8,0,AT11)</f>
        <v>24</v>
      </c>
      <c r="AV12" s="124">
        <f>IF($C12&gt;THIN!$F$8,0,AU11)</f>
        <v>25</v>
      </c>
    </row>
    <row r="13" spans="1:50" ht="12.95" customHeight="1" x14ac:dyDescent="0.2">
      <c r="B13" s="14"/>
      <c r="C13" s="372">
        <v>7</v>
      </c>
      <c r="D13" s="372"/>
      <c r="E13" s="372"/>
      <c r="F13" s="253" t="s">
        <v>492</v>
      </c>
      <c r="G13" s="253" t="s">
        <v>4</v>
      </c>
      <c r="H13" s="124"/>
      <c r="I13" s="124"/>
      <c r="J13" s="124"/>
      <c r="K13" s="124"/>
      <c r="L13" s="124"/>
      <c r="M13" s="124"/>
      <c r="N13" s="124">
        <f>IF($C13&gt;THIN!$F$8,0,M12)</f>
        <v>15</v>
      </c>
      <c r="O13" s="124">
        <f>IF($C13&gt;THIN!$F$8,0,N12)</f>
        <v>16</v>
      </c>
      <c r="P13" s="124">
        <f>IF($C13&gt;THIN!$F$8,0,O12)</f>
        <v>17</v>
      </c>
      <c r="Q13" s="124">
        <f>IF($C13&gt;THIN!$F$8,0,P12)</f>
        <v>18</v>
      </c>
      <c r="R13" s="124">
        <f>IF($C13&gt;THIN!$F$8,0,Q12)</f>
        <v>19</v>
      </c>
      <c r="S13" s="124">
        <f>IF($C13&gt;THIN!$F$8,0,R12)</f>
        <v>20</v>
      </c>
      <c r="T13" s="124">
        <f>IF($C13&gt;THIN!$F$8,0,S12)</f>
        <v>21</v>
      </c>
      <c r="U13" s="124">
        <f>IF($C13&gt;THIN!$F$8,0,T12)</f>
        <v>22</v>
      </c>
      <c r="V13" s="124">
        <f>IF($C13&gt;THIN!$F$8,0,U12)</f>
        <v>23</v>
      </c>
      <c r="W13" s="124">
        <f>IF($C13&gt;THIN!$F$8,0,V12)</f>
        <v>24</v>
      </c>
      <c r="X13" s="124">
        <f>IF($C13&gt;THIN!$F$8,0,W12)</f>
        <v>25</v>
      </c>
      <c r="Y13" s="124">
        <f>IF($C13&gt;THIN!$F$8,0,X12)</f>
        <v>1</v>
      </c>
      <c r="Z13" s="124">
        <f>IF($C13&gt;THIN!$F$8,0,Y12)</f>
        <v>2</v>
      </c>
      <c r="AA13" s="124">
        <f>IF($C13&gt;THIN!$F$8,0,Z12)</f>
        <v>3</v>
      </c>
      <c r="AB13" s="124">
        <f>IF($C13&gt;THIN!$F$8,0,AA12)</f>
        <v>4</v>
      </c>
      <c r="AC13" s="124">
        <f>IF($C13&gt;THIN!$F$8,0,AB12)</f>
        <v>5</v>
      </c>
      <c r="AD13" s="124">
        <f>IF($C13&gt;THIN!$F$8,0,AC12)</f>
        <v>6</v>
      </c>
      <c r="AE13" s="124">
        <f>IF($C13&gt;THIN!$F$8,0,AD12)</f>
        <v>7</v>
      </c>
      <c r="AF13" s="124">
        <f>IF($C13&gt;THIN!$F$8,0,AE12)</f>
        <v>8</v>
      </c>
      <c r="AG13" s="124">
        <f>IF($C13&gt;THIN!$F$8,0,AF12)</f>
        <v>9</v>
      </c>
      <c r="AH13" s="124">
        <f>IF($C13&gt;THIN!$F$8,0,AG12)</f>
        <v>10</v>
      </c>
      <c r="AI13" s="124">
        <f>IF($C13&gt;THIN!$F$8,0,AH12)</f>
        <v>11</v>
      </c>
      <c r="AJ13" s="124">
        <f>IF($C13&gt;THIN!$F$8,0,AI12)</f>
        <v>12</v>
      </c>
      <c r="AK13" s="124">
        <f>IF($C13&gt;THIN!$F$8,0,AJ12)</f>
        <v>13</v>
      </c>
      <c r="AL13" s="124">
        <f>IF($C13&gt;THIN!$F$8,0,AK12)</f>
        <v>14</v>
      </c>
      <c r="AM13" s="124">
        <f>IF($C13&gt;THIN!$F$8,0,AL12)</f>
        <v>15</v>
      </c>
      <c r="AN13" s="124">
        <f>IF($C13&gt;THIN!$F$8,0,AM12)</f>
        <v>16</v>
      </c>
      <c r="AO13" s="124">
        <f>IF($C13&gt;THIN!$F$8,0,AN12)</f>
        <v>17</v>
      </c>
      <c r="AP13" s="124">
        <f>IF($C13&gt;THIN!$F$8,0,AO12)</f>
        <v>18</v>
      </c>
      <c r="AQ13" s="124">
        <f>IF($C13&gt;THIN!$F$8,0,AP12)</f>
        <v>19</v>
      </c>
      <c r="AR13" s="124">
        <f>IF($C13&gt;THIN!$F$8,0,AQ12)</f>
        <v>20</v>
      </c>
      <c r="AS13" s="124">
        <f>IF($C13&gt;THIN!$F$8,0,AR12)</f>
        <v>21</v>
      </c>
      <c r="AT13" s="124">
        <f>IF($C13&gt;THIN!$F$8,0,AS12)</f>
        <v>22</v>
      </c>
      <c r="AU13" s="124">
        <f>IF($C13&gt;THIN!$F$8,0,AT12)</f>
        <v>23</v>
      </c>
      <c r="AV13" s="124">
        <f>IF($C13&gt;THIN!$F$8,0,AU12)</f>
        <v>24</v>
      </c>
    </row>
    <row r="14" spans="1:50" ht="12.95" customHeight="1" x14ac:dyDescent="0.2">
      <c r="B14" s="14"/>
      <c r="C14" s="372">
        <v>8</v>
      </c>
      <c r="D14" s="372"/>
      <c r="E14" s="372"/>
      <c r="F14" s="253" t="s">
        <v>492</v>
      </c>
      <c r="G14" s="253" t="s">
        <v>4</v>
      </c>
      <c r="H14" s="124"/>
      <c r="I14" s="124"/>
      <c r="J14" s="124"/>
      <c r="K14" s="124"/>
      <c r="L14" s="124"/>
      <c r="M14" s="124"/>
      <c r="N14" s="124"/>
      <c r="O14" s="124">
        <f>IF($C14&gt;THIN!$F$8,0,N13)</f>
        <v>15</v>
      </c>
      <c r="P14" s="124">
        <f>IF($C14&gt;THIN!$F$8,0,O13)</f>
        <v>16</v>
      </c>
      <c r="Q14" s="124">
        <f>IF($C14&gt;THIN!$F$8,0,P13)</f>
        <v>17</v>
      </c>
      <c r="R14" s="124">
        <f>IF($C14&gt;THIN!$F$8,0,Q13)</f>
        <v>18</v>
      </c>
      <c r="S14" s="124">
        <f>IF($C14&gt;THIN!$F$8,0,R13)</f>
        <v>19</v>
      </c>
      <c r="T14" s="124">
        <f>IF($C14&gt;THIN!$F$8,0,S13)</f>
        <v>20</v>
      </c>
      <c r="U14" s="124">
        <f>IF($C14&gt;THIN!$F$8,0,T13)</f>
        <v>21</v>
      </c>
      <c r="V14" s="124">
        <f>IF($C14&gt;THIN!$F$8,0,U13)</f>
        <v>22</v>
      </c>
      <c r="W14" s="124">
        <f>IF($C14&gt;THIN!$F$8,0,V13)</f>
        <v>23</v>
      </c>
      <c r="X14" s="124">
        <f>IF($C14&gt;THIN!$F$8,0,W13)</f>
        <v>24</v>
      </c>
      <c r="Y14" s="124">
        <f>IF($C14&gt;THIN!$F$8,0,X13)</f>
        <v>25</v>
      </c>
      <c r="Z14" s="124">
        <f>IF($C14&gt;THIN!$F$8,0,Y13)</f>
        <v>1</v>
      </c>
      <c r="AA14" s="124">
        <f>IF($C14&gt;THIN!$F$8,0,Z13)</f>
        <v>2</v>
      </c>
      <c r="AB14" s="124">
        <f>IF($C14&gt;THIN!$F$8,0,AA13)</f>
        <v>3</v>
      </c>
      <c r="AC14" s="124">
        <f>IF($C14&gt;THIN!$F$8,0,AB13)</f>
        <v>4</v>
      </c>
      <c r="AD14" s="124">
        <f>IF($C14&gt;THIN!$F$8,0,AC13)</f>
        <v>5</v>
      </c>
      <c r="AE14" s="124">
        <f>IF($C14&gt;THIN!$F$8,0,AD13)</f>
        <v>6</v>
      </c>
      <c r="AF14" s="124">
        <f>IF($C14&gt;THIN!$F$8,0,AE13)</f>
        <v>7</v>
      </c>
      <c r="AG14" s="124">
        <f>IF($C14&gt;THIN!$F$8,0,AF13)</f>
        <v>8</v>
      </c>
      <c r="AH14" s="124">
        <f>IF($C14&gt;THIN!$F$8,0,AG13)</f>
        <v>9</v>
      </c>
      <c r="AI14" s="124">
        <f>IF($C14&gt;THIN!$F$8,0,AH13)</f>
        <v>10</v>
      </c>
      <c r="AJ14" s="124">
        <f>IF($C14&gt;THIN!$F$8,0,AI13)</f>
        <v>11</v>
      </c>
      <c r="AK14" s="124">
        <f>IF($C14&gt;THIN!$F$8,0,AJ13)</f>
        <v>12</v>
      </c>
      <c r="AL14" s="124">
        <f>IF($C14&gt;THIN!$F$8,0,AK13)</f>
        <v>13</v>
      </c>
      <c r="AM14" s="124">
        <f>IF($C14&gt;THIN!$F$8,0,AL13)</f>
        <v>14</v>
      </c>
      <c r="AN14" s="124">
        <f>IF($C14&gt;THIN!$F$8,0,AM13)</f>
        <v>15</v>
      </c>
      <c r="AO14" s="124">
        <f>IF($C14&gt;THIN!$F$8,0,AN13)</f>
        <v>16</v>
      </c>
      <c r="AP14" s="124">
        <f>IF($C14&gt;THIN!$F$8,0,AO13)</f>
        <v>17</v>
      </c>
      <c r="AQ14" s="124">
        <f>IF($C14&gt;THIN!$F$8,0,AP13)</f>
        <v>18</v>
      </c>
      <c r="AR14" s="124">
        <f>IF($C14&gt;THIN!$F$8,0,AQ13)</f>
        <v>19</v>
      </c>
      <c r="AS14" s="124">
        <f>IF($C14&gt;THIN!$F$8,0,AR13)</f>
        <v>20</v>
      </c>
      <c r="AT14" s="124">
        <f>IF($C14&gt;THIN!$F$8,0,AS13)</f>
        <v>21</v>
      </c>
      <c r="AU14" s="124">
        <f>IF($C14&gt;THIN!$F$8,0,AT13)</f>
        <v>22</v>
      </c>
      <c r="AV14" s="124">
        <f>IF($C14&gt;THIN!$F$8,0,AU13)</f>
        <v>23</v>
      </c>
    </row>
    <row r="15" spans="1:50" ht="12.95" customHeight="1" x14ac:dyDescent="0.2">
      <c r="B15" s="14"/>
      <c r="C15" s="372">
        <v>9</v>
      </c>
      <c r="D15" s="372"/>
      <c r="E15" s="372"/>
      <c r="F15" s="253" t="s">
        <v>492</v>
      </c>
      <c r="G15" s="253" t="s">
        <v>4</v>
      </c>
      <c r="H15" s="124"/>
      <c r="I15" s="124"/>
      <c r="J15" s="124"/>
      <c r="K15" s="124"/>
      <c r="L15" s="124"/>
      <c r="M15" s="124"/>
      <c r="N15" s="124"/>
      <c r="O15" s="124"/>
      <c r="P15" s="124">
        <f>IF($C15&gt;THIN!$F$8,0,O14)</f>
        <v>15</v>
      </c>
      <c r="Q15" s="124">
        <f>IF($C15&gt;THIN!$F$8,0,P14)</f>
        <v>16</v>
      </c>
      <c r="R15" s="124">
        <f>IF($C15&gt;THIN!$F$8,0,Q14)</f>
        <v>17</v>
      </c>
      <c r="S15" s="124">
        <f>IF($C15&gt;THIN!$F$8,0,R14)</f>
        <v>18</v>
      </c>
      <c r="T15" s="124">
        <f>IF($C15&gt;THIN!$F$8,0,S14)</f>
        <v>19</v>
      </c>
      <c r="U15" s="124">
        <f>IF($C15&gt;THIN!$F$8,0,T14)</f>
        <v>20</v>
      </c>
      <c r="V15" s="124">
        <f>IF($C15&gt;THIN!$F$8,0,U14)</f>
        <v>21</v>
      </c>
      <c r="W15" s="124">
        <f>IF($C15&gt;THIN!$F$8,0,V14)</f>
        <v>22</v>
      </c>
      <c r="X15" s="124">
        <f>IF($C15&gt;THIN!$F$8,0,W14)</f>
        <v>23</v>
      </c>
      <c r="Y15" s="124">
        <f>IF($C15&gt;THIN!$F$8,0,X14)</f>
        <v>24</v>
      </c>
      <c r="Z15" s="124">
        <f>IF($C15&gt;THIN!$F$8,0,Y14)</f>
        <v>25</v>
      </c>
      <c r="AA15" s="124">
        <f>IF($C15&gt;THIN!$F$8,0,Z14)</f>
        <v>1</v>
      </c>
      <c r="AB15" s="124">
        <f>IF($C15&gt;THIN!$F$8,0,AA14)</f>
        <v>2</v>
      </c>
      <c r="AC15" s="124">
        <f>IF($C15&gt;THIN!$F$8,0,AB14)</f>
        <v>3</v>
      </c>
      <c r="AD15" s="124">
        <f>IF($C15&gt;THIN!$F$8,0,AC14)</f>
        <v>4</v>
      </c>
      <c r="AE15" s="124">
        <f>IF($C15&gt;THIN!$F$8,0,AD14)</f>
        <v>5</v>
      </c>
      <c r="AF15" s="124">
        <f>IF($C15&gt;THIN!$F$8,0,AE14)</f>
        <v>6</v>
      </c>
      <c r="AG15" s="124">
        <f>IF($C15&gt;THIN!$F$8,0,AF14)</f>
        <v>7</v>
      </c>
      <c r="AH15" s="124">
        <f>IF($C15&gt;THIN!$F$8,0,AG14)</f>
        <v>8</v>
      </c>
      <c r="AI15" s="124">
        <f>IF($C15&gt;THIN!$F$8,0,AH14)</f>
        <v>9</v>
      </c>
      <c r="AJ15" s="124">
        <f>IF($C15&gt;THIN!$F$8,0,AI14)</f>
        <v>10</v>
      </c>
      <c r="AK15" s="124">
        <f>IF($C15&gt;THIN!$F$8,0,AJ14)</f>
        <v>11</v>
      </c>
      <c r="AL15" s="124">
        <f>IF($C15&gt;THIN!$F$8,0,AK14)</f>
        <v>12</v>
      </c>
      <c r="AM15" s="124">
        <f>IF($C15&gt;THIN!$F$8,0,AL14)</f>
        <v>13</v>
      </c>
      <c r="AN15" s="124">
        <f>IF($C15&gt;THIN!$F$8,0,AM14)</f>
        <v>14</v>
      </c>
      <c r="AO15" s="124">
        <f>IF($C15&gt;THIN!$F$8,0,AN14)</f>
        <v>15</v>
      </c>
      <c r="AP15" s="124">
        <f>IF($C15&gt;THIN!$F$8,0,AO14)</f>
        <v>16</v>
      </c>
      <c r="AQ15" s="124">
        <f>IF($C15&gt;THIN!$F$8,0,AP14)</f>
        <v>17</v>
      </c>
      <c r="AR15" s="124">
        <f>IF($C15&gt;THIN!$F$8,0,AQ14)</f>
        <v>18</v>
      </c>
      <c r="AS15" s="124">
        <f>IF($C15&gt;THIN!$F$8,0,AR14)</f>
        <v>19</v>
      </c>
      <c r="AT15" s="124">
        <f>IF($C15&gt;THIN!$F$8,0,AS14)</f>
        <v>20</v>
      </c>
      <c r="AU15" s="124">
        <f>IF($C15&gt;THIN!$F$8,0,AT14)</f>
        <v>21</v>
      </c>
      <c r="AV15" s="124">
        <f>IF($C15&gt;THIN!$F$8,0,AU14)</f>
        <v>22</v>
      </c>
    </row>
    <row r="16" spans="1:50" ht="12.95" customHeight="1" x14ac:dyDescent="0.2">
      <c r="B16" s="14"/>
      <c r="C16" s="372">
        <v>10</v>
      </c>
      <c r="D16" s="372"/>
      <c r="E16" s="372"/>
      <c r="F16" s="253" t="s">
        <v>492</v>
      </c>
      <c r="G16" s="253" t="s">
        <v>4</v>
      </c>
      <c r="H16" s="124"/>
      <c r="I16" s="124"/>
      <c r="J16" s="124"/>
      <c r="K16" s="124"/>
      <c r="L16" s="124"/>
      <c r="M16" s="124"/>
      <c r="N16" s="124"/>
      <c r="O16" s="124"/>
      <c r="P16" s="124"/>
      <c r="Q16" s="124">
        <f>IF($C16&gt;THIN!$F$8,0,P15)</f>
        <v>15</v>
      </c>
      <c r="R16" s="124">
        <f>IF($C16&gt;THIN!$F$8,0,Q15)</f>
        <v>16</v>
      </c>
      <c r="S16" s="124">
        <f>IF($C16&gt;THIN!$F$8,0,R15)</f>
        <v>17</v>
      </c>
      <c r="T16" s="124">
        <f>IF($C16&gt;THIN!$F$8,0,S15)</f>
        <v>18</v>
      </c>
      <c r="U16" s="124">
        <f>IF($C16&gt;THIN!$F$8,0,T15)</f>
        <v>19</v>
      </c>
      <c r="V16" s="124">
        <f>IF($C16&gt;THIN!$F$8,0,U15)</f>
        <v>20</v>
      </c>
      <c r="W16" s="124">
        <f>IF($C16&gt;THIN!$F$8,0,V15)</f>
        <v>21</v>
      </c>
      <c r="X16" s="124">
        <f>IF($C16&gt;THIN!$F$8,0,W15)</f>
        <v>22</v>
      </c>
      <c r="Y16" s="124">
        <f>IF($C16&gt;THIN!$F$8,0,X15)</f>
        <v>23</v>
      </c>
      <c r="Z16" s="124">
        <f>IF($C16&gt;THIN!$F$8,0,Y15)</f>
        <v>24</v>
      </c>
      <c r="AA16" s="124">
        <f>IF($C16&gt;THIN!$F$8,0,Z15)</f>
        <v>25</v>
      </c>
      <c r="AB16" s="124">
        <f>IF($C16&gt;THIN!$F$8,0,AA15)</f>
        <v>1</v>
      </c>
      <c r="AC16" s="124">
        <f>IF($C16&gt;THIN!$F$8,0,AB15)</f>
        <v>2</v>
      </c>
      <c r="AD16" s="124">
        <f>IF($C16&gt;THIN!$F$8,0,AC15)</f>
        <v>3</v>
      </c>
      <c r="AE16" s="124">
        <f>IF($C16&gt;THIN!$F$8,0,AD15)</f>
        <v>4</v>
      </c>
      <c r="AF16" s="124">
        <f>IF($C16&gt;THIN!$F$8,0,AE15)</f>
        <v>5</v>
      </c>
      <c r="AG16" s="124">
        <f>IF($C16&gt;THIN!$F$8,0,AF15)</f>
        <v>6</v>
      </c>
      <c r="AH16" s="124">
        <f>IF($C16&gt;THIN!$F$8,0,AG15)</f>
        <v>7</v>
      </c>
      <c r="AI16" s="124">
        <f>IF($C16&gt;THIN!$F$8,0,AH15)</f>
        <v>8</v>
      </c>
      <c r="AJ16" s="124">
        <f>IF($C16&gt;THIN!$F$8,0,AI15)</f>
        <v>9</v>
      </c>
      <c r="AK16" s="124">
        <f>IF($C16&gt;THIN!$F$8,0,AJ15)</f>
        <v>10</v>
      </c>
      <c r="AL16" s="124">
        <f>IF($C16&gt;THIN!$F$8,0,AK15)</f>
        <v>11</v>
      </c>
      <c r="AM16" s="124">
        <f>IF($C16&gt;THIN!$F$8,0,AL15)</f>
        <v>12</v>
      </c>
      <c r="AN16" s="124">
        <f>IF($C16&gt;THIN!$F$8,0,AM15)</f>
        <v>13</v>
      </c>
      <c r="AO16" s="124">
        <f>IF($C16&gt;THIN!$F$8,0,AN15)</f>
        <v>14</v>
      </c>
      <c r="AP16" s="124">
        <f>IF($C16&gt;THIN!$F$8,0,AO15)</f>
        <v>15</v>
      </c>
      <c r="AQ16" s="124">
        <f>IF($C16&gt;THIN!$F$8,0,AP15)</f>
        <v>16</v>
      </c>
      <c r="AR16" s="124">
        <f>IF($C16&gt;THIN!$F$8,0,AQ15)</f>
        <v>17</v>
      </c>
      <c r="AS16" s="124">
        <f>IF($C16&gt;THIN!$F$8,0,AR15)</f>
        <v>18</v>
      </c>
      <c r="AT16" s="124">
        <f>IF($C16&gt;THIN!$F$8,0,AS15)</f>
        <v>19</v>
      </c>
      <c r="AU16" s="124">
        <f>IF($C16&gt;THIN!$F$8,0,AT15)</f>
        <v>20</v>
      </c>
      <c r="AV16" s="124">
        <f>IF($C16&gt;THIN!$F$8,0,AU15)</f>
        <v>21</v>
      </c>
    </row>
    <row r="17" spans="2:48" ht="12.95" customHeight="1" x14ac:dyDescent="0.2">
      <c r="B17" s="14"/>
      <c r="C17" s="372">
        <v>11</v>
      </c>
      <c r="D17" s="372"/>
      <c r="E17" s="372"/>
      <c r="F17" s="253" t="s">
        <v>492</v>
      </c>
      <c r="G17" s="253" t="s">
        <v>4</v>
      </c>
      <c r="H17" s="124"/>
      <c r="I17" s="124"/>
      <c r="J17" s="124"/>
      <c r="K17" s="124"/>
      <c r="L17" s="124"/>
      <c r="M17" s="124"/>
      <c r="N17" s="124"/>
      <c r="O17" s="124"/>
      <c r="P17" s="124"/>
      <c r="Q17" s="124"/>
      <c r="R17" s="124">
        <f>IF($C17&gt;THIN!$F$8,0,Q16)</f>
        <v>15</v>
      </c>
      <c r="S17" s="124">
        <f>IF($C17&gt;THIN!$F$8,0,R16)</f>
        <v>16</v>
      </c>
      <c r="T17" s="124">
        <f>IF($C17&gt;THIN!$F$8,0,S16)</f>
        <v>17</v>
      </c>
      <c r="U17" s="124">
        <f>IF($C17&gt;THIN!$F$8,0,T16)</f>
        <v>18</v>
      </c>
      <c r="V17" s="124">
        <f>IF($C17&gt;THIN!$F$8,0,U16)</f>
        <v>19</v>
      </c>
      <c r="W17" s="124">
        <f>IF($C17&gt;THIN!$F$8,0,V16)</f>
        <v>20</v>
      </c>
      <c r="X17" s="124">
        <f>IF($C17&gt;THIN!$F$8,0,W16)</f>
        <v>21</v>
      </c>
      <c r="Y17" s="124">
        <f>IF($C17&gt;THIN!$F$8,0,X16)</f>
        <v>22</v>
      </c>
      <c r="Z17" s="124">
        <f>IF($C17&gt;THIN!$F$8,0,Y16)</f>
        <v>23</v>
      </c>
      <c r="AA17" s="124">
        <f>IF($C17&gt;THIN!$F$8,0,Z16)</f>
        <v>24</v>
      </c>
      <c r="AB17" s="124">
        <f>IF($C17&gt;THIN!$F$8,0,AA16)</f>
        <v>25</v>
      </c>
      <c r="AC17" s="124">
        <f>IF($C17&gt;THIN!$F$8,0,AB16)</f>
        <v>1</v>
      </c>
      <c r="AD17" s="124">
        <f>IF($C17&gt;THIN!$F$8,0,AC16)</f>
        <v>2</v>
      </c>
      <c r="AE17" s="124">
        <f>IF($C17&gt;THIN!$F$8,0,AD16)</f>
        <v>3</v>
      </c>
      <c r="AF17" s="124">
        <f>IF($C17&gt;THIN!$F$8,0,AE16)</f>
        <v>4</v>
      </c>
      <c r="AG17" s="124">
        <f>IF($C17&gt;THIN!$F$8,0,AF16)</f>
        <v>5</v>
      </c>
      <c r="AH17" s="124">
        <f>IF($C17&gt;THIN!$F$8,0,AG16)</f>
        <v>6</v>
      </c>
      <c r="AI17" s="124">
        <f>IF($C17&gt;THIN!$F$8,0,AH16)</f>
        <v>7</v>
      </c>
      <c r="AJ17" s="124">
        <f>IF($C17&gt;THIN!$F$8,0,AI16)</f>
        <v>8</v>
      </c>
      <c r="AK17" s="124">
        <f>IF($C17&gt;THIN!$F$8,0,AJ16)</f>
        <v>9</v>
      </c>
      <c r="AL17" s="124">
        <f>IF($C17&gt;THIN!$F$8,0,AK16)</f>
        <v>10</v>
      </c>
      <c r="AM17" s="124">
        <f>IF($C17&gt;THIN!$F$8,0,AL16)</f>
        <v>11</v>
      </c>
      <c r="AN17" s="124">
        <f>IF($C17&gt;THIN!$F$8,0,AM16)</f>
        <v>12</v>
      </c>
      <c r="AO17" s="124">
        <f>IF($C17&gt;THIN!$F$8,0,AN16)</f>
        <v>13</v>
      </c>
      <c r="AP17" s="124">
        <f>IF($C17&gt;THIN!$F$8,0,AO16)</f>
        <v>14</v>
      </c>
      <c r="AQ17" s="124">
        <f>IF($C17&gt;THIN!$F$8,0,AP16)</f>
        <v>15</v>
      </c>
      <c r="AR17" s="124">
        <f>IF($C17&gt;THIN!$F$8,0,AQ16)</f>
        <v>16</v>
      </c>
      <c r="AS17" s="124">
        <f>IF($C17&gt;THIN!$F$8,0,AR16)</f>
        <v>17</v>
      </c>
      <c r="AT17" s="124">
        <f>IF($C17&gt;THIN!$F$8,0,AS16)</f>
        <v>18</v>
      </c>
      <c r="AU17" s="124">
        <f>IF($C17&gt;THIN!$F$8,0,AT16)</f>
        <v>19</v>
      </c>
      <c r="AV17" s="124">
        <f>IF($C17&gt;THIN!$F$8,0,AU16)</f>
        <v>20</v>
      </c>
    </row>
    <row r="18" spans="2:48" ht="12.95" customHeight="1" x14ac:dyDescent="0.2">
      <c r="B18" s="14"/>
      <c r="C18" s="372">
        <v>12</v>
      </c>
      <c r="D18" s="372"/>
      <c r="E18" s="372"/>
      <c r="F18" s="253" t="s">
        <v>492</v>
      </c>
      <c r="G18" s="253" t="s">
        <v>4</v>
      </c>
      <c r="H18" s="124"/>
      <c r="I18" s="124"/>
      <c r="J18" s="124"/>
      <c r="K18" s="124"/>
      <c r="L18" s="124"/>
      <c r="M18" s="124"/>
      <c r="N18" s="124"/>
      <c r="O18" s="124"/>
      <c r="P18" s="124"/>
      <c r="Q18" s="124"/>
      <c r="R18" s="124"/>
      <c r="S18" s="124">
        <f>IF($C18&gt;THIN!$F$8,0,R17)</f>
        <v>15</v>
      </c>
      <c r="T18" s="124">
        <f>IF($C18&gt;THIN!$F$8,0,S17)</f>
        <v>16</v>
      </c>
      <c r="U18" s="124">
        <f>IF($C18&gt;THIN!$F$8,0,T17)</f>
        <v>17</v>
      </c>
      <c r="V18" s="124">
        <f>IF($C18&gt;THIN!$F$8,0,U17)</f>
        <v>18</v>
      </c>
      <c r="W18" s="124">
        <f>IF($C18&gt;THIN!$F$8,0,V17)</f>
        <v>19</v>
      </c>
      <c r="X18" s="124">
        <f>IF($C18&gt;THIN!$F$8,0,W17)</f>
        <v>20</v>
      </c>
      <c r="Y18" s="124">
        <f>IF($C18&gt;THIN!$F$8,0,X17)</f>
        <v>21</v>
      </c>
      <c r="Z18" s="124">
        <f>IF($C18&gt;THIN!$F$8,0,Y17)</f>
        <v>22</v>
      </c>
      <c r="AA18" s="124">
        <f>IF($C18&gt;THIN!$F$8,0,Z17)</f>
        <v>23</v>
      </c>
      <c r="AB18" s="124">
        <f>IF($C18&gt;THIN!$F$8,0,AA17)</f>
        <v>24</v>
      </c>
      <c r="AC18" s="124">
        <f>IF($C18&gt;THIN!$F$8,0,AB17)</f>
        <v>25</v>
      </c>
      <c r="AD18" s="124">
        <f>IF($C18&gt;THIN!$F$8,0,AC17)</f>
        <v>1</v>
      </c>
      <c r="AE18" s="124">
        <f>IF($C18&gt;THIN!$F$8,0,AD17)</f>
        <v>2</v>
      </c>
      <c r="AF18" s="124">
        <f>IF($C18&gt;THIN!$F$8,0,AE17)</f>
        <v>3</v>
      </c>
      <c r="AG18" s="124">
        <f>IF($C18&gt;THIN!$F$8,0,AF17)</f>
        <v>4</v>
      </c>
      <c r="AH18" s="124">
        <f>IF($C18&gt;THIN!$F$8,0,AG17)</f>
        <v>5</v>
      </c>
      <c r="AI18" s="124">
        <f>IF($C18&gt;THIN!$F$8,0,AH17)</f>
        <v>6</v>
      </c>
      <c r="AJ18" s="124">
        <f>IF($C18&gt;THIN!$F$8,0,AI17)</f>
        <v>7</v>
      </c>
      <c r="AK18" s="124">
        <f>IF($C18&gt;THIN!$F$8,0,AJ17)</f>
        <v>8</v>
      </c>
      <c r="AL18" s="124">
        <f>IF($C18&gt;THIN!$F$8,0,AK17)</f>
        <v>9</v>
      </c>
      <c r="AM18" s="124">
        <f>IF($C18&gt;THIN!$F$8,0,AL17)</f>
        <v>10</v>
      </c>
      <c r="AN18" s="124">
        <f>IF($C18&gt;THIN!$F$8,0,AM17)</f>
        <v>11</v>
      </c>
      <c r="AO18" s="124">
        <f>IF($C18&gt;THIN!$F$8,0,AN17)</f>
        <v>12</v>
      </c>
      <c r="AP18" s="124">
        <f>IF($C18&gt;THIN!$F$8,0,AO17)</f>
        <v>13</v>
      </c>
      <c r="AQ18" s="124">
        <f>IF($C18&gt;THIN!$F$8,0,AP17)</f>
        <v>14</v>
      </c>
      <c r="AR18" s="124">
        <f>IF($C18&gt;THIN!$F$8,0,AQ17)</f>
        <v>15</v>
      </c>
      <c r="AS18" s="124">
        <f>IF($C18&gt;THIN!$F$8,0,AR17)</f>
        <v>16</v>
      </c>
      <c r="AT18" s="124">
        <f>IF($C18&gt;THIN!$F$8,0,AS17)</f>
        <v>17</v>
      </c>
      <c r="AU18" s="124">
        <f>IF($C18&gt;THIN!$F$8,0,AT17)</f>
        <v>18</v>
      </c>
      <c r="AV18" s="124">
        <f>IF($C18&gt;THIN!$F$8,0,AU17)</f>
        <v>19</v>
      </c>
    </row>
    <row r="19" spans="2:48" ht="12.95" customHeight="1" x14ac:dyDescent="0.2">
      <c r="B19" s="14"/>
      <c r="C19" s="372">
        <v>13</v>
      </c>
      <c r="D19" s="372"/>
      <c r="E19" s="372"/>
      <c r="F19" s="253" t="s">
        <v>492</v>
      </c>
      <c r="G19" s="253" t="s">
        <v>4</v>
      </c>
      <c r="H19" s="124"/>
      <c r="I19" s="124"/>
      <c r="J19" s="124"/>
      <c r="K19" s="124"/>
      <c r="L19" s="124"/>
      <c r="M19" s="124"/>
      <c r="N19" s="124"/>
      <c r="O19" s="124"/>
      <c r="P19" s="124"/>
      <c r="Q19" s="124"/>
      <c r="R19" s="124"/>
      <c r="S19" s="124"/>
      <c r="T19" s="124">
        <f>IF($C19&gt;THIN!$F$8,0,S18)</f>
        <v>15</v>
      </c>
      <c r="U19" s="124">
        <f>IF($C19&gt;THIN!$F$8,0,T18)</f>
        <v>16</v>
      </c>
      <c r="V19" s="124">
        <f>IF($C19&gt;THIN!$F$8,0,U18)</f>
        <v>17</v>
      </c>
      <c r="W19" s="124">
        <f>IF($C19&gt;THIN!$F$8,0,V18)</f>
        <v>18</v>
      </c>
      <c r="X19" s="124">
        <f>IF($C19&gt;THIN!$F$8,0,W18)</f>
        <v>19</v>
      </c>
      <c r="Y19" s="124">
        <f>IF($C19&gt;THIN!$F$8,0,X18)</f>
        <v>20</v>
      </c>
      <c r="Z19" s="124">
        <f>IF($C19&gt;THIN!$F$8,0,Y18)</f>
        <v>21</v>
      </c>
      <c r="AA19" s="124">
        <f>IF($C19&gt;THIN!$F$8,0,Z18)</f>
        <v>22</v>
      </c>
      <c r="AB19" s="124">
        <f>IF($C19&gt;THIN!$F$8,0,AA18)</f>
        <v>23</v>
      </c>
      <c r="AC19" s="124">
        <f>IF($C19&gt;THIN!$F$8,0,AB18)</f>
        <v>24</v>
      </c>
      <c r="AD19" s="124">
        <f>IF($C19&gt;THIN!$F$8,0,AC18)</f>
        <v>25</v>
      </c>
      <c r="AE19" s="124">
        <f>IF($C19&gt;THIN!$F$8,0,AD18)</f>
        <v>1</v>
      </c>
      <c r="AF19" s="124">
        <f>IF($C19&gt;THIN!$F$8,0,AE18)</f>
        <v>2</v>
      </c>
      <c r="AG19" s="124">
        <f>IF($C19&gt;THIN!$F$8,0,AF18)</f>
        <v>3</v>
      </c>
      <c r="AH19" s="124">
        <f>IF($C19&gt;THIN!$F$8,0,AG18)</f>
        <v>4</v>
      </c>
      <c r="AI19" s="124">
        <f>IF($C19&gt;THIN!$F$8,0,AH18)</f>
        <v>5</v>
      </c>
      <c r="AJ19" s="124">
        <f>IF($C19&gt;THIN!$F$8,0,AI18)</f>
        <v>6</v>
      </c>
      <c r="AK19" s="124">
        <f>IF($C19&gt;THIN!$F$8,0,AJ18)</f>
        <v>7</v>
      </c>
      <c r="AL19" s="124">
        <f>IF($C19&gt;THIN!$F$8,0,AK18)</f>
        <v>8</v>
      </c>
      <c r="AM19" s="124">
        <f>IF($C19&gt;THIN!$F$8,0,AL18)</f>
        <v>9</v>
      </c>
      <c r="AN19" s="124">
        <f>IF($C19&gt;THIN!$F$8,0,AM18)</f>
        <v>10</v>
      </c>
      <c r="AO19" s="124">
        <f>IF($C19&gt;THIN!$F$8,0,AN18)</f>
        <v>11</v>
      </c>
      <c r="AP19" s="124">
        <f>IF($C19&gt;THIN!$F$8,0,AO18)</f>
        <v>12</v>
      </c>
      <c r="AQ19" s="124">
        <f>IF($C19&gt;THIN!$F$8,0,AP18)</f>
        <v>13</v>
      </c>
      <c r="AR19" s="124">
        <f>IF($C19&gt;THIN!$F$8,0,AQ18)</f>
        <v>14</v>
      </c>
      <c r="AS19" s="124">
        <f>IF($C19&gt;THIN!$F$8,0,AR18)</f>
        <v>15</v>
      </c>
      <c r="AT19" s="124">
        <f>IF($C19&gt;THIN!$F$8,0,AS18)</f>
        <v>16</v>
      </c>
      <c r="AU19" s="124">
        <f>IF($C19&gt;THIN!$F$8,0,AT18)</f>
        <v>17</v>
      </c>
      <c r="AV19" s="124">
        <f>IF($C19&gt;THIN!$F$8,0,AU18)</f>
        <v>18</v>
      </c>
    </row>
    <row r="20" spans="2:48" ht="12.95" customHeight="1" x14ac:dyDescent="0.2">
      <c r="B20" s="14"/>
      <c r="C20" s="372">
        <v>14</v>
      </c>
      <c r="D20" s="372"/>
      <c r="E20" s="372"/>
      <c r="F20" s="253" t="s">
        <v>492</v>
      </c>
      <c r="G20" s="253" t="s">
        <v>4</v>
      </c>
      <c r="H20" s="124"/>
      <c r="I20" s="124"/>
      <c r="J20" s="124"/>
      <c r="K20" s="124"/>
      <c r="L20" s="124"/>
      <c r="M20" s="124"/>
      <c r="N20" s="124"/>
      <c r="O20" s="124"/>
      <c r="P20" s="124"/>
      <c r="Q20" s="124"/>
      <c r="R20" s="124"/>
      <c r="S20" s="124"/>
      <c r="T20" s="124"/>
      <c r="U20" s="124">
        <f>IF($C20&gt;THIN!$F$8,0,T19)</f>
        <v>15</v>
      </c>
      <c r="V20" s="124">
        <f>IF($C20&gt;THIN!$F$8,0,U19)</f>
        <v>16</v>
      </c>
      <c r="W20" s="124">
        <f>IF($C20&gt;THIN!$F$8,0,V19)</f>
        <v>17</v>
      </c>
      <c r="X20" s="124">
        <f>IF($C20&gt;THIN!$F$8,0,W19)</f>
        <v>18</v>
      </c>
      <c r="Y20" s="124">
        <f>IF($C20&gt;THIN!$F$8,0,X19)</f>
        <v>19</v>
      </c>
      <c r="Z20" s="124">
        <f>IF($C20&gt;THIN!$F$8,0,Y19)</f>
        <v>20</v>
      </c>
      <c r="AA20" s="124">
        <f>IF($C20&gt;THIN!$F$8,0,Z19)</f>
        <v>21</v>
      </c>
      <c r="AB20" s="124">
        <f>IF($C20&gt;THIN!$F$8,0,AA19)</f>
        <v>22</v>
      </c>
      <c r="AC20" s="124">
        <f>IF($C20&gt;THIN!$F$8,0,AB19)</f>
        <v>23</v>
      </c>
      <c r="AD20" s="124">
        <f>IF($C20&gt;THIN!$F$8,0,AC19)</f>
        <v>24</v>
      </c>
      <c r="AE20" s="124">
        <f>IF($C20&gt;THIN!$F$8,0,AD19)</f>
        <v>25</v>
      </c>
      <c r="AF20" s="124">
        <f>IF($C20&gt;THIN!$F$8,0,AE19)</f>
        <v>1</v>
      </c>
      <c r="AG20" s="124">
        <f>IF($C20&gt;THIN!$F$8,0,AF19)</f>
        <v>2</v>
      </c>
      <c r="AH20" s="124">
        <f>IF($C20&gt;THIN!$F$8,0,AG19)</f>
        <v>3</v>
      </c>
      <c r="AI20" s="124">
        <f>IF($C20&gt;THIN!$F$8,0,AH19)</f>
        <v>4</v>
      </c>
      <c r="AJ20" s="124">
        <f>IF($C20&gt;THIN!$F$8,0,AI19)</f>
        <v>5</v>
      </c>
      <c r="AK20" s="124">
        <f>IF($C20&gt;THIN!$F$8,0,AJ19)</f>
        <v>6</v>
      </c>
      <c r="AL20" s="124">
        <f>IF($C20&gt;THIN!$F$8,0,AK19)</f>
        <v>7</v>
      </c>
      <c r="AM20" s="124">
        <f>IF($C20&gt;THIN!$F$8,0,AL19)</f>
        <v>8</v>
      </c>
      <c r="AN20" s="124">
        <f>IF($C20&gt;THIN!$F$8,0,AM19)</f>
        <v>9</v>
      </c>
      <c r="AO20" s="124">
        <f>IF($C20&gt;THIN!$F$8,0,AN19)</f>
        <v>10</v>
      </c>
      <c r="AP20" s="124">
        <f>IF($C20&gt;THIN!$F$8,0,AO19)</f>
        <v>11</v>
      </c>
      <c r="AQ20" s="124">
        <f>IF($C20&gt;THIN!$F$8,0,AP19)</f>
        <v>12</v>
      </c>
      <c r="AR20" s="124">
        <f>IF($C20&gt;THIN!$F$8,0,AQ19)</f>
        <v>13</v>
      </c>
      <c r="AS20" s="124">
        <f>IF($C20&gt;THIN!$F$8,0,AR19)</f>
        <v>14</v>
      </c>
      <c r="AT20" s="124">
        <f>IF($C20&gt;THIN!$F$8,0,AS19)</f>
        <v>15</v>
      </c>
      <c r="AU20" s="124">
        <f>IF($C20&gt;THIN!$F$8,0,AT19)</f>
        <v>16</v>
      </c>
      <c r="AV20" s="124">
        <f>IF($C20&gt;THIN!$F$8,0,AU19)</f>
        <v>17</v>
      </c>
    </row>
    <row r="21" spans="2:48" ht="12.95" customHeight="1" x14ac:dyDescent="0.2">
      <c r="B21" s="14"/>
      <c r="C21" s="372">
        <v>15</v>
      </c>
      <c r="D21" s="372"/>
      <c r="E21" s="372"/>
      <c r="F21" s="253" t="s">
        <v>492</v>
      </c>
      <c r="G21" s="253" t="s">
        <v>4</v>
      </c>
      <c r="H21" s="124"/>
      <c r="I21" s="124"/>
      <c r="J21" s="124"/>
      <c r="K21" s="124"/>
      <c r="L21" s="124"/>
      <c r="M21" s="124"/>
      <c r="N21" s="124"/>
      <c r="O21" s="124"/>
      <c r="P21" s="124"/>
      <c r="Q21" s="124"/>
      <c r="R21" s="124"/>
      <c r="S21" s="124"/>
      <c r="T21" s="124"/>
      <c r="U21" s="124"/>
      <c r="V21" s="124">
        <f>IF($C21&gt;THIN!$F$8,0,U20)</f>
        <v>15</v>
      </c>
      <c r="W21" s="124">
        <f>IF($C21&gt;THIN!$F$8,0,V20)</f>
        <v>16</v>
      </c>
      <c r="X21" s="124">
        <f>IF($C21&gt;THIN!$F$8,0,W20)</f>
        <v>17</v>
      </c>
      <c r="Y21" s="124">
        <f>IF($C21&gt;THIN!$F$8,0,X20)</f>
        <v>18</v>
      </c>
      <c r="Z21" s="124">
        <f>IF($C21&gt;THIN!$F$8,0,Y20)</f>
        <v>19</v>
      </c>
      <c r="AA21" s="124">
        <f>IF($C21&gt;THIN!$F$8,0,Z20)</f>
        <v>20</v>
      </c>
      <c r="AB21" s="124">
        <f>IF($C21&gt;THIN!$F$8,0,AA20)</f>
        <v>21</v>
      </c>
      <c r="AC21" s="124">
        <f>IF($C21&gt;THIN!$F$8,0,AB20)</f>
        <v>22</v>
      </c>
      <c r="AD21" s="124">
        <f>IF($C21&gt;THIN!$F$8,0,AC20)</f>
        <v>23</v>
      </c>
      <c r="AE21" s="124">
        <f>IF($C21&gt;THIN!$F$8,0,AD20)</f>
        <v>24</v>
      </c>
      <c r="AF21" s="124">
        <f>IF($C21&gt;THIN!$F$8,0,AE20)</f>
        <v>25</v>
      </c>
      <c r="AG21" s="124">
        <f>IF($C21&gt;THIN!$F$8,0,AF20)</f>
        <v>1</v>
      </c>
      <c r="AH21" s="124">
        <f>IF($C21&gt;THIN!$F$8,0,AG20)</f>
        <v>2</v>
      </c>
      <c r="AI21" s="124">
        <f>IF($C21&gt;THIN!$F$8,0,AH20)</f>
        <v>3</v>
      </c>
      <c r="AJ21" s="124">
        <f>IF($C21&gt;THIN!$F$8,0,AI20)</f>
        <v>4</v>
      </c>
      <c r="AK21" s="124">
        <f>IF($C21&gt;THIN!$F$8,0,AJ20)</f>
        <v>5</v>
      </c>
      <c r="AL21" s="124">
        <f>IF($C21&gt;THIN!$F$8,0,AK20)</f>
        <v>6</v>
      </c>
      <c r="AM21" s="124">
        <f>IF($C21&gt;THIN!$F$8,0,AL20)</f>
        <v>7</v>
      </c>
      <c r="AN21" s="124">
        <f>IF($C21&gt;THIN!$F$8,0,AM20)</f>
        <v>8</v>
      </c>
      <c r="AO21" s="124">
        <f>IF($C21&gt;THIN!$F$8,0,AN20)</f>
        <v>9</v>
      </c>
      <c r="AP21" s="124">
        <f>IF($C21&gt;THIN!$F$8,0,AO20)</f>
        <v>10</v>
      </c>
      <c r="AQ21" s="124">
        <f>IF($C21&gt;THIN!$F$8,0,AP20)</f>
        <v>11</v>
      </c>
      <c r="AR21" s="124">
        <f>IF($C21&gt;THIN!$F$8,0,AQ20)</f>
        <v>12</v>
      </c>
      <c r="AS21" s="124">
        <f>IF($C21&gt;THIN!$F$8,0,AR20)</f>
        <v>13</v>
      </c>
      <c r="AT21" s="124">
        <f>IF($C21&gt;THIN!$F$8,0,AS20)</f>
        <v>14</v>
      </c>
      <c r="AU21" s="124">
        <f>IF($C21&gt;THIN!$F$8,0,AT20)</f>
        <v>15</v>
      </c>
      <c r="AV21" s="124">
        <f>IF($C21&gt;THIN!$F$8,0,AU20)</f>
        <v>16</v>
      </c>
    </row>
    <row r="22" spans="2:48" ht="12.95" customHeight="1" x14ac:dyDescent="0.2">
      <c r="B22" s="14"/>
      <c r="C22" s="372">
        <v>16</v>
      </c>
      <c r="D22" s="372"/>
      <c r="E22" s="372"/>
      <c r="F22" s="253" t="s">
        <v>492</v>
      </c>
      <c r="G22" s="253" t="s">
        <v>4</v>
      </c>
      <c r="H22" s="124"/>
      <c r="I22" s="124"/>
      <c r="J22" s="124"/>
      <c r="K22" s="124"/>
      <c r="L22" s="124"/>
      <c r="M22" s="124"/>
      <c r="N22" s="124"/>
      <c r="O22" s="124"/>
      <c r="P22" s="124"/>
      <c r="Q22" s="124"/>
      <c r="R22" s="124"/>
      <c r="S22" s="124"/>
      <c r="T22" s="124"/>
      <c r="U22" s="124"/>
      <c r="V22" s="124"/>
      <c r="W22" s="124">
        <f>IF($C22&gt;THIN!$F$8,0,V21)</f>
        <v>15</v>
      </c>
      <c r="X22" s="124">
        <f>IF($C22&gt;THIN!$F$8,0,W21)</f>
        <v>16</v>
      </c>
      <c r="Y22" s="124">
        <f>IF($C22&gt;THIN!$F$8,0,X21)</f>
        <v>17</v>
      </c>
      <c r="Z22" s="124">
        <f>IF($C22&gt;THIN!$F$8,0,Y21)</f>
        <v>18</v>
      </c>
      <c r="AA22" s="124">
        <f>IF($C22&gt;THIN!$F$8,0,Z21)</f>
        <v>19</v>
      </c>
      <c r="AB22" s="124">
        <f>IF($C22&gt;THIN!$F$8,0,AA21)</f>
        <v>20</v>
      </c>
      <c r="AC22" s="124">
        <f>IF($C22&gt;THIN!$F$8,0,AB21)</f>
        <v>21</v>
      </c>
      <c r="AD22" s="124">
        <f>IF($C22&gt;THIN!$F$8,0,AC21)</f>
        <v>22</v>
      </c>
      <c r="AE22" s="124">
        <f>IF($C22&gt;THIN!$F$8,0,AD21)</f>
        <v>23</v>
      </c>
      <c r="AF22" s="124">
        <f>IF($C22&gt;THIN!$F$8,0,AE21)</f>
        <v>24</v>
      </c>
      <c r="AG22" s="124">
        <f>IF($C22&gt;THIN!$F$8,0,AF21)</f>
        <v>25</v>
      </c>
      <c r="AH22" s="124">
        <f>IF($C22&gt;THIN!$F$8,0,AG21)</f>
        <v>1</v>
      </c>
      <c r="AI22" s="124">
        <f>IF($C22&gt;THIN!$F$8,0,AH21)</f>
        <v>2</v>
      </c>
      <c r="AJ22" s="124">
        <f>IF($C22&gt;THIN!$F$8,0,AI21)</f>
        <v>3</v>
      </c>
      <c r="AK22" s="124">
        <f>IF($C22&gt;THIN!$F$8,0,AJ21)</f>
        <v>4</v>
      </c>
      <c r="AL22" s="124">
        <f>IF($C22&gt;THIN!$F$8,0,AK21)</f>
        <v>5</v>
      </c>
      <c r="AM22" s="124">
        <f>IF($C22&gt;THIN!$F$8,0,AL21)</f>
        <v>6</v>
      </c>
      <c r="AN22" s="124">
        <f>IF($C22&gt;THIN!$F$8,0,AM21)</f>
        <v>7</v>
      </c>
      <c r="AO22" s="124">
        <f>IF($C22&gt;THIN!$F$8,0,AN21)</f>
        <v>8</v>
      </c>
      <c r="AP22" s="124">
        <f>IF($C22&gt;THIN!$F$8,0,AO21)</f>
        <v>9</v>
      </c>
      <c r="AQ22" s="124">
        <f>IF($C22&gt;THIN!$F$8,0,AP21)</f>
        <v>10</v>
      </c>
      <c r="AR22" s="124">
        <f>IF($C22&gt;THIN!$F$8,0,AQ21)</f>
        <v>11</v>
      </c>
      <c r="AS22" s="124">
        <f>IF($C22&gt;THIN!$F$8,0,AR21)</f>
        <v>12</v>
      </c>
      <c r="AT22" s="124">
        <f>IF($C22&gt;THIN!$F$8,0,AS21)</f>
        <v>13</v>
      </c>
      <c r="AU22" s="124">
        <f>IF($C22&gt;THIN!$F$8,0,AT21)</f>
        <v>14</v>
      </c>
      <c r="AV22" s="124">
        <f>IF($C22&gt;THIN!$F$8,0,AU21)</f>
        <v>15</v>
      </c>
    </row>
    <row r="23" spans="2:48" ht="12.95" customHeight="1" x14ac:dyDescent="0.2">
      <c r="B23" s="14"/>
      <c r="C23" s="372">
        <v>17</v>
      </c>
      <c r="D23" s="372"/>
      <c r="E23" s="372"/>
      <c r="F23" s="253" t="s">
        <v>492</v>
      </c>
      <c r="G23" s="253" t="s">
        <v>4</v>
      </c>
      <c r="H23" s="124"/>
      <c r="I23" s="124"/>
      <c r="J23" s="124"/>
      <c r="K23" s="124"/>
      <c r="L23" s="124"/>
      <c r="M23" s="124"/>
      <c r="N23" s="124"/>
      <c r="O23" s="124"/>
      <c r="P23" s="124"/>
      <c r="Q23" s="124"/>
      <c r="R23" s="124"/>
      <c r="S23" s="124"/>
      <c r="T23" s="124"/>
      <c r="U23" s="124"/>
      <c r="V23" s="124"/>
      <c r="W23" s="124"/>
      <c r="X23" s="124">
        <f>IF($C23&gt;THIN!$F$8,0,W22)</f>
        <v>15</v>
      </c>
      <c r="Y23" s="124">
        <f>IF($C23&gt;THIN!$F$8,0,X22)</f>
        <v>16</v>
      </c>
      <c r="Z23" s="124">
        <f>IF($C23&gt;THIN!$F$8,0,Y22)</f>
        <v>17</v>
      </c>
      <c r="AA23" s="124">
        <f>IF($C23&gt;THIN!$F$8,0,Z22)</f>
        <v>18</v>
      </c>
      <c r="AB23" s="124">
        <f>IF($C23&gt;THIN!$F$8,0,AA22)</f>
        <v>19</v>
      </c>
      <c r="AC23" s="124">
        <f>IF($C23&gt;THIN!$F$8,0,AB22)</f>
        <v>20</v>
      </c>
      <c r="AD23" s="124">
        <f>IF($C23&gt;THIN!$F$8,0,AC22)</f>
        <v>21</v>
      </c>
      <c r="AE23" s="124">
        <f>IF($C23&gt;THIN!$F$8,0,AD22)</f>
        <v>22</v>
      </c>
      <c r="AF23" s="124">
        <f>IF($C23&gt;THIN!$F$8,0,AE22)</f>
        <v>23</v>
      </c>
      <c r="AG23" s="124">
        <f>IF($C23&gt;THIN!$F$8,0,AF22)</f>
        <v>24</v>
      </c>
      <c r="AH23" s="124">
        <f>IF($C23&gt;THIN!$F$8,0,AG22)</f>
        <v>25</v>
      </c>
      <c r="AI23" s="124">
        <f>IF($C23&gt;THIN!$F$8,0,AH22)</f>
        <v>1</v>
      </c>
      <c r="AJ23" s="124">
        <f>IF($C23&gt;THIN!$F$8,0,AI22)</f>
        <v>2</v>
      </c>
      <c r="AK23" s="124">
        <f>IF($C23&gt;THIN!$F$8,0,AJ22)</f>
        <v>3</v>
      </c>
      <c r="AL23" s="124">
        <f>IF($C23&gt;THIN!$F$8,0,AK22)</f>
        <v>4</v>
      </c>
      <c r="AM23" s="124">
        <f>IF($C23&gt;THIN!$F$8,0,AL22)</f>
        <v>5</v>
      </c>
      <c r="AN23" s="124">
        <f>IF($C23&gt;THIN!$F$8,0,AM22)</f>
        <v>6</v>
      </c>
      <c r="AO23" s="124">
        <f>IF($C23&gt;THIN!$F$8,0,AN22)</f>
        <v>7</v>
      </c>
      <c r="AP23" s="124">
        <f>IF($C23&gt;THIN!$F$8,0,AO22)</f>
        <v>8</v>
      </c>
      <c r="AQ23" s="124">
        <f>IF($C23&gt;THIN!$F$8,0,AP22)</f>
        <v>9</v>
      </c>
      <c r="AR23" s="124">
        <f>IF($C23&gt;THIN!$F$8,0,AQ22)</f>
        <v>10</v>
      </c>
      <c r="AS23" s="124">
        <f>IF($C23&gt;THIN!$F$8,0,AR22)</f>
        <v>11</v>
      </c>
      <c r="AT23" s="124">
        <f>IF($C23&gt;THIN!$F$8,0,AS22)</f>
        <v>12</v>
      </c>
      <c r="AU23" s="124">
        <f>IF($C23&gt;THIN!$F$8,0,AT22)</f>
        <v>13</v>
      </c>
      <c r="AV23" s="124">
        <f>IF($C23&gt;THIN!$F$8,0,AU22)</f>
        <v>14</v>
      </c>
    </row>
    <row r="24" spans="2:48" ht="12.95" customHeight="1" x14ac:dyDescent="0.2">
      <c r="B24" s="14"/>
      <c r="C24" s="372">
        <v>18</v>
      </c>
      <c r="D24" s="372"/>
      <c r="E24" s="372"/>
      <c r="F24" s="253" t="s">
        <v>492</v>
      </c>
      <c r="G24" s="253" t="s">
        <v>4</v>
      </c>
      <c r="H24" s="124"/>
      <c r="I24" s="124"/>
      <c r="J24" s="124"/>
      <c r="K24" s="124"/>
      <c r="L24" s="124"/>
      <c r="M24" s="124"/>
      <c r="N24" s="124"/>
      <c r="O24" s="124"/>
      <c r="P24" s="124"/>
      <c r="Q24" s="124"/>
      <c r="R24" s="124"/>
      <c r="S24" s="124"/>
      <c r="T24" s="124"/>
      <c r="U24" s="124"/>
      <c r="V24" s="124"/>
      <c r="W24" s="124"/>
      <c r="X24" s="124"/>
      <c r="Y24" s="124">
        <f>IF($C24&gt;THIN!$F$8,0,X23)</f>
        <v>15</v>
      </c>
      <c r="Z24" s="124">
        <f>IF($C24&gt;THIN!$F$8,0,Y23)</f>
        <v>16</v>
      </c>
      <c r="AA24" s="124">
        <f>IF($C24&gt;THIN!$F$8,0,Z23)</f>
        <v>17</v>
      </c>
      <c r="AB24" s="124">
        <f>IF($C24&gt;THIN!$F$8,0,AA23)</f>
        <v>18</v>
      </c>
      <c r="AC24" s="124">
        <f>IF($C24&gt;THIN!$F$8,0,AB23)</f>
        <v>19</v>
      </c>
      <c r="AD24" s="124">
        <f>IF($C24&gt;THIN!$F$8,0,AC23)</f>
        <v>20</v>
      </c>
      <c r="AE24" s="124">
        <f>IF($C24&gt;THIN!$F$8,0,AD23)</f>
        <v>21</v>
      </c>
      <c r="AF24" s="124">
        <f>IF($C24&gt;THIN!$F$8,0,AE23)</f>
        <v>22</v>
      </c>
      <c r="AG24" s="124">
        <f>IF($C24&gt;THIN!$F$8,0,AF23)</f>
        <v>23</v>
      </c>
      <c r="AH24" s="124">
        <f>IF($C24&gt;THIN!$F$8,0,AG23)</f>
        <v>24</v>
      </c>
      <c r="AI24" s="124">
        <f>IF($C24&gt;THIN!$F$8,0,AH23)</f>
        <v>25</v>
      </c>
      <c r="AJ24" s="124">
        <f>IF($C24&gt;THIN!$F$8,0,AI23)</f>
        <v>1</v>
      </c>
      <c r="AK24" s="124">
        <f>IF($C24&gt;THIN!$F$8,0,AJ23)</f>
        <v>2</v>
      </c>
      <c r="AL24" s="124">
        <f>IF($C24&gt;THIN!$F$8,0,AK23)</f>
        <v>3</v>
      </c>
      <c r="AM24" s="124">
        <f>IF($C24&gt;THIN!$F$8,0,AL23)</f>
        <v>4</v>
      </c>
      <c r="AN24" s="124">
        <f>IF($C24&gt;THIN!$F$8,0,AM23)</f>
        <v>5</v>
      </c>
      <c r="AO24" s="124">
        <f>IF($C24&gt;THIN!$F$8,0,AN23)</f>
        <v>6</v>
      </c>
      <c r="AP24" s="124">
        <f>IF($C24&gt;THIN!$F$8,0,AO23)</f>
        <v>7</v>
      </c>
      <c r="AQ24" s="124">
        <f>IF($C24&gt;THIN!$F$8,0,AP23)</f>
        <v>8</v>
      </c>
      <c r="AR24" s="124">
        <f>IF($C24&gt;THIN!$F$8,0,AQ23)</f>
        <v>9</v>
      </c>
      <c r="AS24" s="124">
        <f>IF($C24&gt;THIN!$F$8,0,AR23)</f>
        <v>10</v>
      </c>
      <c r="AT24" s="124">
        <f>IF($C24&gt;THIN!$F$8,0,AS23)</f>
        <v>11</v>
      </c>
      <c r="AU24" s="124">
        <f>IF($C24&gt;THIN!$F$8,0,AT23)</f>
        <v>12</v>
      </c>
      <c r="AV24" s="124">
        <f>IF($C24&gt;THIN!$F$8,0,AU23)</f>
        <v>13</v>
      </c>
    </row>
    <row r="25" spans="2:48" ht="12.95" customHeight="1" x14ac:dyDescent="0.2">
      <c r="B25" s="14"/>
      <c r="C25" s="372">
        <v>19</v>
      </c>
      <c r="D25" s="372"/>
      <c r="E25" s="372"/>
      <c r="F25" s="253" t="s">
        <v>492</v>
      </c>
      <c r="G25" s="253" t="s">
        <v>4</v>
      </c>
      <c r="H25" s="124"/>
      <c r="I25" s="124"/>
      <c r="J25" s="124"/>
      <c r="K25" s="124"/>
      <c r="L25" s="124"/>
      <c r="M25" s="124"/>
      <c r="N25" s="124"/>
      <c r="O25" s="124"/>
      <c r="P25" s="124"/>
      <c r="Q25" s="124"/>
      <c r="R25" s="124"/>
      <c r="S25" s="124"/>
      <c r="T25" s="124"/>
      <c r="U25" s="124"/>
      <c r="V25" s="124"/>
      <c r="W25" s="124"/>
      <c r="X25" s="124"/>
      <c r="Y25" s="124"/>
      <c r="Z25" s="124">
        <f>IF($C25&gt;THIN!$F$8,0,Y24)</f>
        <v>15</v>
      </c>
      <c r="AA25" s="124">
        <f>IF($C25&gt;THIN!$F$8,0,Z24)</f>
        <v>16</v>
      </c>
      <c r="AB25" s="124">
        <f>IF($C25&gt;THIN!$F$8,0,AA24)</f>
        <v>17</v>
      </c>
      <c r="AC25" s="124">
        <f>IF($C25&gt;THIN!$F$8,0,AB24)</f>
        <v>18</v>
      </c>
      <c r="AD25" s="124">
        <f>IF($C25&gt;THIN!$F$8,0,AC24)</f>
        <v>19</v>
      </c>
      <c r="AE25" s="124">
        <f>IF($C25&gt;THIN!$F$8,0,AD24)</f>
        <v>20</v>
      </c>
      <c r="AF25" s="124">
        <f>IF($C25&gt;THIN!$F$8,0,AE24)</f>
        <v>21</v>
      </c>
      <c r="AG25" s="124">
        <f>IF($C25&gt;THIN!$F$8,0,AF24)</f>
        <v>22</v>
      </c>
      <c r="AH25" s="124">
        <f>IF($C25&gt;THIN!$F$8,0,AG24)</f>
        <v>23</v>
      </c>
      <c r="AI25" s="124">
        <f>IF($C25&gt;THIN!$F$8,0,AH24)</f>
        <v>24</v>
      </c>
      <c r="AJ25" s="124">
        <f>IF($C25&gt;THIN!$F$8,0,AI24)</f>
        <v>25</v>
      </c>
      <c r="AK25" s="124">
        <f>IF($C25&gt;THIN!$F$8,0,AJ24)</f>
        <v>1</v>
      </c>
      <c r="AL25" s="124">
        <f>IF($C25&gt;THIN!$F$8,0,AK24)</f>
        <v>2</v>
      </c>
      <c r="AM25" s="124">
        <f>IF($C25&gt;THIN!$F$8,0,AL24)</f>
        <v>3</v>
      </c>
      <c r="AN25" s="124">
        <f>IF($C25&gt;THIN!$F$8,0,AM24)</f>
        <v>4</v>
      </c>
      <c r="AO25" s="124">
        <f>IF($C25&gt;THIN!$F$8,0,AN24)</f>
        <v>5</v>
      </c>
      <c r="AP25" s="124">
        <f>IF($C25&gt;THIN!$F$8,0,AO24)</f>
        <v>6</v>
      </c>
      <c r="AQ25" s="124">
        <f>IF($C25&gt;THIN!$F$8,0,AP24)</f>
        <v>7</v>
      </c>
      <c r="AR25" s="124">
        <f>IF($C25&gt;THIN!$F$8,0,AQ24)</f>
        <v>8</v>
      </c>
      <c r="AS25" s="124">
        <f>IF($C25&gt;THIN!$F$8,0,AR24)</f>
        <v>9</v>
      </c>
      <c r="AT25" s="124">
        <f>IF($C25&gt;THIN!$F$8,0,AS24)</f>
        <v>10</v>
      </c>
      <c r="AU25" s="124">
        <f>IF($C25&gt;THIN!$F$8,0,AT24)</f>
        <v>11</v>
      </c>
      <c r="AV25" s="124">
        <f>IF($C25&gt;THIN!$F$8,0,AU24)</f>
        <v>12</v>
      </c>
    </row>
    <row r="26" spans="2:48" ht="12.95" customHeight="1" x14ac:dyDescent="0.2">
      <c r="B26" s="14"/>
      <c r="C26" s="372">
        <v>20</v>
      </c>
      <c r="D26" s="372"/>
      <c r="E26" s="372"/>
      <c r="F26" s="253" t="s">
        <v>492</v>
      </c>
      <c r="G26" s="253" t="s">
        <v>4</v>
      </c>
      <c r="H26" s="124"/>
      <c r="I26" s="124"/>
      <c r="J26" s="124"/>
      <c r="K26" s="124"/>
      <c r="L26" s="124"/>
      <c r="M26" s="124"/>
      <c r="N26" s="124"/>
      <c r="O26" s="124"/>
      <c r="P26" s="124"/>
      <c r="Q26" s="124"/>
      <c r="R26" s="124"/>
      <c r="S26" s="124"/>
      <c r="T26" s="124"/>
      <c r="U26" s="124"/>
      <c r="V26" s="124"/>
      <c r="W26" s="124"/>
      <c r="X26" s="124"/>
      <c r="Y26" s="124"/>
      <c r="Z26" s="124"/>
      <c r="AA26" s="124">
        <f>IF($C26&gt;THIN!$F$8,0,Z25)</f>
        <v>15</v>
      </c>
      <c r="AB26" s="124">
        <f>IF($C26&gt;THIN!$F$8,0,AA25)</f>
        <v>16</v>
      </c>
      <c r="AC26" s="124">
        <f>IF($C26&gt;THIN!$F$8,0,AB25)</f>
        <v>17</v>
      </c>
      <c r="AD26" s="124">
        <f>IF($C26&gt;THIN!$F$8,0,AC25)</f>
        <v>18</v>
      </c>
      <c r="AE26" s="124">
        <f>IF($C26&gt;THIN!$F$8,0,AD25)</f>
        <v>19</v>
      </c>
      <c r="AF26" s="124">
        <f>IF($C26&gt;THIN!$F$8,0,AE25)</f>
        <v>20</v>
      </c>
      <c r="AG26" s="124">
        <f>IF($C26&gt;THIN!$F$8,0,AF25)</f>
        <v>21</v>
      </c>
      <c r="AH26" s="124">
        <f>IF($C26&gt;THIN!$F$8,0,AG25)</f>
        <v>22</v>
      </c>
      <c r="AI26" s="124">
        <f>IF($C26&gt;THIN!$F$8,0,AH25)</f>
        <v>23</v>
      </c>
      <c r="AJ26" s="124">
        <f>IF($C26&gt;THIN!$F$8,0,AI25)</f>
        <v>24</v>
      </c>
      <c r="AK26" s="124">
        <f>IF($C26&gt;THIN!$F$8,0,AJ25)</f>
        <v>25</v>
      </c>
      <c r="AL26" s="124">
        <f>IF($C26&gt;THIN!$F$8,0,AK25)</f>
        <v>1</v>
      </c>
      <c r="AM26" s="124">
        <f>IF($C26&gt;THIN!$F$8,0,AL25)</f>
        <v>2</v>
      </c>
      <c r="AN26" s="124">
        <f>IF($C26&gt;THIN!$F$8,0,AM25)</f>
        <v>3</v>
      </c>
      <c r="AO26" s="124">
        <f>IF($C26&gt;THIN!$F$8,0,AN25)</f>
        <v>4</v>
      </c>
      <c r="AP26" s="124">
        <f>IF($C26&gt;THIN!$F$8,0,AO25)</f>
        <v>5</v>
      </c>
      <c r="AQ26" s="124">
        <f>IF($C26&gt;THIN!$F$8,0,AP25)</f>
        <v>6</v>
      </c>
      <c r="AR26" s="124">
        <f>IF($C26&gt;THIN!$F$8,0,AQ25)</f>
        <v>7</v>
      </c>
      <c r="AS26" s="124">
        <f>IF($C26&gt;THIN!$F$8,0,AR25)</f>
        <v>8</v>
      </c>
      <c r="AT26" s="124">
        <f>IF($C26&gt;THIN!$F$8,0,AS25)</f>
        <v>9</v>
      </c>
      <c r="AU26" s="124">
        <f>IF($C26&gt;THIN!$F$8,0,AT25)</f>
        <v>10</v>
      </c>
      <c r="AV26" s="124">
        <f>IF($C26&gt;THIN!$F$8,0,AU25)</f>
        <v>11</v>
      </c>
    </row>
    <row r="27" spans="2:48" ht="12.95" customHeight="1" x14ac:dyDescent="0.2">
      <c r="B27" s="14"/>
      <c r="C27" s="372">
        <v>21</v>
      </c>
      <c r="D27" s="372"/>
      <c r="E27" s="372"/>
      <c r="F27" s="253" t="s">
        <v>492</v>
      </c>
      <c r="G27" s="253" t="s">
        <v>4</v>
      </c>
      <c r="H27" s="124"/>
      <c r="I27" s="124"/>
      <c r="J27" s="124"/>
      <c r="K27" s="124"/>
      <c r="L27" s="124"/>
      <c r="M27" s="124"/>
      <c r="N27" s="124"/>
      <c r="O27" s="124"/>
      <c r="P27" s="124"/>
      <c r="Q27" s="124"/>
      <c r="R27" s="124"/>
      <c r="S27" s="124"/>
      <c r="T27" s="124"/>
      <c r="U27" s="124"/>
      <c r="V27" s="124"/>
      <c r="W27" s="124"/>
      <c r="X27" s="124"/>
      <c r="Y27" s="124"/>
      <c r="Z27" s="124"/>
      <c r="AA27" s="124"/>
      <c r="AB27" s="124">
        <f>IF($C27&gt;THIN!$F$8,0,AA26)</f>
        <v>15</v>
      </c>
      <c r="AC27" s="124">
        <f>IF($C27&gt;THIN!$F$8,0,AB26)</f>
        <v>16</v>
      </c>
      <c r="AD27" s="124">
        <f>IF($C27&gt;THIN!$F$8,0,AC26)</f>
        <v>17</v>
      </c>
      <c r="AE27" s="124">
        <f>IF($C27&gt;THIN!$F$8,0,AD26)</f>
        <v>18</v>
      </c>
      <c r="AF27" s="124">
        <f>IF($C27&gt;THIN!$F$8,0,AE26)</f>
        <v>19</v>
      </c>
      <c r="AG27" s="124">
        <f>IF($C27&gt;THIN!$F$8,0,AF26)</f>
        <v>20</v>
      </c>
      <c r="AH27" s="124">
        <f>IF($C27&gt;THIN!$F$8,0,AG26)</f>
        <v>21</v>
      </c>
      <c r="AI27" s="124">
        <f>IF($C27&gt;THIN!$F$8,0,AH26)</f>
        <v>22</v>
      </c>
      <c r="AJ27" s="124">
        <f>IF($C27&gt;THIN!$F$8,0,AI26)</f>
        <v>23</v>
      </c>
      <c r="AK27" s="124">
        <f>IF($C27&gt;THIN!$F$8,0,AJ26)</f>
        <v>24</v>
      </c>
      <c r="AL27" s="124">
        <f>IF($C27&gt;THIN!$F$8,0,AK26)</f>
        <v>25</v>
      </c>
      <c r="AM27" s="124">
        <f>IF($C27&gt;THIN!$F$8,0,AL26)</f>
        <v>1</v>
      </c>
      <c r="AN27" s="124">
        <f>IF($C27&gt;THIN!$F$8,0,AM26)</f>
        <v>2</v>
      </c>
      <c r="AO27" s="124">
        <f>IF($C27&gt;THIN!$F$8,0,AN26)</f>
        <v>3</v>
      </c>
      <c r="AP27" s="124">
        <f>IF($C27&gt;THIN!$F$8,0,AO26)</f>
        <v>4</v>
      </c>
      <c r="AQ27" s="124">
        <f>IF($C27&gt;THIN!$F$8,0,AP26)</f>
        <v>5</v>
      </c>
      <c r="AR27" s="124">
        <f>IF($C27&gt;THIN!$F$8,0,AQ26)</f>
        <v>6</v>
      </c>
      <c r="AS27" s="124">
        <f>IF($C27&gt;THIN!$F$8,0,AR26)</f>
        <v>7</v>
      </c>
      <c r="AT27" s="124">
        <f>IF($C27&gt;THIN!$F$8,0,AS26)</f>
        <v>8</v>
      </c>
      <c r="AU27" s="124">
        <f>IF($C27&gt;THIN!$F$8,0,AT26)</f>
        <v>9</v>
      </c>
      <c r="AV27" s="124">
        <f>IF($C27&gt;THIN!$F$8,0,AU26)</f>
        <v>10</v>
      </c>
    </row>
    <row r="28" spans="2:48" ht="12.95" customHeight="1" x14ac:dyDescent="0.2">
      <c r="B28" s="14"/>
      <c r="C28" s="372">
        <v>22</v>
      </c>
      <c r="D28" s="372"/>
      <c r="E28" s="372"/>
      <c r="F28" s="253" t="s">
        <v>492</v>
      </c>
      <c r="G28" s="253" t="s">
        <v>4</v>
      </c>
      <c r="H28" s="124"/>
      <c r="I28" s="124"/>
      <c r="J28" s="124"/>
      <c r="K28" s="124"/>
      <c r="L28" s="124"/>
      <c r="M28" s="124"/>
      <c r="N28" s="124"/>
      <c r="O28" s="124"/>
      <c r="P28" s="124"/>
      <c r="Q28" s="124"/>
      <c r="R28" s="124"/>
      <c r="S28" s="124"/>
      <c r="T28" s="124"/>
      <c r="U28" s="124"/>
      <c r="V28" s="124"/>
      <c r="W28" s="124"/>
      <c r="X28" s="124"/>
      <c r="Y28" s="124"/>
      <c r="Z28" s="124"/>
      <c r="AA28" s="124"/>
      <c r="AB28" s="124"/>
      <c r="AC28" s="124">
        <f>IF($C28&gt;THIN!$F$8,0,AB27)</f>
        <v>15</v>
      </c>
      <c r="AD28" s="124">
        <f>IF($C28&gt;THIN!$F$8,0,AC27)</f>
        <v>16</v>
      </c>
      <c r="AE28" s="124">
        <f>IF($C28&gt;THIN!$F$8,0,AD27)</f>
        <v>17</v>
      </c>
      <c r="AF28" s="124">
        <f>IF($C28&gt;THIN!$F$8,0,AE27)</f>
        <v>18</v>
      </c>
      <c r="AG28" s="124">
        <f>IF($C28&gt;THIN!$F$8,0,AF27)</f>
        <v>19</v>
      </c>
      <c r="AH28" s="124">
        <f>IF($C28&gt;THIN!$F$8,0,AG27)</f>
        <v>20</v>
      </c>
      <c r="AI28" s="124">
        <f>IF($C28&gt;THIN!$F$8,0,AH27)</f>
        <v>21</v>
      </c>
      <c r="AJ28" s="124">
        <f>IF($C28&gt;THIN!$F$8,0,AI27)</f>
        <v>22</v>
      </c>
      <c r="AK28" s="124">
        <f>IF($C28&gt;THIN!$F$8,0,AJ27)</f>
        <v>23</v>
      </c>
      <c r="AL28" s="124">
        <f>IF($C28&gt;THIN!$F$8,0,AK27)</f>
        <v>24</v>
      </c>
      <c r="AM28" s="124">
        <f>IF($C28&gt;THIN!$F$8,0,AL27)</f>
        <v>25</v>
      </c>
      <c r="AN28" s="124">
        <f>IF($C28&gt;THIN!$F$8,0,AM27)</f>
        <v>1</v>
      </c>
      <c r="AO28" s="124">
        <f>IF($C28&gt;THIN!$F$8,0,AN27)</f>
        <v>2</v>
      </c>
      <c r="AP28" s="124">
        <f>IF($C28&gt;THIN!$F$8,0,AO27)</f>
        <v>3</v>
      </c>
      <c r="AQ28" s="124">
        <f>IF($C28&gt;THIN!$F$8,0,AP27)</f>
        <v>4</v>
      </c>
      <c r="AR28" s="124">
        <f>IF($C28&gt;THIN!$F$8,0,AQ27)</f>
        <v>5</v>
      </c>
      <c r="AS28" s="124">
        <f>IF($C28&gt;THIN!$F$8,0,AR27)</f>
        <v>6</v>
      </c>
      <c r="AT28" s="124">
        <f>IF($C28&gt;THIN!$F$8,0,AS27)</f>
        <v>7</v>
      </c>
      <c r="AU28" s="124">
        <f>IF($C28&gt;THIN!$F$8,0,AT27)</f>
        <v>8</v>
      </c>
      <c r="AV28" s="124">
        <f>IF($C28&gt;THIN!$F$8,0,AU27)</f>
        <v>9</v>
      </c>
    </row>
    <row r="29" spans="2:48" ht="12.95" customHeight="1" x14ac:dyDescent="0.2">
      <c r="B29" s="14"/>
      <c r="C29" s="372">
        <v>23</v>
      </c>
      <c r="D29" s="372"/>
      <c r="E29" s="372"/>
      <c r="F29" s="253" t="s">
        <v>492</v>
      </c>
      <c r="G29" s="253" t="s">
        <v>4</v>
      </c>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f>IF($C29&gt;THIN!$F$8,0,AC28)</f>
        <v>15</v>
      </c>
      <c r="AE29" s="124">
        <f>IF($C29&gt;THIN!$F$8,0,AD28)</f>
        <v>16</v>
      </c>
      <c r="AF29" s="124">
        <f>IF($C29&gt;THIN!$F$8,0,AE28)</f>
        <v>17</v>
      </c>
      <c r="AG29" s="124">
        <f>IF($C29&gt;THIN!$F$8,0,AF28)</f>
        <v>18</v>
      </c>
      <c r="AH29" s="124">
        <f>IF($C29&gt;THIN!$F$8,0,AG28)</f>
        <v>19</v>
      </c>
      <c r="AI29" s="124">
        <f>IF($C29&gt;THIN!$F$8,0,AH28)</f>
        <v>20</v>
      </c>
      <c r="AJ29" s="124">
        <f>IF($C29&gt;THIN!$F$8,0,AI28)</f>
        <v>21</v>
      </c>
      <c r="AK29" s="124">
        <f>IF($C29&gt;THIN!$F$8,0,AJ28)</f>
        <v>22</v>
      </c>
      <c r="AL29" s="124">
        <f>IF($C29&gt;THIN!$F$8,0,AK28)</f>
        <v>23</v>
      </c>
      <c r="AM29" s="124">
        <f>IF($C29&gt;THIN!$F$8,0,AL28)</f>
        <v>24</v>
      </c>
      <c r="AN29" s="124">
        <f>IF($C29&gt;THIN!$F$8,0,AM28)</f>
        <v>25</v>
      </c>
      <c r="AO29" s="124">
        <f>IF($C29&gt;THIN!$F$8,0,AN28)</f>
        <v>1</v>
      </c>
      <c r="AP29" s="124">
        <f>IF($C29&gt;THIN!$F$8,0,AO28)</f>
        <v>2</v>
      </c>
      <c r="AQ29" s="124">
        <f>IF($C29&gt;THIN!$F$8,0,AP28)</f>
        <v>3</v>
      </c>
      <c r="AR29" s="124">
        <f>IF($C29&gt;THIN!$F$8,0,AQ28)</f>
        <v>4</v>
      </c>
      <c r="AS29" s="124">
        <f>IF($C29&gt;THIN!$F$8,0,AR28)</f>
        <v>5</v>
      </c>
      <c r="AT29" s="124">
        <f>IF($C29&gt;THIN!$F$8,0,AS28)</f>
        <v>6</v>
      </c>
      <c r="AU29" s="124">
        <f>IF($C29&gt;THIN!$F$8,0,AT28)</f>
        <v>7</v>
      </c>
      <c r="AV29" s="124">
        <f>IF($C29&gt;THIN!$F$8,0,AU28)</f>
        <v>8</v>
      </c>
    </row>
    <row r="30" spans="2:48" ht="12.95" customHeight="1" x14ac:dyDescent="0.2">
      <c r="B30" s="14"/>
      <c r="C30" s="372">
        <v>24</v>
      </c>
      <c r="D30" s="372"/>
      <c r="E30" s="372"/>
      <c r="F30" s="253" t="s">
        <v>492</v>
      </c>
      <c r="G30" s="253" t="s">
        <v>4</v>
      </c>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f>IF($C30&gt;THIN!$F$8,0,AD29)</f>
        <v>15</v>
      </c>
      <c r="AF30" s="124">
        <f>IF($C30&gt;THIN!$F$8,0,AE29)</f>
        <v>16</v>
      </c>
      <c r="AG30" s="124">
        <f>IF($C30&gt;THIN!$F$8,0,AF29)</f>
        <v>17</v>
      </c>
      <c r="AH30" s="124">
        <f>IF($C30&gt;THIN!$F$8,0,AG29)</f>
        <v>18</v>
      </c>
      <c r="AI30" s="124">
        <f>IF($C30&gt;THIN!$F$8,0,AH29)</f>
        <v>19</v>
      </c>
      <c r="AJ30" s="124">
        <f>IF($C30&gt;THIN!$F$8,0,AI29)</f>
        <v>20</v>
      </c>
      <c r="AK30" s="124">
        <f>IF($C30&gt;THIN!$F$8,0,AJ29)</f>
        <v>21</v>
      </c>
      <c r="AL30" s="124">
        <f>IF($C30&gt;THIN!$F$8,0,AK29)</f>
        <v>22</v>
      </c>
      <c r="AM30" s="124">
        <f>IF($C30&gt;THIN!$F$8,0,AL29)</f>
        <v>23</v>
      </c>
      <c r="AN30" s="124">
        <f>IF($C30&gt;THIN!$F$8,0,AM29)</f>
        <v>24</v>
      </c>
      <c r="AO30" s="124">
        <f>IF($C30&gt;THIN!$F$8,0,AN29)</f>
        <v>25</v>
      </c>
      <c r="AP30" s="124">
        <f>IF($C30&gt;THIN!$F$8,0,AO29)</f>
        <v>1</v>
      </c>
      <c r="AQ30" s="124">
        <f>IF($C30&gt;THIN!$F$8,0,AP29)</f>
        <v>2</v>
      </c>
      <c r="AR30" s="124">
        <f>IF($C30&gt;THIN!$F$8,0,AQ29)</f>
        <v>3</v>
      </c>
      <c r="AS30" s="124">
        <f>IF($C30&gt;THIN!$F$8,0,AR29)</f>
        <v>4</v>
      </c>
      <c r="AT30" s="124">
        <f>IF($C30&gt;THIN!$F$8,0,AS29)</f>
        <v>5</v>
      </c>
      <c r="AU30" s="124">
        <f>IF($C30&gt;THIN!$F$8,0,AT29)</f>
        <v>6</v>
      </c>
      <c r="AV30" s="124">
        <f>IF($C30&gt;THIN!$F$8,0,AU29)</f>
        <v>7</v>
      </c>
    </row>
    <row r="31" spans="2:48" ht="12.95" customHeight="1" x14ac:dyDescent="0.2">
      <c r="B31" s="14"/>
      <c r="C31" s="372">
        <v>25</v>
      </c>
      <c r="D31" s="372"/>
      <c r="E31" s="372"/>
      <c r="F31" s="253" t="s">
        <v>492</v>
      </c>
      <c r="G31" s="253" t="s">
        <v>4</v>
      </c>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f>IF($C31&gt;THIN!$F$8,0,AE30)</f>
        <v>15</v>
      </c>
      <c r="AG31" s="124">
        <f>IF($C31&gt;THIN!$F$8,0,AF30)</f>
        <v>16</v>
      </c>
      <c r="AH31" s="124">
        <f>IF($C31&gt;THIN!$F$8,0,AG30)</f>
        <v>17</v>
      </c>
      <c r="AI31" s="124">
        <f>IF($C31&gt;THIN!$F$8,0,AH30)</f>
        <v>18</v>
      </c>
      <c r="AJ31" s="124">
        <f>IF($C31&gt;THIN!$F$8,0,AI30)</f>
        <v>19</v>
      </c>
      <c r="AK31" s="124">
        <f>IF($C31&gt;THIN!$F$8,0,AJ30)</f>
        <v>20</v>
      </c>
      <c r="AL31" s="124">
        <f>IF($C31&gt;THIN!$F$8,0,AK30)</f>
        <v>21</v>
      </c>
      <c r="AM31" s="124">
        <f>IF($C31&gt;THIN!$F$8,0,AL30)</f>
        <v>22</v>
      </c>
      <c r="AN31" s="124">
        <f>IF($C31&gt;THIN!$F$8,0,AM30)</f>
        <v>23</v>
      </c>
      <c r="AO31" s="124">
        <f>IF($C31&gt;THIN!$F$8,0,AN30)</f>
        <v>24</v>
      </c>
      <c r="AP31" s="124">
        <f>IF($C31&gt;THIN!$F$8,0,AO30)</f>
        <v>25</v>
      </c>
      <c r="AQ31" s="124">
        <f>IF($C31&gt;THIN!$F$8,0,AP30)</f>
        <v>1</v>
      </c>
      <c r="AR31" s="124">
        <f>IF($C31&gt;THIN!$F$8,0,AQ30)</f>
        <v>2</v>
      </c>
      <c r="AS31" s="124">
        <f>IF($C31&gt;THIN!$F$8,0,AR30)</f>
        <v>3</v>
      </c>
      <c r="AT31" s="124">
        <f>IF($C31&gt;THIN!$F$8,0,AS30)</f>
        <v>4</v>
      </c>
      <c r="AU31" s="124">
        <f>IF($C31&gt;THIN!$F$8,0,AT30)</f>
        <v>5</v>
      </c>
      <c r="AV31" s="124">
        <f>IF($C31&gt;THIN!$F$8,0,AU30)</f>
        <v>6</v>
      </c>
    </row>
    <row r="32" spans="2:48" ht="12.95" customHeight="1" x14ac:dyDescent="0.2">
      <c r="B32" s="14"/>
      <c r="C32" s="372">
        <v>26</v>
      </c>
      <c r="D32" s="372"/>
      <c r="E32" s="372"/>
      <c r="F32" s="253" t="s">
        <v>492</v>
      </c>
      <c r="G32" s="253" t="s">
        <v>4</v>
      </c>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f>IF($C32&gt;THIN!$F$8,0,AF31)</f>
        <v>0</v>
      </c>
      <c r="AH32" s="124">
        <f>IF($C32&gt;THIN!$F$8,0,AG31)</f>
        <v>0</v>
      </c>
      <c r="AI32" s="124">
        <f>IF($C32&gt;THIN!$F$8,0,AH31)</f>
        <v>0</v>
      </c>
      <c r="AJ32" s="124">
        <f>IF($C32&gt;THIN!$F$8,0,AI31)</f>
        <v>0</v>
      </c>
      <c r="AK32" s="124">
        <f>IF($C32&gt;THIN!$F$8,0,AJ31)</f>
        <v>0</v>
      </c>
      <c r="AL32" s="124">
        <f>IF($C32&gt;THIN!$F$8,0,AK31)</f>
        <v>0</v>
      </c>
      <c r="AM32" s="124">
        <f>IF($C32&gt;THIN!$F$8,0,AL31)</f>
        <v>0</v>
      </c>
      <c r="AN32" s="124">
        <f>IF($C32&gt;THIN!$F$8,0,AM31)</f>
        <v>0</v>
      </c>
      <c r="AO32" s="124">
        <f>IF($C32&gt;THIN!$F$8,0,AN31)</f>
        <v>0</v>
      </c>
      <c r="AP32" s="124">
        <f>IF($C32&gt;THIN!$F$8,0,AO31)</f>
        <v>0</v>
      </c>
      <c r="AQ32" s="124">
        <f>IF($C32&gt;THIN!$F$8,0,AP31)</f>
        <v>0</v>
      </c>
      <c r="AR32" s="124">
        <f>IF($C32&gt;THIN!$F$8,0,AQ31)</f>
        <v>0</v>
      </c>
      <c r="AS32" s="124">
        <f>IF($C32&gt;THIN!$F$8,0,AR31)</f>
        <v>0</v>
      </c>
      <c r="AT32" s="124">
        <f>IF($C32&gt;THIN!$F$8,0,AS31)</f>
        <v>0</v>
      </c>
      <c r="AU32" s="124">
        <f>IF($C32&gt;THIN!$F$8,0,AT31)</f>
        <v>0</v>
      </c>
      <c r="AV32" s="124">
        <f>IF($C32&gt;THIN!$F$8,0,AU31)</f>
        <v>0</v>
      </c>
    </row>
    <row r="33" spans="2:48" ht="12.95" customHeight="1" x14ac:dyDescent="0.2">
      <c r="B33" s="14"/>
      <c r="C33" s="372">
        <v>27</v>
      </c>
      <c r="D33" s="372"/>
      <c r="E33" s="372"/>
      <c r="F33" s="253" t="s">
        <v>492</v>
      </c>
      <c r="G33" s="253" t="s">
        <v>4</v>
      </c>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f>IF($C33&gt;THIN!$F$8,0,AG32)</f>
        <v>0</v>
      </c>
      <c r="AI33" s="124">
        <f>IF($C33&gt;THIN!$F$8,0,AH32)</f>
        <v>0</v>
      </c>
      <c r="AJ33" s="124">
        <f>IF($C33&gt;THIN!$F$8,0,AI32)</f>
        <v>0</v>
      </c>
      <c r="AK33" s="124">
        <f>IF($C33&gt;THIN!$F$8,0,AJ32)</f>
        <v>0</v>
      </c>
      <c r="AL33" s="124">
        <f>IF($C33&gt;THIN!$F$8,0,AK32)</f>
        <v>0</v>
      </c>
      <c r="AM33" s="124">
        <f>IF($C33&gt;THIN!$F$8,0,AL32)</f>
        <v>0</v>
      </c>
      <c r="AN33" s="124">
        <f>IF($C33&gt;THIN!$F$8,0,AM32)</f>
        <v>0</v>
      </c>
      <c r="AO33" s="124">
        <f>IF($C33&gt;THIN!$F$8,0,AN32)</f>
        <v>0</v>
      </c>
      <c r="AP33" s="124">
        <f>IF($C33&gt;THIN!$F$8,0,AO32)</f>
        <v>0</v>
      </c>
      <c r="AQ33" s="124">
        <f>IF($C33&gt;THIN!$F$8,0,AP32)</f>
        <v>0</v>
      </c>
      <c r="AR33" s="124">
        <f>IF($C33&gt;THIN!$F$8,0,AQ32)</f>
        <v>0</v>
      </c>
      <c r="AS33" s="124">
        <f>IF($C33&gt;THIN!$F$8,0,AR32)</f>
        <v>0</v>
      </c>
      <c r="AT33" s="124">
        <f>IF($C33&gt;THIN!$F$8,0,AS32)</f>
        <v>0</v>
      </c>
      <c r="AU33" s="124">
        <f>IF($C33&gt;THIN!$F$8,0,AT32)</f>
        <v>0</v>
      </c>
      <c r="AV33" s="124">
        <f>IF($C33&gt;THIN!$F$8,0,AU32)</f>
        <v>0</v>
      </c>
    </row>
    <row r="34" spans="2:48" ht="12.95" customHeight="1" x14ac:dyDescent="0.2">
      <c r="B34" s="14"/>
      <c r="C34" s="372">
        <v>28</v>
      </c>
      <c r="D34" s="372"/>
      <c r="E34" s="372"/>
      <c r="F34" s="253" t="s">
        <v>492</v>
      </c>
      <c r="G34" s="253" t="s">
        <v>4</v>
      </c>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f>IF($C34&gt;THIN!$F$8,0,AH33)</f>
        <v>0</v>
      </c>
      <c r="AJ34" s="124">
        <f>IF($C34&gt;THIN!$F$8,0,AI33)</f>
        <v>0</v>
      </c>
      <c r="AK34" s="124">
        <f>IF($C34&gt;THIN!$F$8,0,AJ33)</f>
        <v>0</v>
      </c>
      <c r="AL34" s="124">
        <f>IF($C34&gt;THIN!$F$8,0,AK33)</f>
        <v>0</v>
      </c>
      <c r="AM34" s="124">
        <f>IF($C34&gt;THIN!$F$8,0,AL33)</f>
        <v>0</v>
      </c>
      <c r="AN34" s="124">
        <f>IF($C34&gt;THIN!$F$8,0,AM33)</f>
        <v>0</v>
      </c>
      <c r="AO34" s="124">
        <f>IF($C34&gt;THIN!$F$8,0,AN33)</f>
        <v>0</v>
      </c>
      <c r="AP34" s="124">
        <f>IF($C34&gt;THIN!$F$8,0,AO33)</f>
        <v>0</v>
      </c>
      <c r="AQ34" s="124">
        <f>IF($C34&gt;THIN!$F$8,0,AP33)</f>
        <v>0</v>
      </c>
      <c r="AR34" s="124">
        <f>IF($C34&gt;THIN!$F$8,0,AQ33)</f>
        <v>0</v>
      </c>
      <c r="AS34" s="124">
        <f>IF($C34&gt;THIN!$F$8,0,AR33)</f>
        <v>0</v>
      </c>
      <c r="AT34" s="124">
        <f>IF($C34&gt;THIN!$F$8,0,AS33)</f>
        <v>0</v>
      </c>
      <c r="AU34" s="124">
        <f>IF($C34&gt;THIN!$F$8,0,AT33)</f>
        <v>0</v>
      </c>
      <c r="AV34" s="124">
        <f>IF($C34&gt;THIN!$F$8,0,AU33)</f>
        <v>0</v>
      </c>
    </row>
    <row r="35" spans="2:48" ht="12.95" customHeight="1" x14ac:dyDescent="0.2">
      <c r="B35" s="14"/>
      <c r="C35" s="372">
        <v>29</v>
      </c>
      <c r="D35" s="372"/>
      <c r="E35" s="372"/>
      <c r="F35" s="253" t="s">
        <v>492</v>
      </c>
      <c r="G35" s="253" t="s">
        <v>4</v>
      </c>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f>IF($C35&gt;THIN!$F$8,0,AI34)</f>
        <v>0</v>
      </c>
      <c r="AK35" s="124">
        <f>IF($C35&gt;THIN!$F$8,0,AJ34)</f>
        <v>0</v>
      </c>
      <c r="AL35" s="124">
        <f>IF($C35&gt;THIN!$F$8,0,AK34)</f>
        <v>0</v>
      </c>
      <c r="AM35" s="124">
        <f>IF($C35&gt;THIN!$F$8,0,AL34)</f>
        <v>0</v>
      </c>
      <c r="AN35" s="124">
        <f>IF($C35&gt;THIN!$F$8,0,AM34)</f>
        <v>0</v>
      </c>
      <c r="AO35" s="124">
        <f>IF($C35&gt;THIN!$F$8,0,AN34)</f>
        <v>0</v>
      </c>
      <c r="AP35" s="124">
        <f>IF($C35&gt;THIN!$F$8,0,AO34)</f>
        <v>0</v>
      </c>
      <c r="AQ35" s="124">
        <f>IF($C35&gt;THIN!$F$8,0,AP34)</f>
        <v>0</v>
      </c>
      <c r="AR35" s="124">
        <f>IF($C35&gt;THIN!$F$8,0,AQ34)</f>
        <v>0</v>
      </c>
      <c r="AS35" s="124">
        <f>IF($C35&gt;THIN!$F$8,0,AR34)</f>
        <v>0</v>
      </c>
      <c r="AT35" s="124">
        <f>IF($C35&gt;THIN!$F$8,0,AS34)</f>
        <v>0</v>
      </c>
      <c r="AU35" s="124">
        <f>IF($C35&gt;THIN!$F$8,0,AT34)</f>
        <v>0</v>
      </c>
      <c r="AV35" s="124">
        <f>IF($C35&gt;THIN!$F$8,0,AU34)</f>
        <v>0</v>
      </c>
    </row>
    <row r="36" spans="2:48" ht="12.95" customHeight="1" x14ac:dyDescent="0.2">
      <c r="B36" s="14"/>
      <c r="C36" s="372">
        <v>30</v>
      </c>
      <c r="D36" s="372"/>
      <c r="E36" s="372"/>
      <c r="F36" s="253" t="s">
        <v>492</v>
      </c>
      <c r="G36" s="253" t="s">
        <v>4</v>
      </c>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f>IF($C36&gt;THIN!$F$8,0,AJ35)</f>
        <v>0</v>
      </c>
      <c r="AL36" s="124">
        <f>IF($C36&gt;THIN!$F$8,0,AK35)</f>
        <v>0</v>
      </c>
      <c r="AM36" s="124">
        <f>IF($C36&gt;THIN!$F$8,0,AL35)</f>
        <v>0</v>
      </c>
      <c r="AN36" s="124">
        <f>IF($C36&gt;THIN!$F$8,0,AM35)</f>
        <v>0</v>
      </c>
      <c r="AO36" s="124">
        <f>IF($C36&gt;THIN!$F$8,0,AN35)</f>
        <v>0</v>
      </c>
      <c r="AP36" s="124">
        <f>IF($C36&gt;THIN!$F$8,0,AO35)</f>
        <v>0</v>
      </c>
      <c r="AQ36" s="124">
        <f>IF($C36&gt;THIN!$F$8,0,AP35)</f>
        <v>0</v>
      </c>
      <c r="AR36" s="124">
        <f>IF($C36&gt;THIN!$F$8,0,AQ35)</f>
        <v>0</v>
      </c>
      <c r="AS36" s="124">
        <f>IF($C36&gt;THIN!$F$8,0,AR35)</f>
        <v>0</v>
      </c>
      <c r="AT36" s="124">
        <f>IF($C36&gt;THIN!$F$8,0,AS35)</f>
        <v>0</v>
      </c>
      <c r="AU36" s="124">
        <f>IF($C36&gt;THIN!$F$8,0,AT35)</f>
        <v>0</v>
      </c>
      <c r="AV36" s="124">
        <f>IF($C36&gt;THIN!$F$8,0,AU35)</f>
        <v>0</v>
      </c>
    </row>
    <row r="37" spans="2:48" ht="12.95" customHeight="1" x14ac:dyDescent="0.2">
      <c r="B37" s="14"/>
      <c r="C37" s="372">
        <v>31</v>
      </c>
      <c r="D37" s="372"/>
      <c r="E37" s="372"/>
      <c r="F37" s="253" t="s">
        <v>492</v>
      </c>
      <c r="G37" s="253" t="s">
        <v>4</v>
      </c>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f>IF($C37&gt;THIN!$F$8,0,AK36)</f>
        <v>0</v>
      </c>
      <c r="AM37" s="124">
        <f>IF($C37&gt;THIN!$F$8,0,AL36)</f>
        <v>0</v>
      </c>
      <c r="AN37" s="124">
        <f>IF($C37&gt;THIN!$F$8,0,AM36)</f>
        <v>0</v>
      </c>
      <c r="AO37" s="124">
        <f>IF($C37&gt;THIN!$F$8,0,AN36)</f>
        <v>0</v>
      </c>
      <c r="AP37" s="124">
        <f>IF($C37&gt;THIN!$F$8,0,AO36)</f>
        <v>0</v>
      </c>
      <c r="AQ37" s="124">
        <f>IF($C37&gt;THIN!$F$8,0,AP36)</f>
        <v>0</v>
      </c>
      <c r="AR37" s="124">
        <f>IF($C37&gt;THIN!$F$8,0,AQ36)</f>
        <v>0</v>
      </c>
      <c r="AS37" s="124">
        <f>IF($C37&gt;THIN!$F$8,0,AR36)</f>
        <v>0</v>
      </c>
      <c r="AT37" s="124">
        <f>IF($C37&gt;THIN!$F$8,0,AS36)</f>
        <v>0</v>
      </c>
      <c r="AU37" s="124">
        <f>IF($C37&gt;THIN!$F$8,0,AT36)</f>
        <v>0</v>
      </c>
      <c r="AV37" s="124">
        <f>IF($C37&gt;THIN!$F$8,0,AU36)</f>
        <v>0</v>
      </c>
    </row>
    <row r="38" spans="2:48" ht="12.95" customHeight="1" x14ac:dyDescent="0.2">
      <c r="B38" s="14"/>
      <c r="C38" s="372">
        <v>32</v>
      </c>
      <c r="D38" s="372"/>
      <c r="E38" s="372"/>
      <c r="F38" s="253" t="s">
        <v>492</v>
      </c>
      <c r="G38" s="253" t="s">
        <v>4</v>
      </c>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f>IF($C38&gt;THIN!$F$8,0,AL37)</f>
        <v>0</v>
      </c>
      <c r="AN38" s="124">
        <f>IF($C38&gt;THIN!$F$8,0,AM37)</f>
        <v>0</v>
      </c>
      <c r="AO38" s="124">
        <f>IF($C38&gt;THIN!$F$8,0,AN37)</f>
        <v>0</v>
      </c>
      <c r="AP38" s="124">
        <f>IF($C38&gt;THIN!$F$8,0,AO37)</f>
        <v>0</v>
      </c>
      <c r="AQ38" s="124">
        <f>IF($C38&gt;THIN!$F$8,0,AP37)</f>
        <v>0</v>
      </c>
      <c r="AR38" s="124">
        <f>IF($C38&gt;THIN!$F$8,0,AQ37)</f>
        <v>0</v>
      </c>
      <c r="AS38" s="124">
        <f>IF($C38&gt;THIN!$F$8,0,AR37)</f>
        <v>0</v>
      </c>
      <c r="AT38" s="124">
        <f>IF($C38&gt;THIN!$F$8,0,AS37)</f>
        <v>0</v>
      </c>
      <c r="AU38" s="124">
        <f>IF($C38&gt;THIN!$F$8,0,AT37)</f>
        <v>0</v>
      </c>
      <c r="AV38" s="124">
        <f>IF($C38&gt;THIN!$F$8,0,AU37)</f>
        <v>0</v>
      </c>
    </row>
    <row r="39" spans="2:48" ht="12.95" customHeight="1" x14ac:dyDescent="0.2">
      <c r="B39" s="14"/>
      <c r="C39" s="372">
        <v>33</v>
      </c>
      <c r="D39" s="372"/>
      <c r="E39" s="372"/>
      <c r="F39" s="253" t="s">
        <v>492</v>
      </c>
      <c r="G39" s="253" t="s">
        <v>4</v>
      </c>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f>IF($C39&gt;THIN!$F$8,0,AM38)</f>
        <v>0</v>
      </c>
      <c r="AO39" s="124">
        <f>IF($C39&gt;THIN!$F$8,0,AN38)</f>
        <v>0</v>
      </c>
      <c r="AP39" s="124">
        <f>IF($C39&gt;THIN!$F$8,0,AO38)</f>
        <v>0</v>
      </c>
      <c r="AQ39" s="124">
        <f>IF($C39&gt;THIN!$F$8,0,AP38)</f>
        <v>0</v>
      </c>
      <c r="AR39" s="124">
        <f>IF($C39&gt;THIN!$F$8,0,AQ38)</f>
        <v>0</v>
      </c>
      <c r="AS39" s="124">
        <f>IF($C39&gt;THIN!$F$8,0,AR38)</f>
        <v>0</v>
      </c>
      <c r="AT39" s="124">
        <f>IF($C39&gt;THIN!$F$8,0,AS38)</f>
        <v>0</v>
      </c>
      <c r="AU39" s="124">
        <f>IF($C39&gt;THIN!$F$8,0,AT38)</f>
        <v>0</v>
      </c>
      <c r="AV39" s="124">
        <f>IF($C39&gt;THIN!$F$8,0,AU38)</f>
        <v>0</v>
      </c>
    </row>
    <row r="40" spans="2:48" ht="12.95" customHeight="1" x14ac:dyDescent="0.2">
      <c r="B40" s="14"/>
      <c r="C40" s="372">
        <v>34</v>
      </c>
      <c r="D40" s="372"/>
      <c r="E40" s="372"/>
      <c r="F40" s="253" t="s">
        <v>492</v>
      </c>
      <c r="G40" s="253" t="s">
        <v>4</v>
      </c>
      <c r="H40" s="124"/>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f>IF($C40&gt;THIN!$F$8,0,AN39)</f>
        <v>0</v>
      </c>
      <c r="AP40" s="124">
        <f>IF($C40&gt;THIN!$F$8,0,AO39)</f>
        <v>0</v>
      </c>
      <c r="AQ40" s="124">
        <f>IF($C40&gt;THIN!$F$8,0,AP39)</f>
        <v>0</v>
      </c>
      <c r="AR40" s="124">
        <f>IF($C40&gt;THIN!$F$8,0,AQ39)</f>
        <v>0</v>
      </c>
      <c r="AS40" s="124">
        <f>IF($C40&gt;THIN!$F$8,0,AR39)</f>
        <v>0</v>
      </c>
      <c r="AT40" s="124">
        <f>IF($C40&gt;THIN!$F$8,0,AS39)</f>
        <v>0</v>
      </c>
      <c r="AU40" s="124">
        <f>IF($C40&gt;THIN!$F$8,0,AT39)</f>
        <v>0</v>
      </c>
      <c r="AV40" s="124">
        <f>IF($C40&gt;THIN!$F$8,0,AU39)</f>
        <v>0</v>
      </c>
    </row>
    <row r="41" spans="2:48" ht="12.95" customHeight="1" x14ac:dyDescent="0.2">
      <c r="B41" s="14"/>
      <c r="C41" s="372">
        <v>35</v>
      </c>
      <c r="D41" s="372"/>
      <c r="E41" s="372"/>
      <c r="F41" s="253" t="s">
        <v>492</v>
      </c>
      <c r="G41" s="253" t="s">
        <v>4</v>
      </c>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c r="AN41" s="124"/>
      <c r="AO41" s="124"/>
      <c r="AP41" s="124">
        <f>IF($C41&gt;THIN!$F$8,0,AO40)</f>
        <v>0</v>
      </c>
      <c r="AQ41" s="124">
        <f>IF($C41&gt;THIN!$F$8,0,AP40)</f>
        <v>0</v>
      </c>
      <c r="AR41" s="124">
        <f>IF($C41&gt;THIN!$F$8,0,AQ40)</f>
        <v>0</v>
      </c>
      <c r="AS41" s="124">
        <f>IF($C41&gt;THIN!$F$8,0,AR40)</f>
        <v>0</v>
      </c>
      <c r="AT41" s="124">
        <f>IF($C41&gt;THIN!$F$8,0,AS40)</f>
        <v>0</v>
      </c>
      <c r="AU41" s="124">
        <f>IF($C41&gt;THIN!$F$8,0,AT40)</f>
        <v>0</v>
      </c>
      <c r="AV41" s="124">
        <f>IF($C41&gt;THIN!$F$8,0,AU40)</f>
        <v>0</v>
      </c>
    </row>
    <row r="42" spans="2:48" ht="12.95" customHeight="1" x14ac:dyDescent="0.2">
      <c r="B42" s="14"/>
      <c r="C42" s="372">
        <v>36</v>
      </c>
      <c r="D42" s="372"/>
      <c r="E42" s="372"/>
      <c r="F42" s="253" t="s">
        <v>492</v>
      </c>
      <c r="G42" s="253" t="s">
        <v>4</v>
      </c>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f>IF($C42&gt;THIN!$F$8,0,AP41)</f>
        <v>0</v>
      </c>
      <c r="AR42" s="124">
        <f>IF($C42&gt;THIN!$F$8,0,AQ41)</f>
        <v>0</v>
      </c>
      <c r="AS42" s="124">
        <f>IF($C42&gt;THIN!$F$8,0,AR41)</f>
        <v>0</v>
      </c>
      <c r="AT42" s="124">
        <f>IF($C42&gt;THIN!$F$8,0,AS41)</f>
        <v>0</v>
      </c>
      <c r="AU42" s="124">
        <f>IF($C42&gt;THIN!$F$8,0,AT41)</f>
        <v>0</v>
      </c>
      <c r="AV42" s="124">
        <f>IF($C42&gt;THIN!$F$8,0,AU41)</f>
        <v>0</v>
      </c>
    </row>
    <row r="43" spans="2:48" ht="12.95" customHeight="1" x14ac:dyDescent="0.2">
      <c r="B43" s="14"/>
      <c r="C43" s="372">
        <v>37</v>
      </c>
      <c r="D43" s="372"/>
      <c r="E43" s="372"/>
      <c r="F43" s="253" t="s">
        <v>492</v>
      </c>
      <c r="G43" s="253" t="s">
        <v>4</v>
      </c>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f>IF($C43&gt;THIN!$F$8,0,AQ42)</f>
        <v>0</v>
      </c>
      <c r="AS43" s="124">
        <f>IF($C43&gt;THIN!$F$8,0,AR42)</f>
        <v>0</v>
      </c>
      <c r="AT43" s="124">
        <f>IF($C43&gt;THIN!$F$8,0,AS42)</f>
        <v>0</v>
      </c>
      <c r="AU43" s="124">
        <f>IF($C43&gt;THIN!$F$8,0,AT42)</f>
        <v>0</v>
      </c>
      <c r="AV43" s="124">
        <f>IF($C43&gt;THIN!$F$8,0,AU42)</f>
        <v>0</v>
      </c>
    </row>
    <row r="44" spans="2:48" ht="12.95" customHeight="1" x14ac:dyDescent="0.2">
      <c r="B44" s="14"/>
      <c r="C44" s="372">
        <v>38</v>
      </c>
      <c r="D44" s="372"/>
      <c r="E44" s="372"/>
      <c r="F44" s="253" t="s">
        <v>492</v>
      </c>
      <c r="G44" s="253" t="s">
        <v>4</v>
      </c>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f>IF($C44&gt;THIN!$F$8,0,AR43)</f>
        <v>0</v>
      </c>
      <c r="AT44" s="124">
        <f>IF($C44&gt;THIN!$F$8,0,AS43)</f>
        <v>0</v>
      </c>
      <c r="AU44" s="124">
        <f>IF($C44&gt;THIN!$F$8,0,AT43)</f>
        <v>0</v>
      </c>
      <c r="AV44" s="124">
        <f>IF($C44&gt;THIN!$F$8,0,AU43)</f>
        <v>0</v>
      </c>
    </row>
    <row r="45" spans="2:48" ht="12.95" customHeight="1" x14ac:dyDescent="0.2">
      <c r="B45" s="14"/>
      <c r="C45" s="372">
        <v>39</v>
      </c>
      <c r="D45" s="372"/>
      <c r="E45" s="372"/>
      <c r="F45" s="253" t="s">
        <v>492</v>
      </c>
      <c r="G45" s="253" t="s">
        <v>4</v>
      </c>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f>IF($C45&gt;THIN!$F$8,0,AS44)</f>
        <v>0</v>
      </c>
      <c r="AU45" s="124">
        <f>IF($C45&gt;THIN!$F$8,0,AT44)</f>
        <v>0</v>
      </c>
      <c r="AV45" s="124">
        <f>IF($C45&gt;THIN!$F$8,0,AU44)</f>
        <v>0</v>
      </c>
    </row>
    <row r="46" spans="2:48" ht="12.95" customHeight="1" x14ac:dyDescent="0.2">
      <c r="B46" s="14"/>
      <c r="C46" s="372">
        <v>40</v>
      </c>
      <c r="D46" s="372"/>
      <c r="E46" s="372"/>
      <c r="F46" s="253" t="s">
        <v>492</v>
      </c>
      <c r="G46" s="253" t="s">
        <v>4</v>
      </c>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f>IF($C46&gt;THIN!$F$8,0,AT45)</f>
        <v>0</v>
      </c>
      <c r="AV46" s="124">
        <f>IF($C46&gt;THIN!$F$8,0,AU45)</f>
        <v>0</v>
      </c>
    </row>
    <row r="47" spans="2:48" ht="12.95" customHeight="1" x14ac:dyDescent="0.2">
      <c r="B47" s="14" t="s">
        <v>912</v>
      </c>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row>
    <row r="48" spans="2:48" ht="12.95" customHeight="1" x14ac:dyDescent="0.2">
      <c r="B48" s="14"/>
      <c r="C48" s="372">
        <v>1</v>
      </c>
      <c r="D48" s="372"/>
      <c r="E48" s="372"/>
      <c r="F48" s="253" t="s">
        <v>492</v>
      </c>
      <c r="G48" s="253" t="s">
        <v>395</v>
      </c>
      <c r="H48" s="277">
        <f t="shared" ref="H48:AV48" si="0">HLOOKUP(H7,t_growth,4)</f>
        <v>17.4296431713258</v>
      </c>
      <c r="I48" s="277">
        <f t="shared" si="0"/>
        <v>19.810566711342741</v>
      </c>
      <c r="J48" s="277">
        <f t="shared" si="0"/>
        <v>22.267445799447479</v>
      </c>
      <c r="K48" s="277">
        <f t="shared" si="0"/>
        <v>24.785131416603353</v>
      </c>
      <c r="L48" s="277">
        <f t="shared" si="0"/>
        <v>27.349339112214277</v>
      </c>
      <c r="M48" s="277">
        <f t="shared" si="0"/>
        <v>29.946730051786854</v>
      </c>
      <c r="N48" s="277">
        <f t="shared" si="0"/>
        <v>32.564957457117195</v>
      </c>
      <c r="O48" s="277">
        <f t="shared" si="0"/>
        <v>35.192685692036868</v>
      </c>
      <c r="P48" s="277">
        <f t="shared" si="0"/>
        <v>37.819587993197999</v>
      </c>
      <c r="Q48" s="277">
        <f t="shared" si="0"/>
        <v>40.436327790332221</v>
      </c>
      <c r="R48" s="277">
        <f t="shared" si="0"/>
        <v>43.034527673896086</v>
      </c>
      <c r="S48" s="277">
        <f t="shared" si="0"/>
        <v>1.3801503036642727E-2</v>
      </c>
      <c r="T48" s="277">
        <f t="shared" si="0"/>
        <v>0.10250810373022921</v>
      </c>
      <c r="U48" s="277">
        <f t="shared" si="0"/>
        <v>0.32140060564134304</v>
      </c>
      <c r="V48" s="277">
        <f t="shared" si="0"/>
        <v>0.70819088008020181</v>
      </c>
      <c r="W48" s="277">
        <f t="shared" si="0"/>
        <v>1.2865903014343147</v>
      </c>
      <c r="X48" s="277">
        <f t="shared" si="0"/>
        <v>2.0692648651289542</v>
      </c>
      <c r="Y48" s="277">
        <f t="shared" si="0"/>
        <v>3.0602740346849182</v>
      </c>
      <c r="Z48" s="277">
        <f t="shared" si="0"/>
        <v>4.2570757029793187</v>
      </c>
      <c r="AA48" s="277">
        <f t="shared" si="0"/>
        <v>5.6521671458405169</v>
      </c>
      <c r="AB48" s="277">
        <f t="shared" si="0"/>
        <v>7.2344211823897746</v>
      </c>
      <c r="AC48" s="277">
        <f t="shared" si="0"/>
        <v>8.9901676693851371</v>
      </c>
      <c r="AD48" s="277">
        <f t="shared" si="0"/>
        <v>10.904062717666822</v>
      </c>
      <c r="AE48" s="277">
        <f t="shared" si="0"/>
        <v>12.959781431811036</v>
      </c>
      <c r="AF48" s="277">
        <f t="shared" si="0"/>
        <v>15.140564371508987</v>
      </c>
      <c r="AG48" s="277">
        <f t="shared" si="0"/>
        <v>17.4296431713258</v>
      </c>
      <c r="AH48" s="277">
        <f t="shared" si="0"/>
        <v>19.810566711342741</v>
      </c>
      <c r="AI48" s="277">
        <f t="shared" si="0"/>
        <v>22.267445799447479</v>
      </c>
      <c r="AJ48" s="277">
        <f t="shared" si="0"/>
        <v>24.785131416603353</v>
      </c>
      <c r="AK48" s="277">
        <f t="shared" si="0"/>
        <v>27.349339112214277</v>
      </c>
      <c r="AL48" s="277">
        <f t="shared" si="0"/>
        <v>29.946730051786854</v>
      </c>
      <c r="AM48" s="277">
        <f t="shared" si="0"/>
        <v>32.564957457117195</v>
      </c>
      <c r="AN48" s="277">
        <f t="shared" si="0"/>
        <v>35.192685692036868</v>
      </c>
      <c r="AO48" s="277">
        <f t="shared" si="0"/>
        <v>37.819587993197999</v>
      </c>
      <c r="AP48" s="277">
        <f t="shared" si="0"/>
        <v>40.436327790332221</v>
      </c>
      <c r="AQ48" s="277">
        <f t="shared" si="0"/>
        <v>43.034527673896086</v>
      </c>
      <c r="AR48" s="277">
        <f t="shared" si="0"/>
        <v>1.3801503036642727E-2</v>
      </c>
      <c r="AS48" s="277">
        <f t="shared" si="0"/>
        <v>0.10250810373022921</v>
      </c>
      <c r="AT48" s="277">
        <f t="shared" si="0"/>
        <v>0.32140060564134304</v>
      </c>
      <c r="AU48" s="277">
        <f t="shared" si="0"/>
        <v>0.70819088008020181</v>
      </c>
      <c r="AV48" s="277">
        <f t="shared" si="0"/>
        <v>1.2865903014343147</v>
      </c>
    </row>
    <row r="49" spans="2:48" ht="12.95" customHeight="1" x14ac:dyDescent="0.2">
      <c r="B49" s="14"/>
      <c r="C49" s="372">
        <v>2</v>
      </c>
      <c r="D49" s="372"/>
      <c r="E49" s="372"/>
      <c r="F49" s="253" t="s">
        <v>492</v>
      </c>
      <c r="G49" s="253" t="s">
        <v>395</v>
      </c>
      <c r="H49" s="277"/>
      <c r="I49" s="277">
        <f t="shared" ref="I49:AV49" si="1">HLOOKUP(I8,t_growth,4)</f>
        <v>17.4296431713258</v>
      </c>
      <c r="J49" s="277">
        <f t="shared" si="1"/>
        <v>19.810566711342741</v>
      </c>
      <c r="K49" s="277">
        <f t="shared" si="1"/>
        <v>22.267445799447479</v>
      </c>
      <c r="L49" s="277">
        <f t="shared" si="1"/>
        <v>24.785131416603353</v>
      </c>
      <c r="M49" s="277">
        <f t="shared" si="1"/>
        <v>27.349339112214277</v>
      </c>
      <c r="N49" s="277">
        <f t="shared" si="1"/>
        <v>29.946730051786854</v>
      </c>
      <c r="O49" s="277">
        <f t="shared" si="1"/>
        <v>32.564957457117195</v>
      </c>
      <c r="P49" s="277">
        <f t="shared" si="1"/>
        <v>35.192685692036868</v>
      </c>
      <c r="Q49" s="277">
        <f t="shared" si="1"/>
        <v>37.819587993197999</v>
      </c>
      <c r="R49" s="277">
        <f t="shared" si="1"/>
        <v>40.436327790332221</v>
      </c>
      <c r="S49" s="277">
        <f t="shared" si="1"/>
        <v>43.034527673896086</v>
      </c>
      <c r="T49" s="277">
        <f t="shared" si="1"/>
        <v>1.3801503036642727E-2</v>
      </c>
      <c r="U49" s="277">
        <f t="shared" si="1"/>
        <v>0.10250810373022921</v>
      </c>
      <c r="V49" s="277">
        <f t="shared" si="1"/>
        <v>0.32140060564134304</v>
      </c>
      <c r="W49" s="277">
        <f t="shared" si="1"/>
        <v>0.70819088008020181</v>
      </c>
      <c r="X49" s="277">
        <f t="shared" si="1"/>
        <v>1.2865903014343147</v>
      </c>
      <c r="Y49" s="277">
        <f t="shared" si="1"/>
        <v>2.0692648651289542</v>
      </c>
      <c r="Z49" s="277">
        <f t="shared" si="1"/>
        <v>3.0602740346849182</v>
      </c>
      <c r="AA49" s="277">
        <f t="shared" si="1"/>
        <v>4.2570757029793187</v>
      </c>
      <c r="AB49" s="277">
        <f t="shared" si="1"/>
        <v>5.6521671458405169</v>
      </c>
      <c r="AC49" s="277">
        <f t="shared" si="1"/>
        <v>7.2344211823897746</v>
      </c>
      <c r="AD49" s="277">
        <f t="shared" si="1"/>
        <v>8.9901676693851371</v>
      </c>
      <c r="AE49" s="277">
        <f t="shared" si="1"/>
        <v>10.904062717666822</v>
      </c>
      <c r="AF49" s="277">
        <f t="shared" si="1"/>
        <v>12.959781431811036</v>
      </c>
      <c r="AG49" s="277">
        <f t="shared" si="1"/>
        <v>15.140564371508987</v>
      </c>
      <c r="AH49" s="277">
        <f t="shared" si="1"/>
        <v>17.4296431713258</v>
      </c>
      <c r="AI49" s="277">
        <f t="shared" si="1"/>
        <v>19.810566711342741</v>
      </c>
      <c r="AJ49" s="277">
        <f t="shared" si="1"/>
        <v>22.267445799447479</v>
      </c>
      <c r="AK49" s="277">
        <f t="shared" si="1"/>
        <v>24.785131416603353</v>
      </c>
      <c r="AL49" s="277">
        <f t="shared" si="1"/>
        <v>27.349339112214277</v>
      </c>
      <c r="AM49" s="277">
        <f t="shared" si="1"/>
        <v>29.946730051786854</v>
      </c>
      <c r="AN49" s="277">
        <f t="shared" si="1"/>
        <v>32.564957457117195</v>
      </c>
      <c r="AO49" s="277">
        <f t="shared" si="1"/>
        <v>35.192685692036868</v>
      </c>
      <c r="AP49" s="277">
        <f t="shared" si="1"/>
        <v>37.819587993197999</v>
      </c>
      <c r="AQ49" s="277">
        <f t="shared" si="1"/>
        <v>40.436327790332221</v>
      </c>
      <c r="AR49" s="277">
        <f t="shared" si="1"/>
        <v>43.034527673896086</v>
      </c>
      <c r="AS49" s="277">
        <f t="shared" si="1"/>
        <v>1.3801503036642727E-2</v>
      </c>
      <c r="AT49" s="277">
        <f t="shared" si="1"/>
        <v>0.10250810373022921</v>
      </c>
      <c r="AU49" s="277">
        <f t="shared" si="1"/>
        <v>0.32140060564134304</v>
      </c>
      <c r="AV49" s="277">
        <f t="shared" si="1"/>
        <v>0.70819088008020181</v>
      </c>
    </row>
    <row r="50" spans="2:48" ht="12.95" customHeight="1" x14ac:dyDescent="0.2">
      <c r="B50" s="14"/>
      <c r="C50" s="372">
        <v>3</v>
      </c>
      <c r="D50" s="372"/>
      <c r="E50" s="372"/>
      <c r="F50" s="253" t="s">
        <v>492</v>
      </c>
      <c r="G50" s="253" t="s">
        <v>395</v>
      </c>
      <c r="H50" s="277"/>
      <c r="I50" s="277"/>
      <c r="J50" s="277">
        <f t="shared" ref="J50:AV50" si="2">HLOOKUP(J9,t_growth,4)</f>
        <v>17.4296431713258</v>
      </c>
      <c r="K50" s="277">
        <f t="shared" si="2"/>
        <v>19.810566711342741</v>
      </c>
      <c r="L50" s="277">
        <f t="shared" si="2"/>
        <v>22.267445799447479</v>
      </c>
      <c r="M50" s="277">
        <f t="shared" si="2"/>
        <v>24.785131416603353</v>
      </c>
      <c r="N50" s="277">
        <f t="shared" si="2"/>
        <v>27.349339112214277</v>
      </c>
      <c r="O50" s="277">
        <f t="shared" si="2"/>
        <v>29.946730051786854</v>
      </c>
      <c r="P50" s="277">
        <f t="shared" si="2"/>
        <v>32.564957457117195</v>
      </c>
      <c r="Q50" s="277">
        <f t="shared" si="2"/>
        <v>35.192685692036868</v>
      </c>
      <c r="R50" s="277">
        <f t="shared" si="2"/>
        <v>37.819587993197999</v>
      </c>
      <c r="S50" s="277">
        <f t="shared" si="2"/>
        <v>40.436327790332221</v>
      </c>
      <c r="T50" s="277">
        <f t="shared" si="2"/>
        <v>43.034527673896086</v>
      </c>
      <c r="U50" s="277">
        <f t="shared" si="2"/>
        <v>1.3801503036642727E-2</v>
      </c>
      <c r="V50" s="277">
        <f t="shared" si="2"/>
        <v>0.10250810373022921</v>
      </c>
      <c r="W50" s="277">
        <f t="shared" si="2"/>
        <v>0.32140060564134304</v>
      </c>
      <c r="X50" s="277">
        <f t="shared" si="2"/>
        <v>0.70819088008020181</v>
      </c>
      <c r="Y50" s="277">
        <f t="shared" si="2"/>
        <v>1.2865903014343147</v>
      </c>
      <c r="Z50" s="277">
        <f t="shared" si="2"/>
        <v>2.0692648651289542</v>
      </c>
      <c r="AA50" s="277">
        <f t="shared" si="2"/>
        <v>3.0602740346849182</v>
      </c>
      <c r="AB50" s="277">
        <f t="shared" si="2"/>
        <v>4.2570757029793187</v>
      </c>
      <c r="AC50" s="277">
        <f t="shared" si="2"/>
        <v>5.6521671458405169</v>
      </c>
      <c r="AD50" s="277">
        <f t="shared" si="2"/>
        <v>7.2344211823897746</v>
      </c>
      <c r="AE50" s="277">
        <f t="shared" si="2"/>
        <v>8.9901676693851371</v>
      </c>
      <c r="AF50" s="277">
        <f t="shared" si="2"/>
        <v>10.904062717666822</v>
      </c>
      <c r="AG50" s="277">
        <f t="shared" si="2"/>
        <v>12.959781431811036</v>
      </c>
      <c r="AH50" s="277">
        <f t="shared" si="2"/>
        <v>15.140564371508987</v>
      </c>
      <c r="AI50" s="277">
        <f t="shared" si="2"/>
        <v>17.4296431713258</v>
      </c>
      <c r="AJ50" s="277">
        <f t="shared" si="2"/>
        <v>19.810566711342741</v>
      </c>
      <c r="AK50" s="277">
        <f t="shared" si="2"/>
        <v>22.267445799447479</v>
      </c>
      <c r="AL50" s="277">
        <f t="shared" si="2"/>
        <v>24.785131416603353</v>
      </c>
      <c r="AM50" s="277">
        <f t="shared" si="2"/>
        <v>27.349339112214277</v>
      </c>
      <c r="AN50" s="277">
        <f t="shared" si="2"/>
        <v>29.946730051786854</v>
      </c>
      <c r="AO50" s="277">
        <f t="shared" si="2"/>
        <v>32.564957457117195</v>
      </c>
      <c r="AP50" s="277">
        <f t="shared" si="2"/>
        <v>35.192685692036868</v>
      </c>
      <c r="AQ50" s="277">
        <f t="shared" si="2"/>
        <v>37.819587993197999</v>
      </c>
      <c r="AR50" s="277">
        <f t="shared" si="2"/>
        <v>40.436327790332221</v>
      </c>
      <c r="AS50" s="277">
        <f t="shared" si="2"/>
        <v>43.034527673896086</v>
      </c>
      <c r="AT50" s="277">
        <f t="shared" si="2"/>
        <v>1.3801503036642727E-2</v>
      </c>
      <c r="AU50" s="277">
        <f t="shared" si="2"/>
        <v>0.10250810373022921</v>
      </c>
      <c r="AV50" s="277">
        <f t="shared" si="2"/>
        <v>0.32140060564134304</v>
      </c>
    </row>
    <row r="51" spans="2:48" ht="12.95" customHeight="1" x14ac:dyDescent="0.2">
      <c r="B51" s="14"/>
      <c r="C51" s="372">
        <v>4</v>
      </c>
      <c r="D51" s="372"/>
      <c r="E51" s="372"/>
      <c r="F51" s="253" t="s">
        <v>492</v>
      </c>
      <c r="G51" s="253" t="s">
        <v>395</v>
      </c>
      <c r="H51" s="277"/>
      <c r="I51" s="277"/>
      <c r="J51" s="277"/>
      <c r="K51" s="277">
        <f t="shared" ref="K51:AV51" si="3">HLOOKUP(K10,t_growth,4)</f>
        <v>17.4296431713258</v>
      </c>
      <c r="L51" s="277">
        <f t="shared" si="3"/>
        <v>19.810566711342741</v>
      </c>
      <c r="M51" s="277">
        <f t="shared" si="3"/>
        <v>22.267445799447479</v>
      </c>
      <c r="N51" s="277">
        <f t="shared" si="3"/>
        <v>24.785131416603353</v>
      </c>
      <c r="O51" s="277">
        <f t="shared" si="3"/>
        <v>27.349339112214277</v>
      </c>
      <c r="P51" s="277">
        <f t="shared" si="3"/>
        <v>29.946730051786854</v>
      </c>
      <c r="Q51" s="277">
        <f t="shared" si="3"/>
        <v>32.564957457117195</v>
      </c>
      <c r="R51" s="277">
        <f t="shared" si="3"/>
        <v>35.192685692036868</v>
      </c>
      <c r="S51" s="277">
        <f t="shared" si="3"/>
        <v>37.819587993197999</v>
      </c>
      <c r="T51" s="277">
        <f t="shared" si="3"/>
        <v>40.436327790332221</v>
      </c>
      <c r="U51" s="277">
        <f t="shared" si="3"/>
        <v>43.034527673896086</v>
      </c>
      <c r="V51" s="277">
        <f t="shared" si="3"/>
        <v>1.3801503036642727E-2</v>
      </c>
      <c r="W51" s="277">
        <f t="shared" si="3"/>
        <v>0.10250810373022921</v>
      </c>
      <c r="X51" s="277">
        <f t="shared" si="3"/>
        <v>0.32140060564134304</v>
      </c>
      <c r="Y51" s="277">
        <f t="shared" si="3"/>
        <v>0.70819088008020181</v>
      </c>
      <c r="Z51" s="277">
        <f t="shared" si="3"/>
        <v>1.2865903014343147</v>
      </c>
      <c r="AA51" s="277">
        <f t="shared" si="3"/>
        <v>2.0692648651289542</v>
      </c>
      <c r="AB51" s="277">
        <f t="shared" si="3"/>
        <v>3.0602740346849182</v>
      </c>
      <c r="AC51" s="277">
        <f t="shared" si="3"/>
        <v>4.2570757029793187</v>
      </c>
      <c r="AD51" s="277">
        <f t="shared" si="3"/>
        <v>5.6521671458405169</v>
      </c>
      <c r="AE51" s="277">
        <f t="shared" si="3"/>
        <v>7.2344211823897746</v>
      </c>
      <c r="AF51" s="277">
        <f t="shared" si="3"/>
        <v>8.9901676693851371</v>
      </c>
      <c r="AG51" s="277">
        <f t="shared" si="3"/>
        <v>10.904062717666822</v>
      </c>
      <c r="AH51" s="277">
        <f t="shared" si="3"/>
        <v>12.959781431811036</v>
      </c>
      <c r="AI51" s="277">
        <f t="shared" si="3"/>
        <v>15.140564371508987</v>
      </c>
      <c r="AJ51" s="277">
        <f t="shared" si="3"/>
        <v>17.4296431713258</v>
      </c>
      <c r="AK51" s="277">
        <f t="shared" si="3"/>
        <v>19.810566711342741</v>
      </c>
      <c r="AL51" s="277">
        <f t="shared" si="3"/>
        <v>22.267445799447479</v>
      </c>
      <c r="AM51" s="277">
        <f t="shared" si="3"/>
        <v>24.785131416603353</v>
      </c>
      <c r="AN51" s="277">
        <f t="shared" si="3"/>
        <v>27.349339112214277</v>
      </c>
      <c r="AO51" s="277">
        <f t="shared" si="3"/>
        <v>29.946730051786854</v>
      </c>
      <c r="AP51" s="277">
        <f t="shared" si="3"/>
        <v>32.564957457117195</v>
      </c>
      <c r="AQ51" s="277">
        <f t="shared" si="3"/>
        <v>35.192685692036868</v>
      </c>
      <c r="AR51" s="277">
        <f t="shared" si="3"/>
        <v>37.819587993197999</v>
      </c>
      <c r="AS51" s="277">
        <f t="shared" si="3"/>
        <v>40.436327790332221</v>
      </c>
      <c r="AT51" s="277">
        <f t="shared" si="3"/>
        <v>43.034527673896086</v>
      </c>
      <c r="AU51" s="277">
        <f t="shared" si="3"/>
        <v>1.3801503036642727E-2</v>
      </c>
      <c r="AV51" s="277">
        <f t="shared" si="3"/>
        <v>0.10250810373022921</v>
      </c>
    </row>
    <row r="52" spans="2:48" ht="12.95" customHeight="1" x14ac:dyDescent="0.2">
      <c r="B52" s="14"/>
      <c r="C52" s="372">
        <v>5</v>
      </c>
      <c r="D52" s="372"/>
      <c r="E52" s="372"/>
      <c r="F52" s="253" t="s">
        <v>492</v>
      </c>
      <c r="G52" s="253" t="s">
        <v>395</v>
      </c>
      <c r="H52" s="277"/>
      <c r="I52" s="277"/>
      <c r="J52" s="277"/>
      <c r="K52" s="277"/>
      <c r="L52" s="277">
        <f t="shared" ref="L52:AV52" si="4">HLOOKUP(L11,t_growth,4)</f>
        <v>17.4296431713258</v>
      </c>
      <c r="M52" s="277">
        <f t="shared" si="4"/>
        <v>19.810566711342741</v>
      </c>
      <c r="N52" s="277">
        <f t="shared" si="4"/>
        <v>22.267445799447479</v>
      </c>
      <c r="O52" s="277">
        <f t="shared" si="4"/>
        <v>24.785131416603353</v>
      </c>
      <c r="P52" s="277">
        <f t="shared" si="4"/>
        <v>27.349339112214277</v>
      </c>
      <c r="Q52" s="277">
        <f t="shared" si="4"/>
        <v>29.946730051786854</v>
      </c>
      <c r="R52" s="277">
        <f t="shared" si="4"/>
        <v>32.564957457117195</v>
      </c>
      <c r="S52" s="277">
        <f t="shared" si="4"/>
        <v>35.192685692036868</v>
      </c>
      <c r="T52" s="277">
        <f t="shared" si="4"/>
        <v>37.819587993197999</v>
      </c>
      <c r="U52" s="277">
        <f t="shared" si="4"/>
        <v>40.436327790332221</v>
      </c>
      <c r="V52" s="277">
        <f t="shared" si="4"/>
        <v>43.034527673896086</v>
      </c>
      <c r="W52" s="277">
        <f t="shared" si="4"/>
        <v>1.3801503036642727E-2</v>
      </c>
      <c r="X52" s="277">
        <f t="shared" si="4"/>
        <v>0.10250810373022921</v>
      </c>
      <c r="Y52" s="277">
        <f t="shared" si="4"/>
        <v>0.32140060564134304</v>
      </c>
      <c r="Z52" s="277">
        <f t="shared" si="4"/>
        <v>0.70819088008020181</v>
      </c>
      <c r="AA52" s="277">
        <f t="shared" si="4"/>
        <v>1.2865903014343147</v>
      </c>
      <c r="AB52" s="277">
        <f t="shared" si="4"/>
        <v>2.0692648651289542</v>
      </c>
      <c r="AC52" s="277">
        <f t="shared" si="4"/>
        <v>3.0602740346849182</v>
      </c>
      <c r="AD52" s="277">
        <f t="shared" si="4"/>
        <v>4.2570757029793187</v>
      </c>
      <c r="AE52" s="277">
        <f t="shared" si="4"/>
        <v>5.6521671458405169</v>
      </c>
      <c r="AF52" s="277">
        <f t="shared" si="4"/>
        <v>7.2344211823897746</v>
      </c>
      <c r="AG52" s="277">
        <f t="shared" si="4"/>
        <v>8.9901676693851371</v>
      </c>
      <c r="AH52" s="277">
        <f t="shared" si="4"/>
        <v>10.904062717666822</v>
      </c>
      <c r="AI52" s="277">
        <f t="shared" si="4"/>
        <v>12.959781431811036</v>
      </c>
      <c r="AJ52" s="277">
        <f t="shared" si="4"/>
        <v>15.140564371508987</v>
      </c>
      <c r="AK52" s="277">
        <f t="shared" si="4"/>
        <v>17.4296431713258</v>
      </c>
      <c r="AL52" s="277">
        <f t="shared" si="4"/>
        <v>19.810566711342741</v>
      </c>
      <c r="AM52" s="277">
        <f t="shared" si="4"/>
        <v>22.267445799447479</v>
      </c>
      <c r="AN52" s="277">
        <f t="shared" si="4"/>
        <v>24.785131416603353</v>
      </c>
      <c r="AO52" s="277">
        <f t="shared" si="4"/>
        <v>27.349339112214277</v>
      </c>
      <c r="AP52" s="277">
        <f t="shared" si="4"/>
        <v>29.946730051786854</v>
      </c>
      <c r="AQ52" s="277">
        <f t="shared" si="4"/>
        <v>32.564957457117195</v>
      </c>
      <c r="AR52" s="277">
        <f t="shared" si="4"/>
        <v>35.192685692036868</v>
      </c>
      <c r="AS52" s="277">
        <f t="shared" si="4"/>
        <v>37.819587993197999</v>
      </c>
      <c r="AT52" s="277">
        <f t="shared" si="4"/>
        <v>40.436327790332221</v>
      </c>
      <c r="AU52" s="277">
        <f t="shared" si="4"/>
        <v>43.034527673896086</v>
      </c>
      <c r="AV52" s="277">
        <f t="shared" si="4"/>
        <v>1.3801503036642727E-2</v>
      </c>
    </row>
    <row r="53" spans="2:48" ht="12.95" customHeight="1" x14ac:dyDescent="0.2">
      <c r="B53" s="14"/>
      <c r="C53" s="372">
        <v>6</v>
      </c>
      <c r="D53" s="372"/>
      <c r="E53" s="372"/>
      <c r="F53" s="253" t="s">
        <v>492</v>
      </c>
      <c r="G53" s="253" t="s">
        <v>395</v>
      </c>
      <c r="H53" s="277"/>
      <c r="I53" s="277"/>
      <c r="J53" s="277"/>
      <c r="K53" s="277"/>
      <c r="L53" s="277"/>
      <c r="M53" s="277">
        <f t="shared" ref="M53:AV53" si="5">HLOOKUP(M12,t_growth,4)</f>
        <v>17.4296431713258</v>
      </c>
      <c r="N53" s="277">
        <f t="shared" si="5"/>
        <v>19.810566711342741</v>
      </c>
      <c r="O53" s="277">
        <f t="shared" si="5"/>
        <v>22.267445799447479</v>
      </c>
      <c r="P53" s="277">
        <f t="shared" si="5"/>
        <v>24.785131416603353</v>
      </c>
      <c r="Q53" s="277">
        <f t="shared" si="5"/>
        <v>27.349339112214277</v>
      </c>
      <c r="R53" s="277">
        <f t="shared" si="5"/>
        <v>29.946730051786854</v>
      </c>
      <c r="S53" s="277">
        <f t="shared" si="5"/>
        <v>32.564957457117195</v>
      </c>
      <c r="T53" s="277">
        <f t="shared" si="5"/>
        <v>35.192685692036868</v>
      </c>
      <c r="U53" s="277">
        <f t="shared" si="5"/>
        <v>37.819587993197999</v>
      </c>
      <c r="V53" s="277">
        <f t="shared" si="5"/>
        <v>40.436327790332221</v>
      </c>
      <c r="W53" s="277">
        <f t="shared" si="5"/>
        <v>43.034527673896086</v>
      </c>
      <c r="X53" s="277">
        <f t="shared" si="5"/>
        <v>1.3801503036642727E-2</v>
      </c>
      <c r="Y53" s="277">
        <f t="shared" si="5"/>
        <v>0.10250810373022921</v>
      </c>
      <c r="Z53" s="277">
        <f t="shared" si="5"/>
        <v>0.32140060564134304</v>
      </c>
      <c r="AA53" s="277">
        <f t="shared" si="5"/>
        <v>0.70819088008020181</v>
      </c>
      <c r="AB53" s="277">
        <f t="shared" si="5"/>
        <v>1.2865903014343147</v>
      </c>
      <c r="AC53" s="277">
        <f t="shared" si="5"/>
        <v>2.0692648651289542</v>
      </c>
      <c r="AD53" s="277">
        <f t="shared" si="5"/>
        <v>3.0602740346849182</v>
      </c>
      <c r="AE53" s="277">
        <f t="shared" si="5"/>
        <v>4.2570757029793187</v>
      </c>
      <c r="AF53" s="277">
        <f t="shared" si="5"/>
        <v>5.6521671458405169</v>
      </c>
      <c r="AG53" s="277">
        <f t="shared" si="5"/>
        <v>7.2344211823897746</v>
      </c>
      <c r="AH53" s="277">
        <f t="shared" si="5"/>
        <v>8.9901676693851371</v>
      </c>
      <c r="AI53" s="277">
        <f t="shared" si="5"/>
        <v>10.904062717666822</v>
      </c>
      <c r="AJ53" s="277">
        <f t="shared" si="5"/>
        <v>12.959781431811036</v>
      </c>
      <c r="AK53" s="277">
        <f t="shared" si="5"/>
        <v>15.140564371508987</v>
      </c>
      <c r="AL53" s="277">
        <f t="shared" si="5"/>
        <v>17.4296431713258</v>
      </c>
      <c r="AM53" s="277">
        <f t="shared" si="5"/>
        <v>19.810566711342741</v>
      </c>
      <c r="AN53" s="277">
        <f t="shared" si="5"/>
        <v>22.267445799447479</v>
      </c>
      <c r="AO53" s="277">
        <f t="shared" si="5"/>
        <v>24.785131416603353</v>
      </c>
      <c r="AP53" s="277">
        <f t="shared" si="5"/>
        <v>27.349339112214277</v>
      </c>
      <c r="AQ53" s="277">
        <f t="shared" si="5"/>
        <v>29.946730051786854</v>
      </c>
      <c r="AR53" s="277">
        <f t="shared" si="5"/>
        <v>32.564957457117195</v>
      </c>
      <c r="AS53" s="277">
        <f t="shared" si="5"/>
        <v>35.192685692036868</v>
      </c>
      <c r="AT53" s="277">
        <f t="shared" si="5"/>
        <v>37.819587993197999</v>
      </c>
      <c r="AU53" s="277">
        <f t="shared" si="5"/>
        <v>40.436327790332221</v>
      </c>
      <c r="AV53" s="277">
        <f t="shared" si="5"/>
        <v>43.034527673896086</v>
      </c>
    </row>
    <row r="54" spans="2:48" ht="12.95" customHeight="1" x14ac:dyDescent="0.2">
      <c r="B54" s="14"/>
      <c r="C54" s="372">
        <v>7</v>
      </c>
      <c r="D54" s="372"/>
      <c r="E54" s="372"/>
      <c r="F54" s="253" t="s">
        <v>492</v>
      </c>
      <c r="G54" s="253" t="s">
        <v>395</v>
      </c>
      <c r="H54" s="277"/>
      <c r="I54" s="277"/>
      <c r="J54" s="277"/>
      <c r="K54" s="277"/>
      <c r="L54" s="277"/>
      <c r="M54" s="277"/>
      <c r="N54" s="277">
        <f t="shared" ref="N54:AV54" si="6">HLOOKUP(N13,t_growth,4)</f>
        <v>17.4296431713258</v>
      </c>
      <c r="O54" s="277">
        <f t="shared" si="6"/>
        <v>19.810566711342741</v>
      </c>
      <c r="P54" s="277">
        <f t="shared" si="6"/>
        <v>22.267445799447479</v>
      </c>
      <c r="Q54" s="277">
        <f t="shared" si="6"/>
        <v>24.785131416603353</v>
      </c>
      <c r="R54" s="277">
        <f t="shared" si="6"/>
        <v>27.349339112214277</v>
      </c>
      <c r="S54" s="277">
        <f t="shared" si="6"/>
        <v>29.946730051786854</v>
      </c>
      <c r="T54" s="277">
        <f t="shared" si="6"/>
        <v>32.564957457117195</v>
      </c>
      <c r="U54" s="277">
        <f t="shared" si="6"/>
        <v>35.192685692036868</v>
      </c>
      <c r="V54" s="277">
        <f t="shared" si="6"/>
        <v>37.819587993197999</v>
      </c>
      <c r="W54" s="277">
        <f t="shared" si="6"/>
        <v>40.436327790332221</v>
      </c>
      <c r="X54" s="277">
        <f t="shared" si="6"/>
        <v>43.034527673896086</v>
      </c>
      <c r="Y54" s="277">
        <f t="shared" si="6"/>
        <v>1.3801503036642727E-2</v>
      </c>
      <c r="Z54" s="277">
        <f t="shared" si="6"/>
        <v>0.10250810373022921</v>
      </c>
      <c r="AA54" s="277">
        <f t="shared" si="6"/>
        <v>0.32140060564134304</v>
      </c>
      <c r="AB54" s="277">
        <f t="shared" si="6"/>
        <v>0.70819088008020181</v>
      </c>
      <c r="AC54" s="277">
        <f t="shared" si="6"/>
        <v>1.2865903014343147</v>
      </c>
      <c r="AD54" s="277">
        <f t="shared" si="6"/>
        <v>2.0692648651289542</v>
      </c>
      <c r="AE54" s="277">
        <f t="shared" si="6"/>
        <v>3.0602740346849182</v>
      </c>
      <c r="AF54" s="277">
        <f t="shared" si="6"/>
        <v>4.2570757029793187</v>
      </c>
      <c r="AG54" s="277">
        <f t="shared" si="6"/>
        <v>5.6521671458405169</v>
      </c>
      <c r="AH54" s="277">
        <f t="shared" si="6"/>
        <v>7.2344211823897746</v>
      </c>
      <c r="AI54" s="277">
        <f t="shared" si="6"/>
        <v>8.9901676693851371</v>
      </c>
      <c r="AJ54" s="277">
        <f t="shared" si="6"/>
        <v>10.904062717666822</v>
      </c>
      <c r="AK54" s="277">
        <f t="shared" si="6"/>
        <v>12.959781431811036</v>
      </c>
      <c r="AL54" s="277">
        <f t="shared" si="6"/>
        <v>15.140564371508987</v>
      </c>
      <c r="AM54" s="277">
        <f t="shared" si="6"/>
        <v>17.4296431713258</v>
      </c>
      <c r="AN54" s="277">
        <f t="shared" si="6"/>
        <v>19.810566711342741</v>
      </c>
      <c r="AO54" s="277">
        <f t="shared" si="6"/>
        <v>22.267445799447479</v>
      </c>
      <c r="AP54" s="277">
        <f t="shared" si="6"/>
        <v>24.785131416603353</v>
      </c>
      <c r="AQ54" s="277">
        <f t="shared" si="6"/>
        <v>27.349339112214277</v>
      </c>
      <c r="AR54" s="277">
        <f t="shared" si="6"/>
        <v>29.946730051786854</v>
      </c>
      <c r="AS54" s="277">
        <f t="shared" si="6"/>
        <v>32.564957457117195</v>
      </c>
      <c r="AT54" s="277">
        <f t="shared" si="6"/>
        <v>35.192685692036868</v>
      </c>
      <c r="AU54" s="277">
        <f t="shared" si="6"/>
        <v>37.819587993197999</v>
      </c>
      <c r="AV54" s="277">
        <f t="shared" si="6"/>
        <v>40.436327790332221</v>
      </c>
    </row>
    <row r="55" spans="2:48" ht="12.95" customHeight="1" x14ac:dyDescent="0.2">
      <c r="B55" s="14"/>
      <c r="C55" s="372">
        <v>8</v>
      </c>
      <c r="D55" s="372"/>
      <c r="E55" s="372"/>
      <c r="F55" s="253" t="s">
        <v>492</v>
      </c>
      <c r="G55" s="253" t="s">
        <v>395</v>
      </c>
      <c r="H55" s="277"/>
      <c r="I55" s="277"/>
      <c r="J55" s="277"/>
      <c r="K55" s="277"/>
      <c r="L55" s="277"/>
      <c r="M55" s="277"/>
      <c r="N55" s="277"/>
      <c r="O55" s="277">
        <f t="shared" ref="O55:AV55" si="7">HLOOKUP(O14,t_growth,4)</f>
        <v>17.4296431713258</v>
      </c>
      <c r="P55" s="277">
        <f t="shared" si="7"/>
        <v>19.810566711342741</v>
      </c>
      <c r="Q55" s="277">
        <f t="shared" si="7"/>
        <v>22.267445799447479</v>
      </c>
      <c r="R55" s="277">
        <f t="shared" si="7"/>
        <v>24.785131416603353</v>
      </c>
      <c r="S55" s="277">
        <f t="shared" si="7"/>
        <v>27.349339112214277</v>
      </c>
      <c r="T55" s="277">
        <f t="shared" si="7"/>
        <v>29.946730051786854</v>
      </c>
      <c r="U55" s="277">
        <f t="shared" si="7"/>
        <v>32.564957457117195</v>
      </c>
      <c r="V55" s="277">
        <f t="shared" si="7"/>
        <v>35.192685692036868</v>
      </c>
      <c r="W55" s="277">
        <f t="shared" si="7"/>
        <v>37.819587993197999</v>
      </c>
      <c r="X55" s="277">
        <f t="shared" si="7"/>
        <v>40.436327790332221</v>
      </c>
      <c r="Y55" s="277">
        <f t="shared" si="7"/>
        <v>43.034527673896086</v>
      </c>
      <c r="Z55" s="277">
        <f t="shared" si="7"/>
        <v>1.3801503036642727E-2</v>
      </c>
      <c r="AA55" s="277">
        <f t="shared" si="7"/>
        <v>0.10250810373022921</v>
      </c>
      <c r="AB55" s="277">
        <f t="shared" si="7"/>
        <v>0.32140060564134304</v>
      </c>
      <c r="AC55" s="277">
        <f t="shared" si="7"/>
        <v>0.70819088008020181</v>
      </c>
      <c r="AD55" s="277">
        <f t="shared" si="7"/>
        <v>1.2865903014343147</v>
      </c>
      <c r="AE55" s="277">
        <f t="shared" si="7"/>
        <v>2.0692648651289542</v>
      </c>
      <c r="AF55" s="277">
        <f t="shared" si="7"/>
        <v>3.0602740346849182</v>
      </c>
      <c r="AG55" s="277">
        <f t="shared" si="7"/>
        <v>4.2570757029793187</v>
      </c>
      <c r="AH55" s="277">
        <f t="shared" si="7"/>
        <v>5.6521671458405169</v>
      </c>
      <c r="AI55" s="277">
        <f t="shared" si="7"/>
        <v>7.2344211823897746</v>
      </c>
      <c r="AJ55" s="277">
        <f t="shared" si="7"/>
        <v>8.9901676693851371</v>
      </c>
      <c r="AK55" s="277">
        <f t="shared" si="7"/>
        <v>10.904062717666822</v>
      </c>
      <c r="AL55" s="277">
        <f t="shared" si="7"/>
        <v>12.959781431811036</v>
      </c>
      <c r="AM55" s="277">
        <f t="shared" si="7"/>
        <v>15.140564371508987</v>
      </c>
      <c r="AN55" s="277">
        <f t="shared" si="7"/>
        <v>17.4296431713258</v>
      </c>
      <c r="AO55" s="277">
        <f t="shared" si="7"/>
        <v>19.810566711342741</v>
      </c>
      <c r="AP55" s="277">
        <f t="shared" si="7"/>
        <v>22.267445799447479</v>
      </c>
      <c r="AQ55" s="277">
        <f t="shared" si="7"/>
        <v>24.785131416603353</v>
      </c>
      <c r="AR55" s="277">
        <f t="shared" si="7"/>
        <v>27.349339112214277</v>
      </c>
      <c r="AS55" s="277">
        <f t="shared" si="7"/>
        <v>29.946730051786854</v>
      </c>
      <c r="AT55" s="277">
        <f t="shared" si="7"/>
        <v>32.564957457117195</v>
      </c>
      <c r="AU55" s="277">
        <f t="shared" si="7"/>
        <v>35.192685692036868</v>
      </c>
      <c r="AV55" s="277">
        <f t="shared" si="7"/>
        <v>37.819587993197999</v>
      </c>
    </row>
    <row r="56" spans="2:48" ht="12.95" customHeight="1" x14ac:dyDescent="0.2">
      <c r="B56" s="14"/>
      <c r="C56" s="372">
        <v>9</v>
      </c>
      <c r="D56" s="372"/>
      <c r="E56" s="372"/>
      <c r="F56" s="253" t="s">
        <v>492</v>
      </c>
      <c r="G56" s="253" t="s">
        <v>395</v>
      </c>
      <c r="H56" s="277"/>
      <c r="I56" s="277"/>
      <c r="J56" s="277"/>
      <c r="K56" s="277"/>
      <c r="L56" s="277"/>
      <c r="M56" s="277"/>
      <c r="N56" s="277"/>
      <c r="O56" s="277"/>
      <c r="P56" s="277">
        <f t="shared" ref="P56:AV56" si="8">HLOOKUP(P15,t_growth,4)</f>
        <v>17.4296431713258</v>
      </c>
      <c r="Q56" s="277">
        <f t="shared" si="8"/>
        <v>19.810566711342741</v>
      </c>
      <c r="R56" s="277">
        <f t="shared" si="8"/>
        <v>22.267445799447479</v>
      </c>
      <c r="S56" s="277">
        <f t="shared" si="8"/>
        <v>24.785131416603353</v>
      </c>
      <c r="T56" s="277">
        <f t="shared" si="8"/>
        <v>27.349339112214277</v>
      </c>
      <c r="U56" s="277">
        <f t="shared" si="8"/>
        <v>29.946730051786854</v>
      </c>
      <c r="V56" s="277">
        <f t="shared" si="8"/>
        <v>32.564957457117195</v>
      </c>
      <c r="W56" s="277">
        <f t="shared" si="8"/>
        <v>35.192685692036868</v>
      </c>
      <c r="X56" s="277">
        <f t="shared" si="8"/>
        <v>37.819587993197999</v>
      </c>
      <c r="Y56" s="277">
        <f t="shared" si="8"/>
        <v>40.436327790332221</v>
      </c>
      <c r="Z56" s="277">
        <f t="shared" si="8"/>
        <v>43.034527673896086</v>
      </c>
      <c r="AA56" s="277">
        <f t="shared" si="8"/>
        <v>1.3801503036642727E-2</v>
      </c>
      <c r="AB56" s="277">
        <f t="shared" si="8"/>
        <v>0.10250810373022921</v>
      </c>
      <c r="AC56" s="277">
        <f t="shared" si="8"/>
        <v>0.32140060564134304</v>
      </c>
      <c r="AD56" s="277">
        <f t="shared" si="8"/>
        <v>0.70819088008020181</v>
      </c>
      <c r="AE56" s="277">
        <f t="shared" si="8"/>
        <v>1.2865903014343147</v>
      </c>
      <c r="AF56" s="277">
        <f t="shared" si="8"/>
        <v>2.0692648651289542</v>
      </c>
      <c r="AG56" s="277">
        <f t="shared" si="8"/>
        <v>3.0602740346849182</v>
      </c>
      <c r="AH56" s="277">
        <f t="shared" si="8"/>
        <v>4.2570757029793187</v>
      </c>
      <c r="AI56" s="277">
        <f t="shared" si="8"/>
        <v>5.6521671458405169</v>
      </c>
      <c r="AJ56" s="277">
        <f t="shared" si="8"/>
        <v>7.2344211823897746</v>
      </c>
      <c r="AK56" s="277">
        <f t="shared" si="8"/>
        <v>8.9901676693851371</v>
      </c>
      <c r="AL56" s="277">
        <f t="shared" si="8"/>
        <v>10.904062717666822</v>
      </c>
      <c r="AM56" s="277">
        <f t="shared" si="8"/>
        <v>12.959781431811036</v>
      </c>
      <c r="AN56" s="277">
        <f t="shared" si="8"/>
        <v>15.140564371508987</v>
      </c>
      <c r="AO56" s="277">
        <f t="shared" si="8"/>
        <v>17.4296431713258</v>
      </c>
      <c r="AP56" s="277">
        <f t="shared" si="8"/>
        <v>19.810566711342741</v>
      </c>
      <c r="AQ56" s="277">
        <f t="shared" si="8"/>
        <v>22.267445799447479</v>
      </c>
      <c r="AR56" s="277">
        <f t="shared" si="8"/>
        <v>24.785131416603353</v>
      </c>
      <c r="AS56" s="277">
        <f t="shared" si="8"/>
        <v>27.349339112214277</v>
      </c>
      <c r="AT56" s="277">
        <f t="shared" si="8"/>
        <v>29.946730051786854</v>
      </c>
      <c r="AU56" s="277">
        <f t="shared" si="8"/>
        <v>32.564957457117195</v>
      </c>
      <c r="AV56" s="277">
        <f t="shared" si="8"/>
        <v>35.192685692036868</v>
      </c>
    </row>
    <row r="57" spans="2:48" ht="12.95" customHeight="1" x14ac:dyDescent="0.2">
      <c r="B57" s="14"/>
      <c r="C57" s="372">
        <v>10</v>
      </c>
      <c r="D57" s="372"/>
      <c r="E57" s="372"/>
      <c r="F57" s="253" t="s">
        <v>492</v>
      </c>
      <c r="G57" s="253" t="s">
        <v>395</v>
      </c>
      <c r="H57" s="277"/>
      <c r="I57" s="277"/>
      <c r="J57" s="277"/>
      <c r="K57" s="277"/>
      <c r="L57" s="277"/>
      <c r="M57" s="277"/>
      <c r="N57" s="277"/>
      <c r="O57" s="277"/>
      <c r="P57" s="277"/>
      <c r="Q57" s="277">
        <f t="shared" ref="Q57:AV57" si="9">HLOOKUP(Q16,t_growth,4)</f>
        <v>17.4296431713258</v>
      </c>
      <c r="R57" s="277">
        <f t="shared" si="9"/>
        <v>19.810566711342741</v>
      </c>
      <c r="S57" s="277">
        <f t="shared" si="9"/>
        <v>22.267445799447479</v>
      </c>
      <c r="T57" s="277">
        <f t="shared" si="9"/>
        <v>24.785131416603353</v>
      </c>
      <c r="U57" s="277">
        <f t="shared" si="9"/>
        <v>27.349339112214277</v>
      </c>
      <c r="V57" s="277">
        <f t="shared" si="9"/>
        <v>29.946730051786854</v>
      </c>
      <c r="W57" s="277">
        <f t="shared" si="9"/>
        <v>32.564957457117195</v>
      </c>
      <c r="X57" s="277">
        <f t="shared" si="9"/>
        <v>35.192685692036868</v>
      </c>
      <c r="Y57" s="277">
        <f t="shared" si="9"/>
        <v>37.819587993197999</v>
      </c>
      <c r="Z57" s="277">
        <f t="shared" si="9"/>
        <v>40.436327790332221</v>
      </c>
      <c r="AA57" s="277">
        <f t="shared" si="9"/>
        <v>43.034527673896086</v>
      </c>
      <c r="AB57" s="277">
        <f t="shared" si="9"/>
        <v>1.3801503036642727E-2</v>
      </c>
      <c r="AC57" s="277">
        <f t="shared" si="9"/>
        <v>0.10250810373022921</v>
      </c>
      <c r="AD57" s="277">
        <f t="shared" si="9"/>
        <v>0.32140060564134304</v>
      </c>
      <c r="AE57" s="277">
        <f t="shared" si="9"/>
        <v>0.70819088008020181</v>
      </c>
      <c r="AF57" s="277">
        <f t="shared" si="9"/>
        <v>1.2865903014343147</v>
      </c>
      <c r="AG57" s="277">
        <f t="shared" si="9"/>
        <v>2.0692648651289542</v>
      </c>
      <c r="AH57" s="277">
        <f t="shared" si="9"/>
        <v>3.0602740346849182</v>
      </c>
      <c r="AI57" s="277">
        <f t="shared" si="9"/>
        <v>4.2570757029793187</v>
      </c>
      <c r="AJ57" s="277">
        <f t="shared" si="9"/>
        <v>5.6521671458405169</v>
      </c>
      <c r="AK57" s="277">
        <f t="shared" si="9"/>
        <v>7.2344211823897746</v>
      </c>
      <c r="AL57" s="277">
        <f t="shared" si="9"/>
        <v>8.9901676693851371</v>
      </c>
      <c r="AM57" s="277">
        <f t="shared" si="9"/>
        <v>10.904062717666822</v>
      </c>
      <c r="AN57" s="277">
        <f t="shared" si="9"/>
        <v>12.959781431811036</v>
      </c>
      <c r="AO57" s="277">
        <f t="shared" si="9"/>
        <v>15.140564371508987</v>
      </c>
      <c r="AP57" s="277">
        <f t="shared" si="9"/>
        <v>17.4296431713258</v>
      </c>
      <c r="AQ57" s="277">
        <f t="shared" si="9"/>
        <v>19.810566711342741</v>
      </c>
      <c r="AR57" s="277">
        <f t="shared" si="9"/>
        <v>22.267445799447479</v>
      </c>
      <c r="AS57" s="277">
        <f t="shared" si="9"/>
        <v>24.785131416603353</v>
      </c>
      <c r="AT57" s="277">
        <f t="shared" si="9"/>
        <v>27.349339112214277</v>
      </c>
      <c r="AU57" s="277">
        <f t="shared" si="9"/>
        <v>29.946730051786854</v>
      </c>
      <c r="AV57" s="277">
        <f t="shared" si="9"/>
        <v>32.564957457117195</v>
      </c>
    </row>
    <row r="58" spans="2:48" ht="12.95" customHeight="1" x14ac:dyDescent="0.2">
      <c r="B58" s="14"/>
      <c r="C58" s="372">
        <v>11</v>
      </c>
      <c r="D58" s="372"/>
      <c r="E58" s="372"/>
      <c r="F58" s="253" t="s">
        <v>492</v>
      </c>
      <c r="G58" s="253" t="s">
        <v>395</v>
      </c>
      <c r="H58" s="277"/>
      <c r="I58" s="277"/>
      <c r="J58" s="277"/>
      <c r="K58" s="277"/>
      <c r="L58" s="277"/>
      <c r="M58" s="277"/>
      <c r="N58" s="277"/>
      <c r="O58" s="277"/>
      <c r="P58" s="277"/>
      <c r="Q58" s="277"/>
      <c r="R58" s="277">
        <f t="shared" ref="R58:AV58" si="10">HLOOKUP(R17,t_growth,4)</f>
        <v>17.4296431713258</v>
      </c>
      <c r="S58" s="277">
        <f t="shared" si="10"/>
        <v>19.810566711342741</v>
      </c>
      <c r="T58" s="277">
        <f t="shared" si="10"/>
        <v>22.267445799447479</v>
      </c>
      <c r="U58" s="277">
        <f t="shared" si="10"/>
        <v>24.785131416603353</v>
      </c>
      <c r="V58" s="277">
        <f t="shared" si="10"/>
        <v>27.349339112214277</v>
      </c>
      <c r="W58" s="277">
        <f t="shared" si="10"/>
        <v>29.946730051786854</v>
      </c>
      <c r="X58" s="277">
        <f t="shared" si="10"/>
        <v>32.564957457117195</v>
      </c>
      <c r="Y58" s="277">
        <f t="shared" si="10"/>
        <v>35.192685692036868</v>
      </c>
      <c r="Z58" s="277">
        <f t="shared" si="10"/>
        <v>37.819587993197999</v>
      </c>
      <c r="AA58" s="277">
        <f t="shared" si="10"/>
        <v>40.436327790332221</v>
      </c>
      <c r="AB58" s="277">
        <f t="shared" si="10"/>
        <v>43.034527673896086</v>
      </c>
      <c r="AC58" s="277">
        <f t="shared" si="10"/>
        <v>1.3801503036642727E-2</v>
      </c>
      <c r="AD58" s="277">
        <f t="shared" si="10"/>
        <v>0.10250810373022921</v>
      </c>
      <c r="AE58" s="277">
        <f t="shared" si="10"/>
        <v>0.32140060564134304</v>
      </c>
      <c r="AF58" s="277">
        <f t="shared" si="10"/>
        <v>0.70819088008020181</v>
      </c>
      <c r="AG58" s="277">
        <f t="shared" si="10"/>
        <v>1.2865903014343147</v>
      </c>
      <c r="AH58" s="277">
        <f t="shared" si="10"/>
        <v>2.0692648651289542</v>
      </c>
      <c r="AI58" s="277">
        <f t="shared" si="10"/>
        <v>3.0602740346849182</v>
      </c>
      <c r="AJ58" s="277">
        <f t="shared" si="10"/>
        <v>4.2570757029793187</v>
      </c>
      <c r="AK58" s="277">
        <f t="shared" si="10"/>
        <v>5.6521671458405169</v>
      </c>
      <c r="AL58" s="277">
        <f t="shared" si="10"/>
        <v>7.2344211823897746</v>
      </c>
      <c r="AM58" s="277">
        <f t="shared" si="10"/>
        <v>8.9901676693851371</v>
      </c>
      <c r="AN58" s="277">
        <f t="shared" si="10"/>
        <v>10.904062717666822</v>
      </c>
      <c r="AO58" s="277">
        <f t="shared" si="10"/>
        <v>12.959781431811036</v>
      </c>
      <c r="AP58" s="277">
        <f t="shared" si="10"/>
        <v>15.140564371508987</v>
      </c>
      <c r="AQ58" s="277">
        <f t="shared" si="10"/>
        <v>17.4296431713258</v>
      </c>
      <c r="AR58" s="277">
        <f t="shared" si="10"/>
        <v>19.810566711342741</v>
      </c>
      <c r="AS58" s="277">
        <f t="shared" si="10"/>
        <v>22.267445799447479</v>
      </c>
      <c r="AT58" s="277">
        <f t="shared" si="10"/>
        <v>24.785131416603353</v>
      </c>
      <c r="AU58" s="277">
        <f t="shared" si="10"/>
        <v>27.349339112214277</v>
      </c>
      <c r="AV58" s="277">
        <f t="shared" si="10"/>
        <v>29.946730051786854</v>
      </c>
    </row>
    <row r="59" spans="2:48" ht="12.95" customHeight="1" x14ac:dyDescent="0.2">
      <c r="B59" s="14"/>
      <c r="C59" s="372">
        <v>12</v>
      </c>
      <c r="D59" s="372"/>
      <c r="E59" s="372"/>
      <c r="F59" s="253" t="s">
        <v>492</v>
      </c>
      <c r="G59" s="253" t="s">
        <v>395</v>
      </c>
      <c r="H59" s="277"/>
      <c r="I59" s="277"/>
      <c r="J59" s="277"/>
      <c r="K59" s="277"/>
      <c r="L59" s="277"/>
      <c r="M59" s="277"/>
      <c r="N59" s="277"/>
      <c r="O59" s="277"/>
      <c r="P59" s="277"/>
      <c r="Q59" s="277"/>
      <c r="R59" s="277"/>
      <c r="S59" s="277">
        <f t="shared" ref="S59:AV59" si="11">HLOOKUP(S18,t_growth,4)</f>
        <v>17.4296431713258</v>
      </c>
      <c r="T59" s="277">
        <f t="shared" si="11"/>
        <v>19.810566711342741</v>
      </c>
      <c r="U59" s="277">
        <f t="shared" si="11"/>
        <v>22.267445799447479</v>
      </c>
      <c r="V59" s="277">
        <f t="shared" si="11"/>
        <v>24.785131416603353</v>
      </c>
      <c r="W59" s="277">
        <f t="shared" si="11"/>
        <v>27.349339112214277</v>
      </c>
      <c r="X59" s="277">
        <f t="shared" si="11"/>
        <v>29.946730051786854</v>
      </c>
      <c r="Y59" s="277">
        <f t="shared" si="11"/>
        <v>32.564957457117195</v>
      </c>
      <c r="Z59" s="277">
        <f t="shared" si="11"/>
        <v>35.192685692036868</v>
      </c>
      <c r="AA59" s="277">
        <f t="shared" si="11"/>
        <v>37.819587993197999</v>
      </c>
      <c r="AB59" s="277">
        <f t="shared" si="11"/>
        <v>40.436327790332221</v>
      </c>
      <c r="AC59" s="277">
        <f t="shared" si="11"/>
        <v>43.034527673896086</v>
      </c>
      <c r="AD59" s="277">
        <f t="shared" si="11"/>
        <v>1.3801503036642727E-2</v>
      </c>
      <c r="AE59" s="277">
        <f t="shared" si="11"/>
        <v>0.10250810373022921</v>
      </c>
      <c r="AF59" s="277">
        <f t="shared" si="11"/>
        <v>0.32140060564134304</v>
      </c>
      <c r="AG59" s="277">
        <f t="shared" si="11"/>
        <v>0.70819088008020181</v>
      </c>
      <c r="AH59" s="277">
        <f t="shared" si="11"/>
        <v>1.2865903014343147</v>
      </c>
      <c r="AI59" s="277">
        <f t="shared" si="11"/>
        <v>2.0692648651289542</v>
      </c>
      <c r="AJ59" s="277">
        <f t="shared" si="11"/>
        <v>3.0602740346849182</v>
      </c>
      <c r="AK59" s="277">
        <f t="shared" si="11"/>
        <v>4.2570757029793187</v>
      </c>
      <c r="AL59" s="277">
        <f t="shared" si="11"/>
        <v>5.6521671458405169</v>
      </c>
      <c r="AM59" s="277">
        <f t="shared" si="11"/>
        <v>7.2344211823897746</v>
      </c>
      <c r="AN59" s="277">
        <f t="shared" si="11"/>
        <v>8.9901676693851371</v>
      </c>
      <c r="AO59" s="277">
        <f t="shared" si="11"/>
        <v>10.904062717666822</v>
      </c>
      <c r="AP59" s="277">
        <f t="shared" si="11"/>
        <v>12.959781431811036</v>
      </c>
      <c r="AQ59" s="277">
        <f t="shared" si="11"/>
        <v>15.140564371508987</v>
      </c>
      <c r="AR59" s="277">
        <f t="shared" si="11"/>
        <v>17.4296431713258</v>
      </c>
      <c r="AS59" s="277">
        <f t="shared" si="11"/>
        <v>19.810566711342741</v>
      </c>
      <c r="AT59" s="277">
        <f t="shared" si="11"/>
        <v>22.267445799447479</v>
      </c>
      <c r="AU59" s="277">
        <f t="shared" si="11"/>
        <v>24.785131416603353</v>
      </c>
      <c r="AV59" s="277">
        <f t="shared" si="11"/>
        <v>27.349339112214277</v>
      </c>
    </row>
    <row r="60" spans="2:48" ht="12.95" customHeight="1" x14ac:dyDescent="0.2">
      <c r="B60" s="14"/>
      <c r="C60" s="372">
        <v>13</v>
      </c>
      <c r="D60" s="372"/>
      <c r="E60" s="372"/>
      <c r="F60" s="253" t="s">
        <v>492</v>
      </c>
      <c r="G60" s="253" t="s">
        <v>395</v>
      </c>
      <c r="H60" s="277"/>
      <c r="I60" s="277"/>
      <c r="J60" s="277"/>
      <c r="K60" s="277"/>
      <c r="L60" s="277"/>
      <c r="M60" s="277"/>
      <c r="N60" s="277"/>
      <c r="O60" s="277"/>
      <c r="P60" s="277"/>
      <c r="Q60" s="277"/>
      <c r="R60" s="277"/>
      <c r="S60" s="277"/>
      <c r="T60" s="277">
        <f t="shared" ref="T60:AV60" si="12">HLOOKUP(T19,t_growth,4)</f>
        <v>17.4296431713258</v>
      </c>
      <c r="U60" s="277">
        <f t="shared" si="12"/>
        <v>19.810566711342741</v>
      </c>
      <c r="V60" s="277">
        <f t="shared" si="12"/>
        <v>22.267445799447479</v>
      </c>
      <c r="W60" s="277">
        <f t="shared" si="12"/>
        <v>24.785131416603353</v>
      </c>
      <c r="X60" s="277">
        <f t="shared" si="12"/>
        <v>27.349339112214277</v>
      </c>
      <c r="Y60" s="277">
        <f t="shared" si="12"/>
        <v>29.946730051786854</v>
      </c>
      <c r="Z60" s="277">
        <f t="shared" si="12"/>
        <v>32.564957457117195</v>
      </c>
      <c r="AA60" s="277">
        <f t="shared" si="12"/>
        <v>35.192685692036868</v>
      </c>
      <c r="AB60" s="277">
        <f t="shared" si="12"/>
        <v>37.819587993197999</v>
      </c>
      <c r="AC60" s="277">
        <f t="shared" si="12"/>
        <v>40.436327790332221</v>
      </c>
      <c r="AD60" s="277">
        <f t="shared" si="12"/>
        <v>43.034527673896086</v>
      </c>
      <c r="AE60" s="277">
        <f t="shared" si="12"/>
        <v>1.3801503036642727E-2</v>
      </c>
      <c r="AF60" s="277">
        <f t="shared" si="12"/>
        <v>0.10250810373022921</v>
      </c>
      <c r="AG60" s="277">
        <f t="shared" si="12"/>
        <v>0.32140060564134304</v>
      </c>
      <c r="AH60" s="277">
        <f t="shared" si="12"/>
        <v>0.70819088008020181</v>
      </c>
      <c r="AI60" s="277">
        <f t="shared" si="12"/>
        <v>1.2865903014343147</v>
      </c>
      <c r="AJ60" s="277">
        <f t="shared" si="12"/>
        <v>2.0692648651289542</v>
      </c>
      <c r="AK60" s="277">
        <f t="shared" si="12"/>
        <v>3.0602740346849182</v>
      </c>
      <c r="AL60" s="277">
        <f t="shared" si="12"/>
        <v>4.2570757029793187</v>
      </c>
      <c r="AM60" s="277">
        <f t="shared" si="12"/>
        <v>5.6521671458405169</v>
      </c>
      <c r="AN60" s="277">
        <f t="shared" si="12"/>
        <v>7.2344211823897746</v>
      </c>
      <c r="AO60" s="277">
        <f t="shared" si="12"/>
        <v>8.9901676693851371</v>
      </c>
      <c r="AP60" s="277">
        <f t="shared" si="12"/>
        <v>10.904062717666822</v>
      </c>
      <c r="AQ60" s="277">
        <f t="shared" si="12"/>
        <v>12.959781431811036</v>
      </c>
      <c r="AR60" s="277">
        <f t="shared" si="12"/>
        <v>15.140564371508987</v>
      </c>
      <c r="AS60" s="277">
        <f t="shared" si="12"/>
        <v>17.4296431713258</v>
      </c>
      <c r="AT60" s="277">
        <f t="shared" si="12"/>
        <v>19.810566711342741</v>
      </c>
      <c r="AU60" s="277">
        <f t="shared" si="12"/>
        <v>22.267445799447479</v>
      </c>
      <c r="AV60" s="277">
        <f t="shared" si="12"/>
        <v>24.785131416603353</v>
      </c>
    </row>
    <row r="61" spans="2:48" ht="12.95" customHeight="1" x14ac:dyDescent="0.2">
      <c r="B61" s="14"/>
      <c r="C61" s="372">
        <v>14</v>
      </c>
      <c r="D61" s="372"/>
      <c r="E61" s="372"/>
      <c r="F61" s="253" t="s">
        <v>492</v>
      </c>
      <c r="G61" s="253" t="s">
        <v>395</v>
      </c>
      <c r="H61" s="277"/>
      <c r="I61" s="277"/>
      <c r="J61" s="277"/>
      <c r="K61" s="277"/>
      <c r="L61" s="277"/>
      <c r="M61" s="277"/>
      <c r="N61" s="277"/>
      <c r="O61" s="277"/>
      <c r="P61" s="277"/>
      <c r="Q61" s="277"/>
      <c r="R61" s="277"/>
      <c r="S61" s="277"/>
      <c r="T61" s="277"/>
      <c r="U61" s="277">
        <f t="shared" ref="U61:AV61" si="13">HLOOKUP(U20,t_growth,4)</f>
        <v>17.4296431713258</v>
      </c>
      <c r="V61" s="277">
        <f t="shared" si="13"/>
        <v>19.810566711342741</v>
      </c>
      <c r="W61" s="277">
        <f t="shared" si="13"/>
        <v>22.267445799447479</v>
      </c>
      <c r="X61" s="277">
        <f t="shared" si="13"/>
        <v>24.785131416603353</v>
      </c>
      <c r="Y61" s="277">
        <f t="shared" si="13"/>
        <v>27.349339112214277</v>
      </c>
      <c r="Z61" s="277">
        <f t="shared" si="13"/>
        <v>29.946730051786854</v>
      </c>
      <c r="AA61" s="277">
        <f t="shared" si="13"/>
        <v>32.564957457117195</v>
      </c>
      <c r="AB61" s="277">
        <f t="shared" si="13"/>
        <v>35.192685692036868</v>
      </c>
      <c r="AC61" s="277">
        <f t="shared" si="13"/>
        <v>37.819587993197999</v>
      </c>
      <c r="AD61" s="277">
        <f t="shared" si="13"/>
        <v>40.436327790332221</v>
      </c>
      <c r="AE61" s="277">
        <f t="shared" si="13"/>
        <v>43.034527673896086</v>
      </c>
      <c r="AF61" s="277">
        <f t="shared" si="13"/>
        <v>1.3801503036642727E-2</v>
      </c>
      <c r="AG61" s="277">
        <f t="shared" si="13"/>
        <v>0.10250810373022921</v>
      </c>
      <c r="AH61" s="277">
        <f t="shared" si="13"/>
        <v>0.32140060564134304</v>
      </c>
      <c r="AI61" s="277">
        <f t="shared" si="13"/>
        <v>0.70819088008020181</v>
      </c>
      <c r="AJ61" s="277">
        <f t="shared" si="13"/>
        <v>1.2865903014343147</v>
      </c>
      <c r="AK61" s="277">
        <f t="shared" si="13"/>
        <v>2.0692648651289542</v>
      </c>
      <c r="AL61" s="277">
        <f t="shared" si="13"/>
        <v>3.0602740346849182</v>
      </c>
      <c r="AM61" s="277">
        <f t="shared" si="13"/>
        <v>4.2570757029793187</v>
      </c>
      <c r="AN61" s="277">
        <f t="shared" si="13"/>
        <v>5.6521671458405169</v>
      </c>
      <c r="AO61" s="277">
        <f t="shared" si="13"/>
        <v>7.2344211823897746</v>
      </c>
      <c r="AP61" s="277">
        <f t="shared" si="13"/>
        <v>8.9901676693851371</v>
      </c>
      <c r="AQ61" s="277">
        <f t="shared" si="13"/>
        <v>10.904062717666822</v>
      </c>
      <c r="AR61" s="277">
        <f t="shared" si="13"/>
        <v>12.959781431811036</v>
      </c>
      <c r="AS61" s="277">
        <f t="shared" si="13"/>
        <v>15.140564371508987</v>
      </c>
      <c r="AT61" s="277">
        <f t="shared" si="13"/>
        <v>17.4296431713258</v>
      </c>
      <c r="AU61" s="277">
        <f t="shared" si="13"/>
        <v>19.810566711342741</v>
      </c>
      <c r="AV61" s="277">
        <f t="shared" si="13"/>
        <v>22.267445799447479</v>
      </c>
    </row>
    <row r="62" spans="2:48" ht="12.95" customHeight="1" x14ac:dyDescent="0.2">
      <c r="B62" s="14"/>
      <c r="C62" s="372">
        <v>15</v>
      </c>
      <c r="D62" s="372"/>
      <c r="E62" s="372"/>
      <c r="F62" s="253" t="s">
        <v>492</v>
      </c>
      <c r="G62" s="253" t="s">
        <v>395</v>
      </c>
      <c r="H62" s="277"/>
      <c r="I62" s="277"/>
      <c r="J62" s="277"/>
      <c r="K62" s="277"/>
      <c r="L62" s="277"/>
      <c r="M62" s="277"/>
      <c r="N62" s="277"/>
      <c r="O62" s="277"/>
      <c r="P62" s="277"/>
      <c r="Q62" s="277"/>
      <c r="R62" s="277"/>
      <c r="S62" s="277"/>
      <c r="T62" s="277"/>
      <c r="U62" s="277"/>
      <c r="V62" s="277">
        <f t="shared" ref="V62:AV62" si="14">HLOOKUP(V21,t_growth,4)</f>
        <v>17.4296431713258</v>
      </c>
      <c r="W62" s="277">
        <f t="shared" si="14"/>
        <v>19.810566711342741</v>
      </c>
      <c r="X62" s="277">
        <f t="shared" si="14"/>
        <v>22.267445799447479</v>
      </c>
      <c r="Y62" s="277">
        <f t="shared" si="14"/>
        <v>24.785131416603353</v>
      </c>
      <c r="Z62" s="277">
        <f t="shared" si="14"/>
        <v>27.349339112214277</v>
      </c>
      <c r="AA62" s="277">
        <f t="shared" si="14"/>
        <v>29.946730051786854</v>
      </c>
      <c r="AB62" s="277">
        <f t="shared" si="14"/>
        <v>32.564957457117195</v>
      </c>
      <c r="AC62" s="277">
        <f t="shared" si="14"/>
        <v>35.192685692036868</v>
      </c>
      <c r="AD62" s="277">
        <f t="shared" si="14"/>
        <v>37.819587993197999</v>
      </c>
      <c r="AE62" s="277">
        <f t="shared" si="14"/>
        <v>40.436327790332221</v>
      </c>
      <c r="AF62" s="277">
        <f t="shared" si="14"/>
        <v>43.034527673896086</v>
      </c>
      <c r="AG62" s="277">
        <f t="shared" si="14"/>
        <v>1.3801503036642727E-2</v>
      </c>
      <c r="AH62" s="277">
        <f t="shared" si="14"/>
        <v>0.10250810373022921</v>
      </c>
      <c r="AI62" s="277">
        <f t="shared" si="14"/>
        <v>0.32140060564134304</v>
      </c>
      <c r="AJ62" s="277">
        <f t="shared" si="14"/>
        <v>0.70819088008020181</v>
      </c>
      <c r="AK62" s="277">
        <f t="shared" si="14"/>
        <v>1.2865903014343147</v>
      </c>
      <c r="AL62" s="277">
        <f t="shared" si="14"/>
        <v>2.0692648651289542</v>
      </c>
      <c r="AM62" s="277">
        <f t="shared" si="14"/>
        <v>3.0602740346849182</v>
      </c>
      <c r="AN62" s="277">
        <f t="shared" si="14"/>
        <v>4.2570757029793187</v>
      </c>
      <c r="AO62" s="277">
        <f t="shared" si="14"/>
        <v>5.6521671458405169</v>
      </c>
      <c r="AP62" s="277">
        <f t="shared" si="14"/>
        <v>7.2344211823897746</v>
      </c>
      <c r="AQ62" s="277">
        <f t="shared" si="14"/>
        <v>8.9901676693851371</v>
      </c>
      <c r="AR62" s="277">
        <f t="shared" si="14"/>
        <v>10.904062717666822</v>
      </c>
      <c r="AS62" s="277">
        <f t="shared" si="14"/>
        <v>12.959781431811036</v>
      </c>
      <c r="AT62" s="277">
        <f t="shared" si="14"/>
        <v>15.140564371508987</v>
      </c>
      <c r="AU62" s="277">
        <f t="shared" si="14"/>
        <v>17.4296431713258</v>
      </c>
      <c r="AV62" s="277">
        <f t="shared" si="14"/>
        <v>19.810566711342741</v>
      </c>
    </row>
    <row r="63" spans="2:48" ht="12.95" customHeight="1" x14ac:dyDescent="0.2">
      <c r="B63" s="14"/>
      <c r="C63" s="372">
        <v>16</v>
      </c>
      <c r="D63" s="372"/>
      <c r="E63" s="372"/>
      <c r="F63" s="253" t="s">
        <v>492</v>
      </c>
      <c r="G63" s="253" t="s">
        <v>395</v>
      </c>
      <c r="H63" s="277"/>
      <c r="I63" s="277"/>
      <c r="J63" s="277"/>
      <c r="K63" s="277"/>
      <c r="L63" s="277"/>
      <c r="M63" s="277"/>
      <c r="N63" s="277"/>
      <c r="O63" s="277"/>
      <c r="P63" s="277"/>
      <c r="Q63" s="277"/>
      <c r="R63" s="277"/>
      <c r="S63" s="277"/>
      <c r="T63" s="277"/>
      <c r="U63" s="277"/>
      <c r="V63" s="277"/>
      <c r="W63" s="277">
        <f t="shared" ref="W63:AV63" si="15">HLOOKUP(W22,t_growth,4)</f>
        <v>17.4296431713258</v>
      </c>
      <c r="X63" s="277">
        <f t="shared" si="15"/>
        <v>19.810566711342741</v>
      </c>
      <c r="Y63" s="277">
        <f t="shared" si="15"/>
        <v>22.267445799447479</v>
      </c>
      <c r="Z63" s="277">
        <f t="shared" si="15"/>
        <v>24.785131416603353</v>
      </c>
      <c r="AA63" s="277">
        <f t="shared" si="15"/>
        <v>27.349339112214277</v>
      </c>
      <c r="AB63" s="277">
        <f t="shared" si="15"/>
        <v>29.946730051786854</v>
      </c>
      <c r="AC63" s="277">
        <f t="shared" si="15"/>
        <v>32.564957457117195</v>
      </c>
      <c r="AD63" s="277">
        <f t="shared" si="15"/>
        <v>35.192685692036868</v>
      </c>
      <c r="AE63" s="277">
        <f t="shared" si="15"/>
        <v>37.819587993197999</v>
      </c>
      <c r="AF63" s="277">
        <f t="shared" si="15"/>
        <v>40.436327790332221</v>
      </c>
      <c r="AG63" s="277">
        <f t="shared" si="15"/>
        <v>43.034527673896086</v>
      </c>
      <c r="AH63" s="277">
        <f t="shared" si="15"/>
        <v>1.3801503036642727E-2</v>
      </c>
      <c r="AI63" s="277">
        <f t="shared" si="15"/>
        <v>0.10250810373022921</v>
      </c>
      <c r="AJ63" s="277">
        <f t="shared" si="15"/>
        <v>0.32140060564134304</v>
      </c>
      <c r="AK63" s="277">
        <f t="shared" si="15"/>
        <v>0.70819088008020181</v>
      </c>
      <c r="AL63" s="277">
        <f t="shared" si="15"/>
        <v>1.2865903014343147</v>
      </c>
      <c r="AM63" s="277">
        <f t="shared" si="15"/>
        <v>2.0692648651289542</v>
      </c>
      <c r="AN63" s="277">
        <f t="shared" si="15"/>
        <v>3.0602740346849182</v>
      </c>
      <c r="AO63" s="277">
        <f t="shared" si="15"/>
        <v>4.2570757029793187</v>
      </c>
      <c r="AP63" s="277">
        <f t="shared" si="15"/>
        <v>5.6521671458405169</v>
      </c>
      <c r="AQ63" s="277">
        <f t="shared" si="15"/>
        <v>7.2344211823897746</v>
      </c>
      <c r="AR63" s="277">
        <f t="shared" si="15"/>
        <v>8.9901676693851371</v>
      </c>
      <c r="AS63" s="277">
        <f t="shared" si="15"/>
        <v>10.904062717666822</v>
      </c>
      <c r="AT63" s="277">
        <f t="shared" si="15"/>
        <v>12.959781431811036</v>
      </c>
      <c r="AU63" s="277">
        <f t="shared" si="15"/>
        <v>15.140564371508987</v>
      </c>
      <c r="AV63" s="277">
        <f t="shared" si="15"/>
        <v>17.4296431713258</v>
      </c>
    </row>
    <row r="64" spans="2:48" ht="12.95" customHeight="1" x14ac:dyDescent="0.2">
      <c r="B64" s="14"/>
      <c r="C64" s="372">
        <v>17</v>
      </c>
      <c r="D64" s="372"/>
      <c r="E64" s="372"/>
      <c r="F64" s="253" t="s">
        <v>492</v>
      </c>
      <c r="G64" s="253" t="s">
        <v>395</v>
      </c>
      <c r="H64" s="277"/>
      <c r="I64" s="277"/>
      <c r="J64" s="277"/>
      <c r="K64" s="277"/>
      <c r="L64" s="277"/>
      <c r="M64" s="277"/>
      <c r="N64" s="277"/>
      <c r="O64" s="277"/>
      <c r="P64" s="277"/>
      <c r="Q64" s="277"/>
      <c r="R64" s="277"/>
      <c r="S64" s="277"/>
      <c r="T64" s="277"/>
      <c r="U64" s="277"/>
      <c r="V64" s="277"/>
      <c r="W64" s="277"/>
      <c r="X64" s="277">
        <f t="shared" ref="X64:AV64" si="16">HLOOKUP(X23,t_growth,4)</f>
        <v>17.4296431713258</v>
      </c>
      <c r="Y64" s="277">
        <f t="shared" si="16"/>
        <v>19.810566711342741</v>
      </c>
      <c r="Z64" s="277">
        <f t="shared" si="16"/>
        <v>22.267445799447479</v>
      </c>
      <c r="AA64" s="277">
        <f t="shared" si="16"/>
        <v>24.785131416603353</v>
      </c>
      <c r="AB64" s="277">
        <f t="shared" si="16"/>
        <v>27.349339112214277</v>
      </c>
      <c r="AC64" s="277">
        <f t="shared" si="16"/>
        <v>29.946730051786854</v>
      </c>
      <c r="AD64" s="277">
        <f t="shared" si="16"/>
        <v>32.564957457117195</v>
      </c>
      <c r="AE64" s="277">
        <f t="shared" si="16"/>
        <v>35.192685692036868</v>
      </c>
      <c r="AF64" s="277">
        <f t="shared" si="16"/>
        <v>37.819587993197999</v>
      </c>
      <c r="AG64" s="277">
        <f t="shared" si="16"/>
        <v>40.436327790332221</v>
      </c>
      <c r="AH64" s="277">
        <f t="shared" si="16"/>
        <v>43.034527673896086</v>
      </c>
      <c r="AI64" s="277">
        <f t="shared" si="16"/>
        <v>1.3801503036642727E-2</v>
      </c>
      <c r="AJ64" s="277">
        <f t="shared" si="16"/>
        <v>0.10250810373022921</v>
      </c>
      <c r="AK64" s="277">
        <f t="shared" si="16"/>
        <v>0.32140060564134304</v>
      </c>
      <c r="AL64" s="277">
        <f t="shared" si="16"/>
        <v>0.70819088008020181</v>
      </c>
      <c r="AM64" s="277">
        <f t="shared" si="16"/>
        <v>1.2865903014343147</v>
      </c>
      <c r="AN64" s="277">
        <f t="shared" si="16"/>
        <v>2.0692648651289542</v>
      </c>
      <c r="AO64" s="277">
        <f t="shared" si="16"/>
        <v>3.0602740346849182</v>
      </c>
      <c r="AP64" s="277">
        <f t="shared" si="16"/>
        <v>4.2570757029793187</v>
      </c>
      <c r="AQ64" s="277">
        <f t="shared" si="16"/>
        <v>5.6521671458405169</v>
      </c>
      <c r="AR64" s="277">
        <f t="shared" si="16"/>
        <v>7.2344211823897746</v>
      </c>
      <c r="AS64" s="277">
        <f t="shared" si="16"/>
        <v>8.9901676693851371</v>
      </c>
      <c r="AT64" s="277">
        <f t="shared" si="16"/>
        <v>10.904062717666822</v>
      </c>
      <c r="AU64" s="277">
        <f t="shared" si="16"/>
        <v>12.959781431811036</v>
      </c>
      <c r="AV64" s="277">
        <f t="shared" si="16"/>
        <v>15.140564371508987</v>
      </c>
    </row>
    <row r="65" spans="2:48" ht="12.95" customHeight="1" x14ac:dyDescent="0.2">
      <c r="B65" s="14"/>
      <c r="C65" s="372">
        <v>18</v>
      </c>
      <c r="D65" s="372"/>
      <c r="E65" s="372"/>
      <c r="F65" s="253" t="s">
        <v>492</v>
      </c>
      <c r="G65" s="253" t="s">
        <v>395</v>
      </c>
      <c r="H65" s="277"/>
      <c r="I65" s="277"/>
      <c r="J65" s="277"/>
      <c r="K65" s="277"/>
      <c r="L65" s="277"/>
      <c r="M65" s="277"/>
      <c r="N65" s="277"/>
      <c r="O65" s="277"/>
      <c r="P65" s="277"/>
      <c r="Q65" s="277"/>
      <c r="R65" s="277"/>
      <c r="S65" s="277"/>
      <c r="T65" s="277"/>
      <c r="U65" s="277"/>
      <c r="V65" s="277"/>
      <c r="W65" s="277"/>
      <c r="X65" s="277"/>
      <c r="Y65" s="277">
        <f t="shared" ref="Y65:AV65" si="17">HLOOKUP(Y24,t_growth,4)</f>
        <v>17.4296431713258</v>
      </c>
      <c r="Z65" s="277">
        <f t="shared" si="17"/>
        <v>19.810566711342741</v>
      </c>
      <c r="AA65" s="277">
        <f t="shared" si="17"/>
        <v>22.267445799447479</v>
      </c>
      <c r="AB65" s="277">
        <f t="shared" si="17"/>
        <v>24.785131416603353</v>
      </c>
      <c r="AC65" s="277">
        <f t="shared" si="17"/>
        <v>27.349339112214277</v>
      </c>
      <c r="AD65" s="277">
        <f t="shared" si="17"/>
        <v>29.946730051786854</v>
      </c>
      <c r="AE65" s="277">
        <f t="shared" si="17"/>
        <v>32.564957457117195</v>
      </c>
      <c r="AF65" s="277">
        <f t="shared" si="17"/>
        <v>35.192685692036868</v>
      </c>
      <c r="AG65" s="277">
        <f t="shared" si="17"/>
        <v>37.819587993197999</v>
      </c>
      <c r="AH65" s="277">
        <f t="shared" si="17"/>
        <v>40.436327790332221</v>
      </c>
      <c r="AI65" s="277">
        <f t="shared" si="17"/>
        <v>43.034527673896086</v>
      </c>
      <c r="AJ65" s="277">
        <f t="shared" si="17"/>
        <v>1.3801503036642727E-2</v>
      </c>
      <c r="AK65" s="277">
        <f t="shared" si="17"/>
        <v>0.10250810373022921</v>
      </c>
      <c r="AL65" s="277">
        <f t="shared" si="17"/>
        <v>0.32140060564134304</v>
      </c>
      <c r="AM65" s="277">
        <f t="shared" si="17"/>
        <v>0.70819088008020181</v>
      </c>
      <c r="AN65" s="277">
        <f t="shared" si="17"/>
        <v>1.2865903014343147</v>
      </c>
      <c r="AO65" s="277">
        <f t="shared" si="17"/>
        <v>2.0692648651289542</v>
      </c>
      <c r="AP65" s="277">
        <f t="shared" si="17"/>
        <v>3.0602740346849182</v>
      </c>
      <c r="AQ65" s="277">
        <f t="shared" si="17"/>
        <v>4.2570757029793187</v>
      </c>
      <c r="AR65" s="277">
        <f t="shared" si="17"/>
        <v>5.6521671458405169</v>
      </c>
      <c r="AS65" s="277">
        <f t="shared" si="17"/>
        <v>7.2344211823897746</v>
      </c>
      <c r="AT65" s="277">
        <f t="shared" si="17"/>
        <v>8.9901676693851371</v>
      </c>
      <c r="AU65" s="277">
        <f t="shared" si="17"/>
        <v>10.904062717666822</v>
      </c>
      <c r="AV65" s="277">
        <f t="shared" si="17"/>
        <v>12.959781431811036</v>
      </c>
    </row>
    <row r="66" spans="2:48" ht="12.95" customHeight="1" x14ac:dyDescent="0.2">
      <c r="B66" s="14"/>
      <c r="C66" s="372">
        <v>19</v>
      </c>
      <c r="D66" s="372"/>
      <c r="E66" s="372"/>
      <c r="F66" s="253" t="s">
        <v>492</v>
      </c>
      <c r="G66" s="253" t="s">
        <v>395</v>
      </c>
      <c r="H66" s="277"/>
      <c r="I66" s="277"/>
      <c r="J66" s="277"/>
      <c r="K66" s="277"/>
      <c r="L66" s="277"/>
      <c r="M66" s="277"/>
      <c r="N66" s="277"/>
      <c r="O66" s="277"/>
      <c r="P66" s="277"/>
      <c r="Q66" s="277"/>
      <c r="R66" s="277"/>
      <c r="S66" s="277"/>
      <c r="T66" s="277"/>
      <c r="U66" s="277"/>
      <c r="V66" s="277"/>
      <c r="W66" s="277"/>
      <c r="X66" s="277"/>
      <c r="Y66" s="277"/>
      <c r="Z66" s="277">
        <f t="shared" ref="Z66:AV66" si="18">HLOOKUP(Z25,t_growth,4)</f>
        <v>17.4296431713258</v>
      </c>
      <c r="AA66" s="277">
        <f t="shared" si="18"/>
        <v>19.810566711342741</v>
      </c>
      <c r="AB66" s="277">
        <f t="shared" si="18"/>
        <v>22.267445799447479</v>
      </c>
      <c r="AC66" s="277">
        <f t="shared" si="18"/>
        <v>24.785131416603353</v>
      </c>
      <c r="AD66" s="277">
        <f t="shared" si="18"/>
        <v>27.349339112214277</v>
      </c>
      <c r="AE66" s="277">
        <f t="shared" si="18"/>
        <v>29.946730051786854</v>
      </c>
      <c r="AF66" s="277">
        <f t="shared" si="18"/>
        <v>32.564957457117195</v>
      </c>
      <c r="AG66" s="277">
        <f t="shared" si="18"/>
        <v>35.192685692036868</v>
      </c>
      <c r="AH66" s="277">
        <f t="shared" si="18"/>
        <v>37.819587993197999</v>
      </c>
      <c r="AI66" s="277">
        <f t="shared" si="18"/>
        <v>40.436327790332221</v>
      </c>
      <c r="AJ66" s="277">
        <f t="shared" si="18"/>
        <v>43.034527673896086</v>
      </c>
      <c r="AK66" s="277">
        <f t="shared" si="18"/>
        <v>1.3801503036642727E-2</v>
      </c>
      <c r="AL66" s="277">
        <f t="shared" si="18"/>
        <v>0.10250810373022921</v>
      </c>
      <c r="AM66" s="277">
        <f t="shared" si="18"/>
        <v>0.32140060564134304</v>
      </c>
      <c r="AN66" s="277">
        <f t="shared" si="18"/>
        <v>0.70819088008020181</v>
      </c>
      <c r="AO66" s="277">
        <f t="shared" si="18"/>
        <v>1.2865903014343147</v>
      </c>
      <c r="AP66" s="277">
        <f t="shared" si="18"/>
        <v>2.0692648651289542</v>
      </c>
      <c r="AQ66" s="277">
        <f t="shared" si="18"/>
        <v>3.0602740346849182</v>
      </c>
      <c r="AR66" s="277">
        <f t="shared" si="18"/>
        <v>4.2570757029793187</v>
      </c>
      <c r="AS66" s="277">
        <f t="shared" si="18"/>
        <v>5.6521671458405169</v>
      </c>
      <c r="AT66" s="277">
        <f t="shared" si="18"/>
        <v>7.2344211823897746</v>
      </c>
      <c r="AU66" s="277">
        <f t="shared" si="18"/>
        <v>8.9901676693851371</v>
      </c>
      <c r="AV66" s="277">
        <f t="shared" si="18"/>
        <v>10.904062717666822</v>
      </c>
    </row>
    <row r="67" spans="2:48" ht="12.95" customHeight="1" x14ac:dyDescent="0.2">
      <c r="B67" s="14"/>
      <c r="C67" s="372">
        <v>20</v>
      </c>
      <c r="D67" s="372"/>
      <c r="E67" s="372"/>
      <c r="F67" s="253" t="s">
        <v>492</v>
      </c>
      <c r="G67" s="253" t="s">
        <v>395</v>
      </c>
      <c r="H67" s="277"/>
      <c r="I67" s="277"/>
      <c r="J67" s="277"/>
      <c r="K67" s="277"/>
      <c r="L67" s="277"/>
      <c r="M67" s="277"/>
      <c r="N67" s="277"/>
      <c r="O67" s="277"/>
      <c r="P67" s="277"/>
      <c r="Q67" s="277"/>
      <c r="R67" s="277"/>
      <c r="S67" s="277"/>
      <c r="T67" s="277"/>
      <c r="U67" s="277"/>
      <c r="V67" s="277"/>
      <c r="W67" s="277"/>
      <c r="X67" s="277"/>
      <c r="Y67" s="277"/>
      <c r="Z67" s="277"/>
      <c r="AA67" s="277">
        <f t="shared" ref="AA67:AV67" si="19">HLOOKUP(AA26,t_growth,4)</f>
        <v>17.4296431713258</v>
      </c>
      <c r="AB67" s="277">
        <f t="shared" si="19"/>
        <v>19.810566711342741</v>
      </c>
      <c r="AC67" s="277">
        <f t="shared" si="19"/>
        <v>22.267445799447479</v>
      </c>
      <c r="AD67" s="277">
        <f t="shared" si="19"/>
        <v>24.785131416603353</v>
      </c>
      <c r="AE67" s="277">
        <f t="shared" si="19"/>
        <v>27.349339112214277</v>
      </c>
      <c r="AF67" s="277">
        <f t="shared" si="19"/>
        <v>29.946730051786854</v>
      </c>
      <c r="AG67" s="277">
        <f t="shared" si="19"/>
        <v>32.564957457117195</v>
      </c>
      <c r="AH67" s="277">
        <f t="shared" si="19"/>
        <v>35.192685692036868</v>
      </c>
      <c r="AI67" s="277">
        <f t="shared" si="19"/>
        <v>37.819587993197999</v>
      </c>
      <c r="AJ67" s="277">
        <f t="shared" si="19"/>
        <v>40.436327790332221</v>
      </c>
      <c r="AK67" s="277">
        <f t="shared" si="19"/>
        <v>43.034527673896086</v>
      </c>
      <c r="AL67" s="277">
        <f t="shared" si="19"/>
        <v>1.3801503036642727E-2</v>
      </c>
      <c r="AM67" s="277">
        <f t="shared" si="19"/>
        <v>0.10250810373022921</v>
      </c>
      <c r="AN67" s="277">
        <f t="shared" si="19"/>
        <v>0.32140060564134304</v>
      </c>
      <c r="AO67" s="277">
        <f t="shared" si="19"/>
        <v>0.70819088008020181</v>
      </c>
      <c r="AP67" s="277">
        <f t="shared" si="19"/>
        <v>1.2865903014343147</v>
      </c>
      <c r="AQ67" s="277">
        <f t="shared" si="19"/>
        <v>2.0692648651289542</v>
      </c>
      <c r="AR67" s="277">
        <f t="shared" si="19"/>
        <v>3.0602740346849182</v>
      </c>
      <c r="AS67" s="277">
        <f t="shared" si="19"/>
        <v>4.2570757029793187</v>
      </c>
      <c r="AT67" s="277">
        <f t="shared" si="19"/>
        <v>5.6521671458405169</v>
      </c>
      <c r="AU67" s="277">
        <f t="shared" si="19"/>
        <v>7.2344211823897746</v>
      </c>
      <c r="AV67" s="277">
        <f t="shared" si="19"/>
        <v>8.9901676693851371</v>
      </c>
    </row>
    <row r="68" spans="2:48" ht="12.95" customHeight="1" x14ac:dyDescent="0.2">
      <c r="B68" s="14"/>
      <c r="C68" s="372">
        <v>21</v>
      </c>
      <c r="D68" s="372"/>
      <c r="E68" s="372"/>
      <c r="F68" s="253" t="s">
        <v>492</v>
      </c>
      <c r="G68" s="253" t="s">
        <v>395</v>
      </c>
      <c r="H68" s="277"/>
      <c r="I68" s="277"/>
      <c r="J68" s="277"/>
      <c r="K68" s="277"/>
      <c r="L68" s="277"/>
      <c r="M68" s="277"/>
      <c r="N68" s="277"/>
      <c r="O68" s="277"/>
      <c r="P68" s="277"/>
      <c r="Q68" s="277"/>
      <c r="R68" s="277"/>
      <c r="S68" s="277"/>
      <c r="T68" s="277"/>
      <c r="U68" s="277"/>
      <c r="V68" s="277"/>
      <c r="W68" s="277"/>
      <c r="X68" s="277"/>
      <c r="Y68" s="277"/>
      <c r="Z68" s="277"/>
      <c r="AA68" s="277"/>
      <c r="AB68" s="277">
        <f t="shared" ref="AB68:AV68" si="20">HLOOKUP(AB27,t_growth,4)</f>
        <v>17.4296431713258</v>
      </c>
      <c r="AC68" s="277">
        <f t="shared" si="20"/>
        <v>19.810566711342741</v>
      </c>
      <c r="AD68" s="277">
        <f t="shared" si="20"/>
        <v>22.267445799447479</v>
      </c>
      <c r="AE68" s="277">
        <f t="shared" si="20"/>
        <v>24.785131416603353</v>
      </c>
      <c r="AF68" s="277">
        <f t="shared" si="20"/>
        <v>27.349339112214277</v>
      </c>
      <c r="AG68" s="277">
        <f t="shared" si="20"/>
        <v>29.946730051786854</v>
      </c>
      <c r="AH68" s="277">
        <f t="shared" si="20"/>
        <v>32.564957457117195</v>
      </c>
      <c r="AI68" s="277">
        <f t="shared" si="20"/>
        <v>35.192685692036868</v>
      </c>
      <c r="AJ68" s="277">
        <f t="shared" si="20"/>
        <v>37.819587993197999</v>
      </c>
      <c r="AK68" s="277">
        <f t="shared" si="20"/>
        <v>40.436327790332221</v>
      </c>
      <c r="AL68" s="277">
        <f t="shared" si="20"/>
        <v>43.034527673896086</v>
      </c>
      <c r="AM68" s="277">
        <f t="shared" si="20"/>
        <v>1.3801503036642727E-2</v>
      </c>
      <c r="AN68" s="277">
        <f t="shared" si="20"/>
        <v>0.10250810373022921</v>
      </c>
      <c r="AO68" s="277">
        <f t="shared" si="20"/>
        <v>0.32140060564134304</v>
      </c>
      <c r="AP68" s="277">
        <f t="shared" si="20"/>
        <v>0.70819088008020181</v>
      </c>
      <c r="AQ68" s="277">
        <f t="shared" si="20"/>
        <v>1.2865903014343147</v>
      </c>
      <c r="AR68" s="277">
        <f t="shared" si="20"/>
        <v>2.0692648651289542</v>
      </c>
      <c r="AS68" s="277">
        <f t="shared" si="20"/>
        <v>3.0602740346849182</v>
      </c>
      <c r="AT68" s="277">
        <f t="shared" si="20"/>
        <v>4.2570757029793187</v>
      </c>
      <c r="AU68" s="277">
        <f t="shared" si="20"/>
        <v>5.6521671458405169</v>
      </c>
      <c r="AV68" s="277">
        <f t="shared" si="20"/>
        <v>7.2344211823897746</v>
      </c>
    </row>
    <row r="69" spans="2:48" ht="12.95" customHeight="1" x14ac:dyDescent="0.2">
      <c r="B69" s="14"/>
      <c r="C69" s="372">
        <v>22</v>
      </c>
      <c r="D69" s="372"/>
      <c r="E69" s="372"/>
      <c r="F69" s="253" t="s">
        <v>492</v>
      </c>
      <c r="G69" s="253" t="s">
        <v>395</v>
      </c>
      <c r="H69" s="277"/>
      <c r="I69" s="277"/>
      <c r="J69" s="277"/>
      <c r="K69" s="277"/>
      <c r="L69" s="277"/>
      <c r="M69" s="277"/>
      <c r="N69" s="277"/>
      <c r="O69" s="277"/>
      <c r="P69" s="277"/>
      <c r="Q69" s="277"/>
      <c r="R69" s="277"/>
      <c r="S69" s="277"/>
      <c r="T69" s="277"/>
      <c r="U69" s="277"/>
      <c r="V69" s="277"/>
      <c r="W69" s="277"/>
      <c r="X69" s="277"/>
      <c r="Y69" s="277"/>
      <c r="Z69" s="277"/>
      <c r="AA69" s="277"/>
      <c r="AB69" s="277"/>
      <c r="AC69" s="277">
        <f t="shared" ref="AC69:AV69" si="21">HLOOKUP(AC28,t_growth,4)</f>
        <v>17.4296431713258</v>
      </c>
      <c r="AD69" s="277">
        <f t="shared" si="21"/>
        <v>19.810566711342741</v>
      </c>
      <c r="AE69" s="277">
        <f t="shared" si="21"/>
        <v>22.267445799447479</v>
      </c>
      <c r="AF69" s="277">
        <f t="shared" si="21"/>
        <v>24.785131416603353</v>
      </c>
      <c r="AG69" s="277">
        <f t="shared" si="21"/>
        <v>27.349339112214277</v>
      </c>
      <c r="AH69" s="277">
        <f t="shared" si="21"/>
        <v>29.946730051786854</v>
      </c>
      <c r="AI69" s="277">
        <f t="shared" si="21"/>
        <v>32.564957457117195</v>
      </c>
      <c r="AJ69" s="277">
        <f t="shared" si="21"/>
        <v>35.192685692036868</v>
      </c>
      <c r="AK69" s="277">
        <f t="shared" si="21"/>
        <v>37.819587993197999</v>
      </c>
      <c r="AL69" s="277">
        <f t="shared" si="21"/>
        <v>40.436327790332221</v>
      </c>
      <c r="AM69" s="277">
        <f t="shared" si="21"/>
        <v>43.034527673896086</v>
      </c>
      <c r="AN69" s="277">
        <f t="shared" si="21"/>
        <v>1.3801503036642727E-2</v>
      </c>
      <c r="AO69" s="277">
        <f t="shared" si="21"/>
        <v>0.10250810373022921</v>
      </c>
      <c r="AP69" s="277">
        <f t="shared" si="21"/>
        <v>0.32140060564134304</v>
      </c>
      <c r="AQ69" s="277">
        <f t="shared" si="21"/>
        <v>0.70819088008020181</v>
      </c>
      <c r="AR69" s="277">
        <f t="shared" si="21"/>
        <v>1.2865903014343147</v>
      </c>
      <c r="AS69" s="277">
        <f t="shared" si="21"/>
        <v>2.0692648651289542</v>
      </c>
      <c r="AT69" s="277">
        <f t="shared" si="21"/>
        <v>3.0602740346849182</v>
      </c>
      <c r="AU69" s="277">
        <f t="shared" si="21"/>
        <v>4.2570757029793187</v>
      </c>
      <c r="AV69" s="277">
        <f t="shared" si="21"/>
        <v>5.6521671458405169</v>
      </c>
    </row>
    <row r="70" spans="2:48" ht="12.95" customHeight="1" x14ac:dyDescent="0.2">
      <c r="B70" s="14"/>
      <c r="C70" s="372">
        <v>23</v>
      </c>
      <c r="D70" s="372"/>
      <c r="E70" s="372"/>
      <c r="F70" s="253" t="s">
        <v>492</v>
      </c>
      <c r="G70" s="253" t="s">
        <v>395</v>
      </c>
      <c r="H70" s="277"/>
      <c r="I70" s="277"/>
      <c r="J70" s="277"/>
      <c r="K70" s="277"/>
      <c r="L70" s="277"/>
      <c r="M70" s="277"/>
      <c r="N70" s="277"/>
      <c r="O70" s="277"/>
      <c r="P70" s="277"/>
      <c r="Q70" s="277"/>
      <c r="R70" s="277"/>
      <c r="S70" s="277"/>
      <c r="T70" s="277"/>
      <c r="U70" s="277"/>
      <c r="V70" s="277"/>
      <c r="W70" s="277"/>
      <c r="X70" s="277"/>
      <c r="Y70" s="277"/>
      <c r="Z70" s="277"/>
      <c r="AA70" s="277"/>
      <c r="AB70" s="277"/>
      <c r="AC70" s="277"/>
      <c r="AD70" s="277">
        <f t="shared" ref="AD70:AV70" si="22">HLOOKUP(AD29,t_growth,4)</f>
        <v>17.4296431713258</v>
      </c>
      <c r="AE70" s="277">
        <f t="shared" si="22"/>
        <v>19.810566711342741</v>
      </c>
      <c r="AF70" s="277">
        <f t="shared" si="22"/>
        <v>22.267445799447479</v>
      </c>
      <c r="AG70" s="277">
        <f t="shared" si="22"/>
        <v>24.785131416603353</v>
      </c>
      <c r="AH70" s="277">
        <f t="shared" si="22"/>
        <v>27.349339112214277</v>
      </c>
      <c r="AI70" s="277">
        <f t="shared" si="22"/>
        <v>29.946730051786854</v>
      </c>
      <c r="AJ70" s="277">
        <f t="shared" si="22"/>
        <v>32.564957457117195</v>
      </c>
      <c r="AK70" s="277">
        <f t="shared" si="22"/>
        <v>35.192685692036868</v>
      </c>
      <c r="AL70" s="277">
        <f t="shared" si="22"/>
        <v>37.819587993197999</v>
      </c>
      <c r="AM70" s="277">
        <f t="shared" si="22"/>
        <v>40.436327790332221</v>
      </c>
      <c r="AN70" s="277">
        <f t="shared" si="22"/>
        <v>43.034527673896086</v>
      </c>
      <c r="AO70" s="277">
        <f t="shared" si="22"/>
        <v>1.3801503036642727E-2</v>
      </c>
      <c r="AP70" s="277">
        <f t="shared" si="22"/>
        <v>0.10250810373022921</v>
      </c>
      <c r="AQ70" s="277">
        <f t="shared" si="22"/>
        <v>0.32140060564134304</v>
      </c>
      <c r="AR70" s="277">
        <f t="shared" si="22"/>
        <v>0.70819088008020181</v>
      </c>
      <c r="AS70" s="277">
        <f t="shared" si="22"/>
        <v>1.2865903014343147</v>
      </c>
      <c r="AT70" s="277">
        <f t="shared" si="22"/>
        <v>2.0692648651289542</v>
      </c>
      <c r="AU70" s="277">
        <f t="shared" si="22"/>
        <v>3.0602740346849182</v>
      </c>
      <c r="AV70" s="277">
        <f t="shared" si="22"/>
        <v>4.2570757029793187</v>
      </c>
    </row>
    <row r="71" spans="2:48" ht="12.95" customHeight="1" x14ac:dyDescent="0.2">
      <c r="B71" s="14"/>
      <c r="C71" s="372">
        <v>24</v>
      </c>
      <c r="D71" s="372"/>
      <c r="E71" s="372"/>
      <c r="F71" s="253" t="s">
        <v>492</v>
      </c>
      <c r="G71" s="253" t="s">
        <v>395</v>
      </c>
      <c r="H71" s="277"/>
      <c r="I71" s="277"/>
      <c r="J71" s="277"/>
      <c r="K71" s="277"/>
      <c r="L71" s="277"/>
      <c r="M71" s="277"/>
      <c r="N71" s="277"/>
      <c r="O71" s="277"/>
      <c r="P71" s="277"/>
      <c r="Q71" s="277"/>
      <c r="R71" s="277"/>
      <c r="S71" s="277"/>
      <c r="T71" s="277"/>
      <c r="U71" s="277"/>
      <c r="V71" s="277"/>
      <c r="W71" s="277"/>
      <c r="X71" s="277"/>
      <c r="Y71" s="277"/>
      <c r="Z71" s="277"/>
      <c r="AA71" s="277"/>
      <c r="AB71" s="277"/>
      <c r="AC71" s="277"/>
      <c r="AD71" s="277"/>
      <c r="AE71" s="277">
        <f t="shared" ref="AE71:AV71" si="23">HLOOKUP(AE30,t_growth,4)</f>
        <v>17.4296431713258</v>
      </c>
      <c r="AF71" s="277">
        <f t="shared" si="23"/>
        <v>19.810566711342741</v>
      </c>
      <c r="AG71" s="277">
        <f t="shared" si="23"/>
        <v>22.267445799447479</v>
      </c>
      <c r="AH71" s="277">
        <f t="shared" si="23"/>
        <v>24.785131416603353</v>
      </c>
      <c r="AI71" s="277">
        <f t="shared" si="23"/>
        <v>27.349339112214277</v>
      </c>
      <c r="AJ71" s="277">
        <f t="shared" si="23"/>
        <v>29.946730051786854</v>
      </c>
      <c r="AK71" s="277">
        <f t="shared" si="23"/>
        <v>32.564957457117195</v>
      </c>
      <c r="AL71" s="277">
        <f t="shared" si="23"/>
        <v>35.192685692036868</v>
      </c>
      <c r="AM71" s="277">
        <f t="shared" si="23"/>
        <v>37.819587993197999</v>
      </c>
      <c r="AN71" s="277">
        <f t="shared" si="23"/>
        <v>40.436327790332221</v>
      </c>
      <c r="AO71" s="277">
        <f t="shared" si="23"/>
        <v>43.034527673896086</v>
      </c>
      <c r="AP71" s="277">
        <f t="shared" si="23"/>
        <v>1.3801503036642727E-2</v>
      </c>
      <c r="AQ71" s="277">
        <f t="shared" si="23"/>
        <v>0.10250810373022921</v>
      </c>
      <c r="AR71" s="277">
        <f t="shared" si="23"/>
        <v>0.32140060564134304</v>
      </c>
      <c r="AS71" s="277">
        <f t="shared" si="23"/>
        <v>0.70819088008020181</v>
      </c>
      <c r="AT71" s="277">
        <f t="shared" si="23"/>
        <v>1.2865903014343147</v>
      </c>
      <c r="AU71" s="277">
        <f t="shared" si="23"/>
        <v>2.0692648651289542</v>
      </c>
      <c r="AV71" s="277">
        <f t="shared" si="23"/>
        <v>3.0602740346849182</v>
      </c>
    </row>
    <row r="72" spans="2:48" ht="12.95" customHeight="1" x14ac:dyDescent="0.2">
      <c r="B72" s="14"/>
      <c r="C72" s="372">
        <v>25</v>
      </c>
      <c r="D72" s="372"/>
      <c r="E72" s="372"/>
      <c r="F72" s="253" t="s">
        <v>492</v>
      </c>
      <c r="G72" s="253" t="s">
        <v>395</v>
      </c>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277"/>
      <c r="AF72" s="277">
        <f t="shared" ref="AF72:AV72" si="24">HLOOKUP(AF31,t_growth,4)</f>
        <v>17.4296431713258</v>
      </c>
      <c r="AG72" s="277">
        <f t="shared" si="24"/>
        <v>19.810566711342741</v>
      </c>
      <c r="AH72" s="277">
        <f t="shared" si="24"/>
        <v>22.267445799447479</v>
      </c>
      <c r="AI72" s="277">
        <f t="shared" si="24"/>
        <v>24.785131416603353</v>
      </c>
      <c r="AJ72" s="277">
        <f t="shared" si="24"/>
        <v>27.349339112214277</v>
      </c>
      <c r="AK72" s="277">
        <f t="shared" si="24"/>
        <v>29.946730051786854</v>
      </c>
      <c r="AL72" s="277">
        <f t="shared" si="24"/>
        <v>32.564957457117195</v>
      </c>
      <c r="AM72" s="277">
        <f t="shared" si="24"/>
        <v>35.192685692036868</v>
      </c>
      <c r="AN72" s="277">
        <f t="shared" si="24"/>
        <v>37.819587993197999</v>
      </c>
      <c r="AO72" s="277">
        <f t="shared" si="24"/>
        <v>40.436327790332221</v>
      </c>
      <c r="AP72" s="277">
        <f t="shared" si="24"/>
        <v>43.034527673896086</v>
      </c>
      <c r="AQ72" s="277">
        <f t="shared" si="24"/>
        <v>1.3801503036642727E-2</v>
      </c>
      <c r="AR72" s="277">
        <f t="shared" si="24"/>
        <v>0.10250810373022921</v>
      </c>
      <c r="AS72" s="277">
        <f t="shared" si="24"/>
        <v>0.32140060564134304</v>
      </c>
      <c r="AT72" s="277">
        <f t="shared" si="24"/>
        <v>0.70819088008020181</v>
      </c>
      <c r="AU72" s="277">
        <f t="shared" si="24"/>
        <v>1.2865903014343147</v>
      </c>
      <c r="AV72" s="277">
        <f t="shared" si="24"/>
        <v>2.0692648651289542</v>
      </c>
    </row>
    <row r="73" spans="2:48" ht="12.95" customHeight="1" x14ac:dyDescent="0.2">
      <c r="B73" s="14"/>
      <c r="C73" s="372">
        <v>26</v>
      </c>
      <c r="D73" s="372"/>
      <c r="E73" s="372"/>
      <c r="F73" s="253" t="s">
        <v>492</v>
      </c>
      <c r="G73" s="253" t="s">
        <v>395</v>
      </c>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277"/>
      <c r="AF73" s="277"/>
      <c r="AG73" s="277">
        <f t="shared" ref="AG73:AV73" si="25">HLOOKUP(AG32,t_growth,4)</f>
        <v>0</v>
      </c>
      <c r="AH73" s="277">
        <f t="shared" si="25"/>
        <v>0</v>
      </c>
      <c r="AI73" s="277">
        <f t="shared" si="25"/>
        <v>0</v>
      </c>
      <c r="AJ73" s="277">
        <f t="shared" si="25"/>
        <v>0</v>
      </c>
      <c r="AK73" s="277">
        <f t="shared" si="25"/>
        <v>0</v>
      </c>
      <c r="AL73" s="277">
        <f t="shared" si="25"/>
        <v>0</v>
      </c>
      <c r="AM73" s="277">
        <f t="shared" si="25"/>
        <v>0</v>
      </c>
      <c r="AN73" s="277">
        <f t="shared" si="25"/>
        <v>0</v>
      </c>
      <c r="AO73" s="277">
        <f t="shared" si="25"/>
        <v>0</v>
      </c>
      <c r="AP73" s="277">
        <f t="shared" si="25"/>
        <v>0</v>
      </c>
      <c r="AQ73" s="277">
        <f t="shared" si="25"/>
        <v>0</v>
      </c>
      <c r="AR73" s="277">
        <f t="shared" si="25"/>
        <v>0</v>
      </c>
      <c r="AS73" s="277">
        <f t="shared" si="25"/>
        <v>0</v>
      </c>
      <c r="AT73" s="277">
        <f t="shared" si="25"/>
        <v>0</v>
      </c>
      <c r="AU73" s="277">
        <f t="shared" si="25"/>
        <v>0</v>
      </c>
      <c r="AV73" s="277">
        <f t="shared" si="25"/>
        <v>0</v>
      </c>
    </row>
    <row r="74" spans="2:48" ht="12.95" customHeight="1" x14ac:dyDescent="0.2">
      <c r="B74" s="14"/>
      <c r="C74" s="372">
        <v>27</v>
      </c>
      <c r="D74" s="372"/>
      <c r="E74" s="372"/>
      <c r="F74" s="253" t="s">
        <v>492</v>
      </c>
      <c r="G74" s="253" t="s">
        <v>395</v>
      </c>
      <c r="H74" s="277"/>
      <c r="I74" s="277"/>
      <c r="J74" s="277"/>
      <c r="K74" s="277"/>
      <c r="L74" s="277"/>
      <c r="M74" s="277"/>
      <c r="N74" s="277"/>
      <c r="O74" s="277"/>
      <c r="P74" s="277"/>
      <c r="Q74" s="277"/>
      <c r="R74" s="277"/>
      <c r="S74" s="277"/>
      <c r="T74" s="277"/>
      <c r="U74" s="277"/>
      <c r="V74" s="277"/>
      <c r="W74" s="277"/>
      <c r="X74" s="277"/>
      <c r="Y74" s="277"/>
      <c r="Z74" s="277"/>
      <c r="AA74" s="277"/>
      <c r="AB74" s="277"/>
      <c r="AC74" s="277"/>
      <c r="AD74" s="277"/>
      <c r="AE74" s="277"/>
      <c r="AF74" s="277"/>
      <c r="AG74" s="277"/>
      <c r="AH74" s="277">
        <f t="shared" ref="AH74:AV74" si="26">HLOOKUP(AH33,t_growth,4)</f>
        <v>0</v>
      </c>
      <c r="AI74" s="277">
        <f t="shared" si="26"/>
        <v>0</v>
      </c>
      <c r="AJ74" s="277">
        <f t="shared" si="26"/>
        <v>0</v>
      </c>
      <c r="AK74" s="277">
        <f t="shared" si="26"/>
        <v>0</v>
      </c>
      <c r="AL74" s="277">
        <f t="shared" si="26"/>
        <v>0</v>
      </c>
      <c r="AM74" s="277">
        <f t="shared" si="26"/>
        <v>0</v>
      </c>
      <c r="AN74" s="277">
        <f t="shared" si="26"/>
        <v>0</v>
      </c>
      <c r="AO74" s="277">
        <f t="shared" si="26"/>
        <v>0</v>
      </c>
      <c r="AP74" s="277">
        <f t="shared" si="26"/>
        <v>0</v>
      </c>
      <c r="AQ74" s="277">
        <f t="shared" si="26"/>
        <v>0</v>
      </c>
      <c r="AR74" s="277">
        <f t="shared" si="26"/>
        <v>0</v>
      </c>
      <c r="AS74" s="277">
        <f t="shared" si="26"/>
        <v>0</v>
      </c>
      <c r="AT74" s="277">
        <f t="shared" si="26"/>
        <v>0</v>
      </c>
      <c r="AU74" s="277">
        <f t="shared" si="26"/>
        <v>0</v>
      </c>
      <c r="AV74" s="277">
        <f t="shared" si="26"/>
        <v>0</v>
      </c>
    </row>
    <row r="75" spans="2:48" ht="12.95" customHeight="1" x14ac:dyDescent="0.2">
      <c r="B75" s="14"/>
      <c r="C75" s="372">
        <v>28</v>
      </c>
      <c r="D75" s="372"/>
      <c r="E75" s="372"/>
      <c r="F75" s="253" t="s">
        <v>492</v>
      </c>
      <c r="G75" s="253" t="s">
        <v>395</v>
      </c>
      <c r="H75" s="277"/>
      <c r="I75" s="277"/>
      <c r="J75" s="277"/>
      <c r="K75" s="277"/>
      <c r="L75" s="277"/>
      <c r="M75" s="277"/>
      <c r="N75" s="277"/>
      <c r="O75" s="277"/>
      <c r="P75" s="277"/>
      <c r="Q75" s="277"/>
      <c r="R75" s="277"/>
      <c r="S75" s="277"/>
      <c r="T75" s="277"/>
      <c r="U75" s="277"/>
      <c r="V75" s="277"/>
      <c r="W75" s="277"/>
      <c r="X75" s="277"/>
      <c r="Y75" s="277"/>
      <c r="Z75" s="277"/>
      <c r="AA75" s="277"/>
      <c r="AB75" s="277"/>
      <c r="AC75" s="277"/>
      <c r="AD75" s="277"/>
      <c r="AE75" s="277"/>
      <c r="AF75" s="277"/>
      <c r="AG75" s="277"/>
      <c r="AH75" s="277"/>
      <c r="AI75" s="277">
        <f t="shared" ref="AI75:AV75" si="27">HLOOKUP(AI34,t_growth,4)</f>
        <v>0</v>
      </c>
      <c r="AJ75" s="277">
        <f t="shared" si="27"/>
        <v>0</v>
      </c>
      <c r="AK75" s="277">
        <f t="shared" si="27"/>
        <v>0</v>
      </c>
      <c r="AL75" s="277">
        <f t="shared" si="27"/>
        <v>0</v>
      </c>
      <c r="AM75" s="277">
        <f t="shared" si="27"/>
        <v>0</v>
      </c>
      <c r="AN75" s="277">
        <f t="shared" si="27"/>
        <v>0</v>
      </c>
      <c r="AO75" s="277">
        <f t="shared" si="27"/>
        <v>0</v>
      </c>
      <c r="AP75" s="277">
        <f t="shared" si="27"/>
        <v>0</v>
      </c>
      <c r="AQ75" s="277">
        <f t="shared" si="27"/>
        <v>0</v>
      </c>
      <c r="AR75" s="277">
        <f t="shared" si="27"/>
        <v>0</v>
      </c>
      <c r="AS75" s="277">
        <f t="shared" si="27"/>
        <v>0</v>
      </c>
      <c r="AT75" s="277">
        <f t="shared" si="27"/>
        <v>0</v>
      </c>
      <c r="AU75" s="277">
        <f t="shared" si="27"/>
        <v>0</v>
      </c>
      <c r="AV75" s="277">
        <f t="shared" si="27"/>
        <v>0</v>
      </c>
    </row>
    <row r="76" spans="2:48" ht="12.95" customHeight="1" x14ac:dyDescent="0.2">
      <c r="B76" s="14"/>
      <c r="C76" s="372">
        <v>29</v>
      </c>
      <c r="D76" s="372"/>
      <c r="E76" s="372"/>
      <c r="F76" s="253" t="s">
        <v>492</v>
      </c>
      <c r="G76" s="253" t="s">
        <v>395</v>
      </c>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c r="AF76" s="277"/>
      <c r="AG76" s="277"/>
      <c r="AH76" s="277"/>
      <c r="AI76" s="277"/>
      <c r="AJ76" s="277">
        <f t="shared" ref="AJ76:AV76" si="28">HLOOKUP(AJ35,t_growth,4)</f>
        <v>0</v>
      </c>
      <c r="AK76" s="277">
        <f t="shared" si="28"/>
        <v>0</v>
      </c>
      <c r="AL76" s="277">
        <f t="shared" si="28"/>
        <v>0</v>
      </c>
      <c r="AM76" s="277">
        <f t="shared" si="28"/>
        <v>0</v>
      </c>
      <c r="AN76" s="277">
        <f t="shared" si="28"/>
        <v>0</v>
      </c>
      <c r="AO76" s="277">
        <f t="shared" si="28"/>
        <v>0</v>
      </c>
      <c r="AP76" s="277">
        <f t="shared" si="28"/>
        <v>0</v>
      </c>
      <c r="AQ76" s="277">
        <f t="shared" si="28"/>
        <v>0</v>
      </c>
      <c r="AR76" s="277">
        <f t="shared" si="28"/>
        <v>0</v>
      </c>
      <c r="AS76" s="277">
        <f t="shared" si="28"/>
        <v>0</v>
      </c>
      <c r="AT76" s="277">
        <f t="shared" si="28"/>
        <v>0</v>
      </c>
      <c r="AU76" s="277">
        <f t="shared" si="28"/>
        <v>0</v>
      </c>
      <c r="AV76" s="277">
        <f t="shared" si="28"/>
        <v>0</v>
      </c>
    </row>
    <row r="77" spans="2:48" ht="12.95" customHeight="1" x14ac:dyDescent="0.2">
      <c r="B77" s="14"/>
      <c r="C77" s="372">
        <v>30</v>
      </c>
      <c r="D77" s="372"/>
      <c r="E77" s="372"/>
      <c r="F77" s="253" t="s">
        <v>492</v>
      </c>
      <c r="G77" s="253" t="s">
        <v>395</v>
      </c>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277"/>
      <c r="AF77" s="277"/>
      <c r="AG77" s="277"/>
      <c r="AH77" s="277"/>
      <c r="AI77" s="277"/>
      <c r="AJ77" s="277"/>
      <c r="AK77" s="277">
        <f t="shared" ref="AK77:AV77" si="29">HLOOKUP(AK36,t_growth,4)</f>
        <v>0</v>
      </c>
      <c r="AL77" s="277">
        <f t="shared" si="29"/>
        <v>0</v>
      </c>
      <c r="AM77" s="277">
        <f t="shared" si="29"/>
        <v>0</v>
      </c>
      <c r="AN77" s="277">
        <f t="shared" si="29"/>
        <v>0</v>
      </c>
      <c r="AO77" s="277">
        <f t="shared" si="29"/>
        <v>0</v>
      </c>
      <c r="AP77" s="277">
        <f t="shared" si="29"/>
        <v>0</v>
      </c>
      <c r="AQ77" s="277">
        <f t="shared" si="29"/>
        <v>0</v>
      </c>
      <c r="AR77" s="277">
        <f t="shared" si="29"/>
        <v>0</v>
      </c>
      <c r="AS77" s="277">
        <f t="shared" si="29"/>
        <v>0</v>
      </c>
      <c r="AT77" s="277">
        <f t="shared" si="29"/>
        <v>0</v>
      </c>
      <c r="AU77" s="277">
        <f t="shared" si="29"/>
        <v>0</v>
      </c>
      <c r="AV77" s="277">
        <f t="shared" si="29"/>
        <v>0</v>
      </c>
    </row>
    <row r="78" spans="2:48" ht="12.95" customHeight="1" x14ac:dyDescent="0.2">
      <c r="B78" s="14"/>
      <c r="C78" s="372">
        <v>31</v>
      </c>
      <c r="D78" s="372"/>
      <c r="E78" s="372"/>
      <c r="F78" s="253" t="s">
        <v>492</v>
      </c>
      <c r="G78" s="253" t="s">
        <v>395</v>
      </c>
      <c r="H78" s="277"/>
      <c r="I78" s="277"/>
      <c r="J78" s="277"/>
      <c r="K78" s="277"/>
      <c r="L78" s="277"/>
      <c r="M78" s="277"/>
      <c r="N78" s="277"/>
      <c r="O78" s="277"/>
      <c r="P78" s="277"/>
      <c r="Q78" s="277"/>
      <c r="R78" s="277"/>
      <c r="S78" s="277"/>
      <c r="T78" s="277"/>
      <c r="U78" s="277"/>
      <c r="V78" s="277"/>
      <c r="W78" s="277"/>
      <c r="X78" s="277"/>
      <c r="Y78" s="277"/>
      <c r="Z78" s="277"/>
      <c r="AA78" s="277"/>
      <c r="AB78" s="277"/>
      <c r="AC78" s="277"/>
      <c r="AD78" s="277"/>
      <c r="AE78" s="277"/>
      <c r="AF78" s="277"/>
      <c r="AG78" s="277"/>
      <c r="AH78" s="277"/>
      <c r="AI78" s="277"/>
      <c r="AJ78" s="277"/>
      <c r="AK78" s="277"/>
      <c r="AL78" s="277">
        <f t="shared" ref="AL78:AV78" si="30">HLOOKUP(AL37,t_growth,4)</f>
        <v>0</v>
      </c>
      <c r="AM78" s="277">
        <f t="shared" si="30"/>
        <v>0</v>
      </c>
      <c r="AN78" s="277">
        <f t="shared" si="30"/>
        <v>0</v>
      </c>
      <c r="AO78" s="277">
        <f t="shared" si="30"/>
        <v>0</v>
      </c>
      <c r="AP78" s="277">
        <f t="shared" si="30"/>
        <v>0</v>
      </c>
      <c r="AQ78" s="277">
        <f t="shared" si="30"/>
        <v>0</v>
      </c>
      <c r="AR78" s="277">
        <f t="shared" si="30"/>
        <v>0</v>
      </c>
      <c r="AS78" s="277">
        <f t="shared" si="30"/>
        <v>0</v>
      </c>
      <c r="AT78" s="277">
        <f t="shared" si="30"/>
        <v>0</v>
      </c>
      <c r="AU78" s="277">
        <f t="shared" si="30"/>
        <v>0</v>
      </c>
      <c r="AV78" s="277">
        <f t="shared" si="30"/>
        <v>0</v>
      </c>
    </row>
    <row r="79" spans="2:48" ht="12.95" customHeight="1" x14ac:dyDescent="0.2">
      <c r="B79" s="14"/>
      <c r="C79" s="372">
        <v>32</v>
      </c>
      <c r="D79" s="372"/>
      <c r="E79" s="372"/>
      <c r="F79" s="253" t="s">
        <v>492</v>
      </c>
      <c r="G79" s="253" t="s">
        <v>395</v>
      </c>
      <c r="H79" s="277"/>
      <c r="I79" s="277"/>
      <c r="J79" s="277"/>
      <c r="K79" s="277"/>
      <c r="L79" s="277"/>
      <c r="M79" s="277"/>
      <c r="N79" s="277"/>
      <c r="O79" s="277"/>
      <c r="P79" s="277"/>
      <c r="Q79" s="277"/>
      <c r="R79" s="277"/>
      <c r="S79" s="277"/>
      <c r="T79" s="277"/>
      <c r="U79" s="277"/>
      <c r="V79" s="277"/>
      <c r="W79" s="277"/>
      <c r="X79" s="277"/>
      <c r="Y79" s="277"/>
      <c r="Z79" s="277"/>
      <c r="AA79" s="277"/>
      <c r="AB79" s="277"/>
      <c r="AC79" s="277"/>
      <c r="AD79" s="277"/>
      <c r="AE79" s="277"/>
      <c r="AF79" s="277"/>
      <c r="AG79" s="277"/>
      <c r="AH79" s="277"/>
      <c r="AI79" s="277"/>
      <c r="AJ79" s="277"/>
      <c r="AK79" s="277"/>
      <c r="AL79" s="277"/>
      <c r="AM79" s="277">
        <f t="shared" ref="AM79:AV79" si="31">HLOOKUP(AM38,t_growth,4)</f>
        <v>0</v>
      </c>
      <c r="AN79" s="277">
        <f t="shared" si="31"/>
        <v>0</v>
      </c>
      <c r="AO79" s="277">
        <f t="shared" si="31"/>
        <v>0</v>
      </c>
      <c r="AP79" s="277">
        <f t="shared" si="31"/>
        <v>0</v>
      </c>
      <c r="AQ79" s="277">
        <f t="shared" si="31"/>
        <v>0</v>
      </c>
      <c r="AR79" s="277">
        <f t="shared" si="31"/>
        <v>0</v>
      </c>
      <c r="AS79" s="277">
        <f t="shared" si="31"/>
        <v>0</v>
      </c>
      <c r="AT79" s="277">
        <f t="shared" si="31"/>
        <v>0</v>
      </c>
      <c r="AU79" s="277">
        <f t="shared" si="31"/>
        <v>0</v>
      </c>
      <c r="AV79" s="277">
        <f t="shared" si="31"/>
        <v>0</v>
      </c>
    </row>
    <row r="80" spans="2:48" ht="12.95" customHeight="1" x14ac:dyDescent="0.2">
      <c r="B80" s="14"/>
      <c r="C80" s="372">
        <v>33</v>
      </c>
      <c r="D80" s="372"/>
      <c r="E80" s="372"/>
      <c r="F80" s="253" t="s">
        <v>492</v>
      </c>
      <c r="G80" s="253" t="s">
        <v>395</v>
      </c>
      <c r="H80" s="277"/>
      <c r="I80" s="277"/>
      <c r="J80" s="277"/>
      <c r="K80" s="277"/>
      <c r="L80" s="277"/>
      <c r="M80" s="277"/>
      <c r="N80" s="277"/>
      <c r="O80" s="277"/>
      <c r="P80" s="277"/>
      <c r="Q80" s="277"/>
      <c r="R80" s="277"/>
      <c r="S80" s="277"/>
      <c r="T80" s="277"/>
      <c r="U80" s="277"/>
      <c r="V80" s="277"/>
      <c r="W80" s="277"/>
      <c r="X80" s="277"/>
      <c r="Y80" s="277"/>
      <c r="Z80" s="277"/>
      <c r="AA80" s="277"/>
      <c r="AB80" s="277"/>
      <c r="AC80" s="277"/>
      <c r="AD80" s="277"/>
      <c r="AE80" s="277"/>
      <c r="AF80" s="277"/>
      <c r="AG80" s="277"/>
      <c r="AH80" s="277"/>
      <c r="AI80" s="277"/>
      <c r="AJ80" s="277"/>
      <c r="AK80" s="277"/>
      <c r="AL80" s="277"/>
      <c r="AM80" s="277"/>
      <c r="AN80" s="277">
        <f t="shared" ref="AN80:AV80" si="32">HLOOKUP(AN39,t_growth,4)</f>
        <v>0</v>
      </c>
      <c r="AO80" s="277">
        <f t="shared" si="32"/>
        <v>0</v>
      </c>
      <c r="AP80" s="277">
        <f t="shared" si="32"/>
        <v>0</v>
      </c>
      <c r="AQ80" s="277">
        <f t="shared" si="32"/>
        <v>0</v>
      </c>
      <c r="AR80" s="277">
        <f t="shared" si="32"/>
        <v>0</v>
      </c>
      <c r="AS80" s="277">
        <f t="shared" si="32"/>
        <v>0</v>
      </c>
      <c r="AT80" s="277">
        <f t="shared" si="32"/>
        <v>0</v>
      </c>
      <c r="AU80" s="277">
        <f t="shared" si="32"/>
        <v>0</v>
      </c>
      <c r="AV80" s="277">
        <f t="shared" si="32"/>
        <v>0</v>
      </c>
    </row>
    <row r="81" spans="2:48" ht="12.95" customHeight="1" x14ac:dyDescent="0.2">
      <c r="B81" s="14"/>
      <c r="C81" s="372">
        <v>34</v>
      </c>
      <c r="D81" s="372"/>
      <c r="E81" s="372"/>
      <c r="F81" s="253" t="s">
        <v>492</v>
      </c>
      <c r="G81" s="253" t="s">
        <v>395</v>
      </c>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277"/>
      <c r="AF81" s="277"/>
      <c r="AG81" s="277"/>
      <c r="AH81" s="277"/>
      <c r="AI81" s="277"/>
      <c r="AJ81" s="277"/>
      <c r="AK81" s="277"/>
      <c r="AL81" s="277"/>
      <c r="AM81" s="277"/>
      <c r="AN81" s="277"/>
      <c r="AO81" s="277">
        <f t="shared" ref="AO81:AV81" si="33">HLOOKUP(AO40,t_growth,4)</f>
        <v>0</v>
      </c>
      <c r="AP81" s="277">
        <f t="shared" si="33"/>
        <v>0</v>
      </c>
      <c r="AQ81" s="277">
        <f t="shared" si="33"/>
        <v>0</v>
      </c>
      <c r="AR81" s="277">
        <f t="shared" si="33"/>
        <v>0</v>
      </c>
      <c r="AS81" s="277">
        <f t="shared" si="33"/>
        <v>0</v>
      </c>
      <c r="AT81" s="277">
        <f t="shared" si="33"/>
        <v>0</v>
      </c>
      <c r="AU81" s="277">
        <f t="shared" si="33"/>
        <v>0</v>
      </c>
      <c r="AV81" s="277">
        <f t="shared" si="33"/>
        <v>0</v>
      </c>
    </row>
    <row r="82" spans="2:48" ht="12.95" customHeight="1" x14ac:dyDescent="0.2">
      <c r="B82" s="14"/>
      <c r="C82" s="372">
        <v>35</v>
      </c>
      <c r="D82" s="372"/>
      <c r="E82" s="372"/>
      <c r="F82" s="253" t="s">
        <v>492</v>
      </c>
      <c r="G82" s="253" t="s">
        <v>395</v>
      </c>
      <c r="H82" s="277"/>
      <c r="I82" s="277"/>
      <c r="J82" s="277"/>
      <c r="K82" s="277"/>
      <c r="L82" s="277"/>
      <c r="M82" s="277"/>
      <c r="N82" s="277"/>
      <c r="O82" s="277"/>
      <c r="P82" s="277"/>
      <c r="Q82" s="277"/>
      <c r="R82" s="277"/>
      <c r="S82" s="277"/>
      <c r="T82" s="277"/>
      <c r="U82" s="277"/>
      <c r="V82" s="277"/>
      <c r="W82" s="277"/>
      <c r="X82" s="277"/>
      <c r="Y82" s="277"/>
      <c r="Z82" s="277"/>
      <c r="AA82" s="277"/>
      <c r="AB82" s="277"/>
      <c r="AC82" s="277"/>
      <c r="AD82" s="277"/>
      <c r="AE82" s="277"/>
      <c r="AF82" s="277"/>
      <c r="AG82" s="277"/>
      <c r="AH82" s="277"/>
      <c r="AI82" s="277"/>
      <c r="AJ82" s="277"/>
      <c r="AK82" s="277"/>
      <c r="AL82" s="277"/>
      <c r="AM82" s="277"/>
      <c r="AN82" s="277"/>
      <c r="AO82" s="277"/>
      <c r="AP82" s="277">
        <f t="shared" ref="AP82:AV82" si="34">HLOOKUP(AP41,t_growth,4)</f>
        <v>0</v>
      </c>
      <c r="AQ82" s="277">
        <f t="shared" si="34"/>
        <v>0</v>
      </c>
      <c r="AR82" s="277">
        <f t="shared" si="34"/>
        <v>0</v>
      </c>
      <c r="AS82" s="277">
        <f t="shared" si="34"/>
        <v>0</v>
      </c>
      <c r="AT82" s="277">
        <f t="shared" si="34"/>
        <v>0</v>
      </c>
      <c r="AU82" s="277">
        <f t="shared" si="34"/>
        <v>0</v>
      </c>
      <c r="AV82" s="277">
        <f t="shared" si="34"/>
        <v>0</v>
      </c>
    </row>
    <row r="83" spans="2:48" ht="12.95" customHeight="1" x14ac:dyDescent="0.2">
      <c r="B83" s="14"/>
      <c r="C83" s="372">
        <v>36</v>
      </c>
      <c r="D83" s="372"/>
      <c r="E83" s="372"/>
      <c r="F83" s="253" t="s">
        <v>492</v>
      </c>
      <c r="G83" s="253" t="s">
        <v>395</v>
      </c>
      <c r="H83" s="277"/>
      <c r="I83" s="277"/>
      <c r="J83" s="277"/>
      <c r="K83" s="277"/>
      <c r="L83" s="277"/>
      <c r="M83" s="277"/>
      <c r="N83" s="277"/>
      <c r="O83" s="277"/>
      <c r="P83" s="277"/>
      <c r="Q83" s="277"/>
      <c r="R83" s="277"/>
      <c r="S83" s="277"/>
      <c r="T83" s="277"/>
      <c r="U83" s="277"/>
      <c r="V83" s="277"/>
      <c r="W83" s="277"/>
      <c r="X83" s="277"/>
      <c r="Y83" s="277"/>
      <c r="Z83" s="277"/>
      <c r="AA83" s="277"/>
      <c r="AB83" s="277"/>
      <c r="AC83" s="277"/>
      <c r="AD83" s="277"/>
      <c r="AE83" s="277"/>
      <c r="AF83" s="277"/>
      <c r="AG83" s="277"/>
      <c r="AH83" s="277"/>
      <c r="AI83" s="277"/>
      <c r="AJ83" s="277"/>
      <c r="AK83" s="277"/>
      <c r="AL83" s="277"/>
      <c r="AM83" s="277"/>
      <c r="AN83" s="277"/>
      <c r="AO83" s="277"/>
      <c r="AP83" s="277"/>
      <c r="AQ83" s="277">
        <f t="shared" ref="AQ83:AV83" si="35">HLOOKUP(AQ42,t_growth,4)</f>
        <v>0</v>
      </c>
      <c r="AR83" s="277">
        <f t="shared" si="35"/>
        <v>0</v>
      </c>
      <c r="AS83" s="277">
        <f t="shared" si="35"/>
        <v>0</v>
      </c>
      <c r="AT83" s="277">
        <f t="shared" si="35"/>
        <v>0</v>
      </c>
      <c r="AU83" s="277">
        <f t="shared" si="35"/>
        <v>0</v>
      </c>
      <c r="AV83" s="277">
        <f t="shared" si="35"/>
        <v>0</v>
      </c>
    </row>
    <row r="84" spans="2:48" ht="12.95" customHeight="1" x14ac:dyDescent="0.2">
      <c r="B84" s="14"/>
      <c r="C84" s="372">
        <v>37</v>
      </c>
      <c r="D84" s="372"/>
      <c r="E84" s="372"/>
      <c r="F84" s="253" t="s">
        <v>492</v>
      </c>
      <c r="G84" s="253" t="s">
        <v>395</v>
      </c>
      <c r="H84" s="277"/>
      <c r="I84" s="277"/>
      <c r="J84" s="277"/>
      <c r="K84" s="277"/>
      <c r="L84" s="277"/>
      <c r="M84" s="277"/>
      <c r="N84" s="277"/>
      <c r="O84" s="277"/>
      <c r="P84" s="277"/>
      <c r="Q84" s="277"/>
      <c r="R84" s="277"/>
      <c r="S84" s="277"/>
      <c r="T84" s="277"/>
      <c r="U84" s="277"/>
      <c r="V84" s="277"/>
      <c r="W84" s="277"/>
      <c r="X84" s="277"/>
      <c r="Y84" s="277"/>
      <c r="Z84" s="277"/>
      <c r="AA84" s="277"/>
      <c r="AB84" s="277"/>
      <c r="AC84" s="277"/>
      <c r="AD84" s="277"/>
      <c r="AE84" s="277"/>
      <c r="AF84" s="277"/>
      <c r="AG84" s="277"/>
      <c r="AH84" s="277"/>
      <c r="AI84" s="277"/>
      <c r="AJ84" s="277"/>
      <c r="AK84" s="277"/>
      <c r="AL84" s="277"/>
      <c r="AM84" s="277"/>
      <c r="AN84" s="277"/>
      <c r="AO84" s="277"/>
      <c r="AP84" s="277"/>
      <c r="AQ84" s="277"/>
      <c r="AR84" s="277">
        <f>HLOOKUP(AR43,t_growth,4)</f>
        <v>0</v>
      </c>
      <c r="AS84" s="277">
        <f>HLOOKUP(AS43,t_growth,4)</f>
        <v>0</v>
      </c>
      <c r="AT84" s="277">
        <f>HLOOKUP(AT43,t_growth,4)</f>
        <v>0</v>
      </c>
      <c r="AU84" s="277">
        <f>HLOOKUP(AU43,t_growth,4)</f>
        <v>0</v>
      </c>
      <c r="AV84" s="277">
        <f>HLOOKUP(AV43,t_growth,4)</f>
        <v>0</v>
      </c>
    </row>
    <row r="85" spans="2:48" ht="12.95" customHeight="1" x14ac:dyDescent="0.2">
      <c r="B85" s="14"/>
      <c r="C85" s="372">
        <v>38</v>
      </c>
      <c r="D85" s="372"/>
      <c r="E85" s="372"/>
      <c r="F85" s="253" t="s">
        <v>492</v>
      </c>
      <c r="G85" s="253" t="s">
        <v>395</v>
      </c>
      <c r="H85" s="277"/>
      <c r="I85" s="277"/>
      <c r="J85" s="277"/>
      <c r="K85" s="277"/>
      <c r="L85" s="277"/>
      <c r="M85" s="277"/>
      <c r="N85" s="277"/>
      <c r="O85" s="277"/>
      <c r="P85" s="277"/>
      <c r="Q85" s="277"/>
      <c r="R85" s="277"/>
      <c r="S85" s="277"/>
      <c r="T85" s="277"/>
      <c r="U85" s="277"/>
      <c r="V85" s="277"/>
      <c r="W85" s="277"/>
      <c r="X85" s="277"/>
      <c r="Y85" s="277"/>
      <c r="Z85" s="277"/>
      <c r="AA85" s="277"/>
      <c r="AB85" s="277"/>
      <c r="AC85" s="277"/>
      <c r="AD85" s="277"/>
      <c r="AE85" s="277"/>
      <c r="AF85" s="277"/>
      <c r="AG85" s="277"/>
      <c r="AH85" s="277"/>
      <c r="AI85" s="277"/>
      <c r="AJ85" s="277"/>
      <c r="AK85" s="277"/>
      <c r="AL85" s="277"/>
      <c r="AM85" s="277"/>
      <c r="AN85" s="277"/>
      <c r="AO85" s="277"/>
      <c r="AP85" s="277"/>
      <c r="AQ85" s="277"/>
      <c r="AR85" s="277"/>
      <c r="AS85" s="277">
        <f>HLOOKUP(AS44,t_growth,4)</f>
        <v>0</v>
      </c>
      <c r="AT85" s="277">
        <f>HLOOKUP(AT44,t_growth,4)</f>
        <v>0</v>
      </c>
      <c r="AU85" s="277">
        <f>HLOOKUP(AU44,t_growth,4)</f>
        <v>0</v>
      </c>
      <c r="AV85" s="277">
        <f>HLOOKUP(AV44,t_growth,4)</f>
        <v>0</v>
      </c>
    </row>
    <row r="86" spans="2:48" ht="12.95" customHeight="1" x14ac:dyDescent="0.2">
      <c r="B86" s="14"/>
      <c r="C86" s="372">
        <v>39</v>
      </c>
      <c r="D86" s="372"/>
      <c r="E86" s="372"/>
      <c r="F86" s="253" t="s">
        <v>492</v>
      </c>
      <c r="G86" s="253" t="s">
        <v>395</v>
      </c>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277"/>
      <c r="AF86" s="277"/>
      <c r="AG86" s="277"/>
      <c r="AH86" s="277"/>
      <c r="AI86" s="277"/>
      <c r="AJ86" s="277"/>
      <c r="AK86" s="277"/>
      <c r="AL86" s="277"/>
      <c r="AM86" s="277"/>
      <c r="AN86" s="277"/>
      <c r="AO86" s="277"/>
      <c r="AP86" s="277"/>
      <c r="AQ86" s="277"/>
      <c r="AR86" s="277"/>
      <c r="AS86" s="277"/>
      <c r="AT86" s="277">
        <f>HLOOKUP(AT45,t_growth,4)</f>
        <v>0</v>
      </c>
      <c r="AU86" s="277">
        <f>HLOOKUP(AU45,t_growth,4)</f>
        <v>0</v>
      </c>
      <c r="AV86" s="277">
        <f>HLOOKUP(AV45,t_growth,4)</f>
        <v>0</v>
      </c>
    </row>
    <row r="87" spans="2:48" ht="12.95" customHeight="1" x14ac:dyDescent="0.2">
      <c r="B87" s="14"/>
      <c r="C87" s="372">
        <v>40</v>
      </c>
      <c r="D87" s="372"/>
      <c r="E87" s="372"/>
      <c r="F87" s="253" t="s">
        <v>492</v>
      </c>
      <c r="G87" s="253" t="s">
        <v>395</v>
      </c>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277"/>
      <c r="AF87" s="277"/>
      <c r="AG87" s="277"/>
      <c r="AH87" s="277"/>
      <c r="AI87" s="277"/>
      <c r="AJ87" s="277"/>
      <c r="AK87" s="277"/>
      <c r="AL87" s="277"/>
      <c r="AM87" s="277"/>
      <c r="AN87" s="277"/>
      <c r="AO87" s="277"/>
      <c r="AP87" s="277"/>
      <c r="AQ87" s="277"/>
      <c r="AR87" s="277"/>
      <c r="AS87" s="277"/>
      <c r="AT87" s="277"/>
      <c r="AU87" s="277">
        <f>HLOOKUP(AU46,t_growth,4)</f>
        <v>0</v>
      </c>
      <c r="AV87" s="277">
        <f>HLOOKUP(AV46,t_growth,4)</f>
        <v>0</v>
      </c>
    </row>
    <row r="88" spans="2:48" ht="12.95" customHeight="1" x14ac:dyDescent="0.2">
      <c r="B88" s="14" t="s">
        <v>496</v>
      </c>
      <c r="H88" s="171"/>
      <c r="I88" s="171"/>
      <c r="J88" s="171"/>
      <c r="K88" s="171"/>
      <c r="L88" s="171"/>
      <c r="M88" s="171"/>
      <c r="N88" s="171"/>
      <c r="O88" s="171"/>
      <c r="P88" s="171"/>
      <c r="Q88" s="171"/>
      <c r="R88" s="171"/>
      <c r="S88" s="171"/>
      <c r="T88" s="171"/>
      <c r="U88" s="171"/>
      <c r="V88" s="171"/>
      <c r="W88" s="171"/>
      <c r="X88" s="171"/>
      <c r="Y88" s="171"/>
      <c r="Z88" s="171"/>
      <c r="AA88" s="171"/>
      <c r="AB88" s="171"/>
      <c r="AC88" s="171"/>
      <c r="AD88" s="171"/>
      <c r="AE88" s="171"/>
      <c r="AF88" s="171"/>
      <c r="AG88" s="171"/>
      <c r="AH88" s="171"/>
      <c r="AI88" s="171"/>
      <c r="AJ88" s="171"/>
      <c r="AK88" s="171"/>
      <c r="AL88" s="171"/>
      <c r="AM88" s="171"/>
      <c r="AN88" s="171"/>
      <c r="AO88" s="171"/>
      <c r="AP88" s="171"/>
      <c r="AQ88" s="171"/>
      <c r="AR88" s="171"/>
      <c r="AS88" s="171"/>
      <c r="AT88" s="171"/>
      <c r="AU88" s="171"/>
      <c r="AV88" s="171"/>
    </row>
    <row r="89" spans="2:48" ht="12.95" customHeight="1" x14ac:dyDescent="0.2">
      <c r="B89" s="14"/>
      <c r="C89" s="253" t="s">
        <v>858</v>
      </c>
      <c r="F89" s="253" t="s">
        <v>493</v>
      </c>
      <c r="G89" s="253" t="s">
        <v>395</v>
      </c>
      <c r="H89" s="147"/>
      <c r="I89" s="147">
        <f t="shared" ref="I89:AV89" si="36">IF(I7=1,I48,I48-H48)</f>
        <v>2.3809235400169406</v>
      </c>
      <c r="J89" s="147">
        <f t="shared" si="36"/>
        <v>2.4568790881047384</v>
      </c>
      <c r="K89" s="147">
        <f t="shared" si="36"/>
        <v>2.5176856171558732</v>
      </c>
      <c r="L89" s="147">
        <f t="shared" si="36"/>
        <v>2.564207695610925</v>
      </c>
      <c r="M89" s="147">
        <f t="shared" si="36"/>
        <v>2.5973909395725769</v>
      </c>
      <c r="N89" s="147">
        <f t="shared" si="36"/>
        <v>2.6182274053303409</v>
      </c>
      <c r="O89" s="147">
        <f t="shared" si="36"/>
        <v>2.6277282349196724</v>
      </c>
      <c r="P89" s="147">
        <f t="shared" si="36"/>
        <v>2.626902301161131</v>
      </c>
      <c r="Q89" s="147">
        <f t="shared" si="36"/>
        <v>2.6167397971342226</v>
      </c>
      <c r="R89" s="147">
        <f t="shared" si="36"/>
        <v>2.5981998835638649</v>
      </c>
      <c r="S89" s="147">
        <f t="shared" si="36"/>
        <v>1.3801503036642727E-2</v>
      </c>
      <c r="T89" s="147">
        <f t="shared" si="36"/>
        <v>8.870660069358649E-2</v>
      </c>
      <c r="U89" s="147">
        <f t="shared" si="36"/>
        <v>0.21889250191111381</v>
      </c>
      <c r="V89" s="147">
        <f t="shared" si="36"/>
        <v>0.38679027443885877</v>
      </c>
      <c r="W89" s="147">
        <f t="shared" si="36"/>
        <v>0.57839942135411293</v>
      </c>
      <c r="X89" s="147">
        <f t="shared" si="36"/>
        <v>0.7826745636946395</v>
      </c>
      <c r="Y89" s="147">
        <f t="shared" si="36"/>
        <v>0.99100916955596396</v>
      </c>
      <c r="Z89" s="147">
        <f t="shared" si="36"/>
        <v>1.1968016682944005</v>
      </c>
      <c r="AA89" s="147">
        <f t="shared" si="36"/>
        <v>1.3950914428611982</v>
      </c>
      <c r="AB89" s="147">
        <f t="shared" si="36"/>
        <v>1.5822540365492577</v>
      </c>
      <c r="AC89" s="147">
        <f t="shared" si="36"/>
        <v>1.7557464869953625</v>
      </c>
      <c r="AD89" s="147">
        <f t="shared" si="36"/>
        <v>1.9138950482816846</v>
      </c>
      <c r="AE89" s="147">
        <f t="shared" si="36"/>
        <v>2.0557187141442146</v>
      </c>
      <c r="AF89" s="147">
        <f t="shared" si="36"/>
        <v>2.1807829396979503</v>
      </c>
      <c r="AG89" s="147">
        <f t="shared" si="36"/>
        <v>2.2890787998168136</v>
      </c>
      <c r="AH89" s="147">
        <f t="shared" si="36"/>
        <v>2.3809235400169406</v>
      </c>
      <c r="AI89" s="147">
        <f t="shared" si="36"/>
        <v>2.4568790881047384</v>
      </c>
      <c r="AJ89" s="147">
        <f t="shared" si="36"/>
        <v>2.5176856171558732</v>
      </c>
      <c r="AK89" s="147">
        <f t="shared" si="36"/>
        <v>2.564207695610925</v>
      </c>
      <c r="AL89" s="147">
        <f t="shared" si="36"/>
        <v>2.5973909395725769</v>
      </c>
      <c r="AM89" s="147">
        <f t="shared" si="36"/>
        <v>2.6182274053303409</v>
      </c>
      <c r="AN89" s="147">
        <f t="shared" si="36"/>
        <v>2.6277282349196724</v>
      </c>
      <c r="AO89" s="147">
        <f t="shared" si="36"/>
        <v>2.626902301161131</v>
      </c>
      <c r="AP89" s="147">
        <f t="shared" si="36"/>
        <v>2.6167397971342226</v>
      </c>
      <c r="AQ89" s="147">
        <f t="shared" si="36"/>
        <v>2.5981998835638649</v>
      </c>
      <c r="AR89" s="147">
        <f t="shared" si="36"/>
        <v>1.3801503036642727E-2</v>
      </c>
      <c r="AS89" s="147">
        <f t="shared" si="36"/>
        <v>8.870660069358649E-2</v>
      </c>
      <c r="AT89" s="147">
        <f t="shared" si="36"/>
        <v>0.21889250191111381</v>
      </c>
      <c r="AU89" s="147">
        <f t="shared" si="36"/>
        <v>0.38679027443885877</v>
      </c>
      <c r="AV89" s="147">
        <f t="shared" si="36"/>
        <v>0.57839942135411293</v>
      </c>
    </row>
    <row r="90" spans="2:48" ht="12.95" customHeight="1" x14ac:dyDescent="0.2">
      <c r="B90" s="14"/>
      <c r="C90" s="253" t="s">
        <v>859</v>
      </c>
      <c r="F90" s="253" t="s">
        <v>493</v>
      </c>
      <c r="G90" s="253" t="s">
        <v>395</v>
      </c>
      <c r="H90" s="147"/>
      <c r="I90" s="147"/>
      <c r="J90" s="147">
        <f t="shared" ref="J90:AV90" si="37">IF(J8=1,J49,J49-I49)</f>
        <v>2.3809235400169406</v>
      </c>
      <c r="K90" s="147">
        <f t="shared" si="37"/>
        <v>2.4568790881047384</v>
      </c>
      <c r="L90" s="147">
        <f t="shared" si="37"/>
        <v>2.5176856171558732</v>
      </c>
      <c r="M90" s="147">
        <f t="shared" si="37"/>
        <v>2.564207695610925</v>
      </c>
      <c r="N90" s="147">
        <f t="shared" si="37"/>
        <v>2.5973909395725769</v>
      </c>
      <c r="O90" s="147">
        <f t="shared" si="37"/>
        <v>2.6182274053303409</v>
      </c>
      <c r="P90" s="147">
        <f t="shared" si="37"/>
        <v>2.6277282349196724</v>
      </c>
      <c r="Q90" s="147">
        <f t="shared" si="37"/>
        <v>2.626902301161131</v>
      </c>
      <c r="R90" s="147">
        <f t="shared" si="37"/>
        <v>2.6167397971342226</v>
      </c>
      <c r="S90" s="147">
        <f t="shared" si="37"/>
        <v>2.5981998835638649</v>
      </c>
      <c r="T90" s="147">
        <f t="shared" si="37"/>
        <v>1.3801503036642727E-2</v>
      </c>
      <c r="U90" s="147">
        <f t="shared" si="37"/>
        <v>8.870660069358649E-2</v>
      </c>
      <c r="V90" s="147">
        <f t="shared" si="37"/>
        <v>0.21889250191111381</v>
      </c>
      <c r="W90" s="147">
        <f t="shared" si="37"/>
        <v>0.38679027443885877</v>
      </c>
      <c r="X90" s="147">
        <f t="shared" si="37"/>
        <v>0.57839942135411293</v>
      </c>
      <c r="Y90" s="147">
        <f t="shared" si="37"/>
        <v>0.7826745636946395</v>
      </c>
      <c r="Z90" s="147">
        <f t="shared" si="37"/>
        <v>0.99100916955596396</v>
      </c>
      <c r="AA90" s="147">
        <f t="shared" si="37"/>
        <v>1.1968016682944005</v>
      </c>
      <c r="AB90" s="147">
        <f t="shared" si="37"/>
        <v>1.3950914428611982</v>
      </c>
      <c r="AC90" s="147">
        <f t="shared" si="37"/>
        <v>1.5822540365492577</v>
      </c>
      <c r="AD90" s="147">
        <f t="shared" si="37"/>
        <v>1.7557464869953625</v>
      </c>
      <c r="AE90" s="147">
        <f t="shared" si="37"/>
        <v>1.9138950482816846</v>
      </c>
      <c r="AF90" s="147">
        <f t="shared" si="37"/>
        <v>2.0557187141442146</v>
      </c>
      <c r="AG90" s="147">
        <f t="shared" si="37"/>
        <v>2.1807829396979503</v>
      </c>
      <c r="AH90" s="147">
        <f t="shared" si="37"/>
        <v>2.2890787998168136</v>
      </c>
      <c r="AI90" s="147">
        <f t="shared" si="37"/>
        <v>2.3809235400169406</v>
      </c>
      <c r="AJ90" s="147">
        <f t="shared" si="37"/>
        <v>2.4568790881047384</v>
      </c>
      <c r="AK90" s="147">
        <f t="shared" si="37"/>
        <v>2.5176856171558732</v>
      </c>
      <c r="AL90" s="147">
        <f t="shared" si="37"/>
        <v>2.564207695610925</v>
      </c>
      <c r="AM90" s="147">
        <f t="shared" si="37"/>
        <v>2.5973909395725769</v>
      </c>
      <c r="AN90" s="147">
        <f t="shared" si="37"/>
        <v>2.6182274053303409</v>
      </c>
      <c r="AO90" s="147">
        <f t="shared" si="37"/>
        <v>2.6277282349196724</v>
      </c>
      <c r="AP90" s="147">
        <f t="shared" si="37"/>
        <v>2.626902301161131</v>
      </c>
      <c r="AQ90" s="147">
        <f t="shared" si="37"/>
        <v>2.6167397971342226</v>
      </c>
      <c r="AR90" s="147">
        <f t="shared" si="37"/>
        <v>2.5981998835638649</v>
      </c>
      <c r="AS90" s="147">
        <f t="shared" si="37"/>
        <v>1.3801503036642727E-2</v>
      </c>
      <c r="AT90" s="147">
        <f t="shared" si="37"/>
        <v>8.870660069358649E-2</v>
      </c>
      <c r="AU90" s="147">
        <f t="shared" si="37"/>
        <v>0.21889250191111381</v>
      </c>
      <c r="AV90" s="147">
        <f t="shared" si="37"/>
        <v>0.38679027443885877</v>
      </c>
    </row>
    <row r="91" spans="2:48" ht="12.95" customHeight="1" x14ac:dyDescent="0.2">
      <c r="B91" s="14"/>
      <c r="C91" s="253" t="s">
        <v>860</v>
      </c>
      <c r="F91" s="253" t="s">
        <v>493</v>
      </c>
      <c r="G91" s="253" t="s">
        <v>395</v>
      </c>
      <c r="H91" s="277"/>
      <c r="I91" s="147"/>
      <c r="J91" s="147"/>
      <c r="K91" s="147">
        <f t="shared" ref="K91:AV91" si="38">IF(K9=1,K50,K50-J50)</f>
        <v>2.3809235400169406</v>
      </c>
      <c r="L91" s="147">
        <f t="shared" si="38"/>
        <v>2.4568790881047384</v>
      </c>
      <c r="M91" s="147">
        <f t="shared" si="38"/>
        <v>2.5176856171558732</v>
      </c>
      <c r="N91" s="147">
        <f t="shared" si="38"/>
        <v>2.564207695610925</v>
      </c>
      <c r="O91" s="147">
        <f t="shared" si="38"/>
        <v>2.5973909395725769</v>
      </c>
      <c r="P91" s="147">
        <f t="shared" si="38"/>
        <v>2.6182274053303409</v>
      </c>
      <c r="Q91" s="147">
        <f t="shared" si="38"/>
        <v>2.6277282349196724</v>
      </c>
      <c r="R91" s="147">
        <f t="shared" si="38"/>
        <v>2.626902301161131</v>
      </c>
      <c r="S91" s="147">
        <f t="shared" si="38"/>
        <v>2.6167397971342226</v>
      </c>
      <c r="T91" s="147">
        <f t="shared" si="38"/>
        <v>2.5981998835638649</v>
      </c>
      <c r="U91" s="147">
        <f t="shared" si="38"/>
        <v>1.3801503036642727E-2</v>
      </c>
      <c r="V91" s="147">
        <f t="shared" si="38"/>
        <v>8.870660069358649E-2</v>
      </c>
      <c r="W91" s="147">
        <f t="shared" si="38"/>
        <v>0.21889250191111381</v>
      </c>
      <c r="X91" s="147">
        <f t="shared" si="38"/>
        <v>0.38679027443885877</v>
      </c>
      <c r="Y91" s="147">
        <f t="shared" si="38"/>
        <v>0.57839942135411293</v>
      </c>
      <c r="Z91" s="147">
        <f t="shared" si="38"/>
        <v>0.7826745636946395</v>
      </c>
      <c r="AA91" s="147">
        <f t="shared" si="38"/>
        <v>0.99100916955596396</v>
      </c>
      <c r="AB91" s="147">
        <f t="shared" si="38"/>
        <v>1.1968016682944005</v>
      </c>
      <c r="AC91" s="147">
        <f t="shared" si="38"/>
        <v>1.3950914428611982</v>
      </c>
      <c r="AD91" s="147">
        <f t="shared" si="38"/>
        <v>1.5822540365492577</v>
      </c>
      <c r="AE91" s="147">
        <f t="shared" si="38"/>
        <v>1.7557464869953625</v>
      </c>
      <c r="AF91" s="147">
        <f t="shared" si="38"/>
        <v>1.9138950482816846</v>
      </c>
      <c r="AG91" s="147">
        <f t="shared" si="38"/>
        <v>2.0557187141442146</v>
      </c>
      <c r="AH91" s="147">
        <f t="shared" si="38"/>
        <v>2.1807829396979503</v>
      </c>
      <c r="AI91" s="147">
        <f t="shared" si="38"/>
        <v>2.2890787998168136</v>
      </c>
      <c r="AJ91" s="147">
        <f t="shared" si="38"/>
        <v>2.3809235400169406</v>
      </c>
      <c r="AK91" s="147">
        <f t="shared" si="38"/>
        <v>2.4568790881047384</v>
      </c>
      <c r="AL91" s="147">
        <f t="shared" si="38"/>
        <v>2.5176856171558732</v>
      </c>
      <c r="AM91" s="147">
        <f t="shared" si="38"/>
        <v>2.564207695610925</v>
      </c>
      <c r="AN91" s="147">
        <f t="shared" si="38"/>
        <v>2.5973909395725769</v>
      </c>
      <c r="AO91" s="147">
        <f t="shared" si="38"/>
        <v>2.6182274053303409</v>
      </c>
      <c r="AP91" s="147">
        <f t="shared" si="38"/>
        <v>2.6277282349196724</v>
      </c>
      <c r="AQ91" s="147">
        <f t="shared" si="38"/>
        <v>2.626902301161131</v>
      </c>
      <c r="AR91" s="147">
        <f t="shared" si="38"/>
        <v>2.6167397971342226</v>
      </c>
      <c r="AS91" s="147">
        <f t="shared" si="38"/>
        <v>2.5981998835638649</v>
      </c>
      <c r="AT91" s="147">
        <f t="shared" si="38"/>
        <v>1.3801503036642727E-2</v>
      </c>
      <c r="AU91" s="147">
        <f t="shared" si="38"/>
        <v>8.870660069358649E-2</v>
      </c>
      <c r="AV91" s="147">
        <f t="shared" si="38"/>
        <v>0.21889250191111381</v>
      </c>
    </row>
    <row r="92" spans="2:48" ht="12.95" customHeight="1" x14ac:dyDescent="0.2">
      <c r="B92" s="14"/>
      <c r="C92" s="253" t="s">
        <v>861</v>
      </c>
      <c r="F92" s="253" t="s">
        <v>493</v>
      </c>
      <c r="G92" s="253" t="s">
        <v>395</v>
      </c>
      <c r="H92" s="277"/>
      <c r="I92" s="147"/>
      <c r="J92" s="147"/>
      <c r="K92" s="147"/>
      <c r="L92" s="147">
        <f t="shared" ref="L92:AV92" si="39">IF(L10=1,L51,L51-K51)</f>
        <v>2.3809235400169406</v>
      </c>
      <c r="M92" s="147">
        <f t="shared" si="39"/>
        <v>2.4568790881047384</v>
      </c>
      <c r="N92" s="147">
        <f t="shared" si="39"/>
        <v>2.5176856171558732</v>
      </c>
      <c r="O92" s="147">
        <f t="shared" si="39"/>
        <v>2.564207695610925</v>
      </c>
      <c r="P92" s="147">
        <f t="shared" si="39"/>
        <v>2.5973909395725769</v>
      </c>
      <c r="Q92" s="147">
        <f t="shared" si="39"/>
        <v>2.6182274053303409</v>
      </c>
      <c r="R92" s="147">
        <f t="shared" si="39"/>
        <v>2.6277282349196724</v>
      </c>
      <c r="S92" s="147">
        <f t="shared" si="39"/>
        <v>2.626902301161131</v>
      </c>
      <c r="T92" s="147">
        <f t="shared" si="39"/>
        <v>2.6167397971342226</v>
      </c>
      <c r="U92" s="147">
        <f t="shared" si="39"/>
        <v>2.5981998835638649</v>
      </c>
      <c r="V92" s="147">
        <f t="shared" si="39"/>
        <v>1.3801503036642727E-2</v>
      </c>
      <c r="W92" s="147">
        <f t="shared" si="39"/>
        <v>8.870660069358649E-2</v>
      </c>
      <c r="X92" s="147">
        <f t="shared" si="39"/>
        <v>0.21889250191111381</v>
      </c>
      <c r="Y92" s="147">
        <f t="shared" si="39"/>
        <v>0.38679027443885877</v>
      </c>
      <c r="Z92" s="147">
        <f t="shared" si="39"/>
        <v>0.57839942135411293</v>
      </c>
      <c r="AA92" s="147">
        <f t="shared" si="39"/>
        <v>0.7826745636946395</v>
      </c>
      <c r="AB92" s="147">
        <f t="shared" si="39"/>
        <v>0.99100916955596396</v>
      </c>
      <c r="AC92" s="147">
        <f t="shared" si="39"/>
        <v>1.1968016682944005</v>
      </c>
      <c r="AD92" s="147">
        <f t="shared" si="39"/>
        <v>1.3950914428611982</v>
      </c>
      <c r="AE92" s="147">
        <f t="shared" si="39"/>
        <v>1.5822540365492577</v>
      </c>
      <c r="AF92" s="147">
        <f t="shared" si="39"/>
        <v>1.7557464869953625</v>
      </c>
      <c r="AG92" s="147">
        <f t="shared" si="39"/>
        <v>1.9138950482816846</v>
      </c>
      <c r="AH92" s="147">
        <f t="shared" si="39"/>
        <v>2.0557187141442146</v>
      </c>
      <c r="AI92" s="147">
        <f t="shared" si="39"/>
        <v>2.1807829396979503</v>
      </c>
      <c r="AJ92" s="147">
        <f t="shared" si="39"/>
        <v>2.2890787998168136</v>
      </c>
      <c r="AK92" s="147">
        <f t="shared" si="39"/>
        <v>2.3809235400169406</v>
      </c>
      <c r="AL92" s="147">
        <f t="shared" si="39"/>
        <v>2.4568790881047384</v>
      </c>
      <c r="AM92" s="147">
        <f t="shared" si="39"/>
        <v>2.5176856171558732</v>
      </c>
      <c r="AN92" s="147">
        <f t="shared" si="39"/>
        <v>2.564207695610925</v>
      </c>
      <c r="AO92" s="147">
        <f t="shared" si="39"/>
        <v>2.5973909395725769</v>
      </c>
      <c r="AP92" s="147">
        <f t="shared" si="39"/>
        <v>2.6182274053303409</v>
      </c>
      <c r="AQ92" s="147">
        <f t="shared" si="39"/>
        <v>2.6277282349196724</v>
      </c>
      <c r="AR92" s="147">
        <f t="shared" si="39"/>
        <v>2.626902301161131</v>
      </c>
      <c r="AS92" s="147">
        <f t="shared" si="39"/>
        <v>2.6167397971342226</v>
      </c>
      <c r="AT92" s="147">
        <f t="shared" si="39"/>
        <v>2.5981998835638649</v>
      </c>
      <c r="AU92" s="147">
        <f t="shared" si="39"/>
        <v>1.3801503036642727E-2</v>
      </c>
      <c r="AV92" s="147">
        <f t="shared" si="39"/>
        <v>8.870660069358649E-2</v>
      </c>
    </row>
    <row r="93" spans="2:48" ht="12.95" customHeight="1" x14ac:dyDescent="0.2">
      <c r="B93" s="14"/>
      <c r="C93" s="253" t="s">
        <v>862</v>
      </c>
      <c r="F93" s="253" t="s">
        <v>493</v>
      </c>
      <c r="G93" s="253" t="s">
        <v>395</v>
      </c>
      <c r="H93" s="277"/>
      <c r="I93" s="147"/>
      <c r="J93" s="147"/>
      <c r="K93" s="147"/>
      <c r="L93" s="147"/>
      <c r="M93" s="147">
        <f t="shared" ref="M93:AV93" si="40">IF(M11=1,M52,M52-L52)</f>
        <v>2.3809235400169406</v>
      </c>
      <c r="N93" s="147">
        <f t="shared" si="40"/>
        <v>2.4568790881047384</v>
      </c>
      <c r="O93" s="147">
        <f t="shared" si="40"/>
        <v>2.5176856171558732</v>
      </c>
      <c r="P93" s="147">
        <f t="shared" si="40"/>
        <v>2.564207695610925</v>
      </c>
      <c r="Q93" s="147">
        <f t="shared" si="40"/>
        <v>2.5973909395725769</v>
      </c>
      <c r="R93" s="147">
        <f t="shared" si="40"/>
        <v>2.6182274053303409</v>
      </c>
      <c r="S93" s="147">
        <f t="shared" si="40"/>
        <v>2.6277282349196724</v>
      </c>
      <c r="T93" s="147">
        <f t="shared" si="40"/>
        <v>2.626902301161131</v>
      </c>
      <c r="U93" s="147">
        <f t="shared" si="40"/>
        <v>2.6167397971342226</v>
      </c>
      <c r="V93" s="147">
        <f t="shared" si="40"/>
        <v>2.5981998835638649</v>
      </c>
      <c r="W93" s="147">
        <f t="shared" si="40"/>
        <v>1.3801503036642727E-2</v>
      </c>
      <c r="X93" s="147">
        <f t="shared" si="40"/>
        <v>8.870660069358649E-2</v>
      </c>
      <c r="Y93" s="147">
        <f t="shared" si="40"/>
        <v>0.21889250191111381</v>
      </c>
      <c r="Z93" s="147">
        <f t="shared" si="40"/>
        <v>0.38679027443885877</v>
      </c>
      <c r="AA93" s="147">
        <f t="shared" si="40"/>
        <v>0.57839942135411293</v>
      </c>
      <c r="AB93" s="147">
        <f t="shared" si="40"/>
        <v>0.7826745636946395</v>
      </c>
      <c r="AC93" s="147">
        <f t="shared" si="40"/>
        <v>0.99100916955596396</v>
      </c>
      <c r="AD93" s="147">
        <f t="shared" si="40"/>
        <v>1.1968016682944005</v>
      </c>
      <c r="AE93" s="147">
        <f t="shared" si="40"/>
        <v>1.3950914428611982</v>
      </c>
      <c r="AF93" s="147">
        <f t="shared" si="40"/>
        <v>1.5822540365492577</v>
      </c>
      <c r="AG93" s="147">
        <f t="shared" si="40"/>
        <v>1.7557464869953625</v>
      </c>
      <c r="AH93" s="147">
        <f t="shared" si="40"/>
        <v>1.9138950482816846</v>
      </c>
      <c r="AI93" s="147">
        <f t="shared" si="40"/>
        <v>2.0557187141442146</v>
      </c>
      <c r="AJ93" s="147">
        <f t="shared" si="40"/>
        <v>2.1807829396979503</v>
      </c>
      <c r="AK93" s="147">
        <f t="shared" si="40"/>
        <v>2.2890787998168136</v>
      </c>
      <c r="AL93" s="147">
        <f t="shared" si="40"/>
        <v>2.3809235400169406</v>
      </c>
      <c r="AM93" s="147">
        <f t="shared" si="40"/>
        <v>2.4568790881047384</v>
      </c>
      <c r="AN93" s="147">
        <f t="shared" si="40"/>
        <v>2.5176856171558732</v>
      </c>
      <c r="AO93" s="147">
        <f t="shared" si="40"/>
        <v>2.564207695610925</v>
      </c>
      <c r="AP93" s="147">
        <f t="shared" si="40"/>
        <v>2.5973909395725769</v>
      </c>
      <c r="AQ93" s="147">
        <f t="shared" si="40"/>
        <v>2.6182274053303409</v>
      </c>
      <c r="AR93" s="147">
        <f t="shared" si="40"/>
        <v>2.6277282349196724</v>
      </c>
      <c r="AS93" s="147">
        <f t="shared" si="40"/>
        <v>2.626902301161131</v>
      </c>
      <c r="AT93" s="147">
        <f t="shared" si="40"/>
        <v>2.6167397971342226</v>
      </c>
      <c r="AU93" s="147">
        <f t="shared" si="40"/>
        <v>2.5981998835638649</v>
      </c>
      <c r="AV93" s="147">
        <f t="shared" si="40"/>
        <v>1.3801503036642727E-2</v>
      </c>
    </row>
    <row r="94" spans="2:48" ht="12.95" customHeight="1" x14ac:dyDescent="0.2">
      <c r="B94" s="14"/>
      <c r="C94" s="253" t="s">
        <v>863</v>
      </c>
      <c r="F94" s="253" t="s">
        <v>493</v>
      </c>
      <c r="G94" s="253" t="s">
        <v>395</v>
      </c>
      <c r="H94" s="277"/>
      <c r="I94" s="147"/>
      <c r="J94" s="147"/>
      <c r="K94" s="147"/>
      <c r="L94" s="147"/>
      <c r="M94" s="147"/>
      <c r="N94" s="147">
        <f t="shared" ref="N94:AV94" si="41">IF(N12=1,N53,N53-M53)</f>
        <v>2.3809235400169406</v>
      </c>
      <c r="O94" s="147">
        <f t="shared" si="41"/>
        <v>2.4568790881047384</v>
      </c>
      <c r="P94" s="147">
        <f t="shared" si="41"/>
        <v>2.5176856171558732</v>
      </c>
      <c r="Q94" s="147">
        <f t="shared" si="41"/>
        <v>2.564207695610925</v>
      </c>
      <c r="R94" s="147">
        <f t="shared" si="41"/>
        <v>2.5973909395725769</v>
      </c>
      <c r="S94" s="147">
        <f t="shared" si="41"/>
        <v>2.6182274053303409</v>
      </c>
      <c r="T94" s="147">
        <f t="shared" si="41"/>
        <v>2.6277282349196724</v>
      </c>
      <c r="U94" s="147">
        <f t="shared" si="41"/>
        <v>2.626902301161131</v>
      </c>
      <c r="V94" s="147">
        <f t="shared" si="41"/>
        <v>2.6167397971342226</v>
      </c>
      <c r="W94" s="147">
        <f t="shared" si="41"/>
        <v>2.5981998835638649</v>
      </c>
      <c r="X94" s="147">
        <f t="shared" si="41"/>
        <v>1.3801503036642727E-2</v>
      </c>
      <c r="Y94" s="147">
        <f t="shared" si="41"/>
        <v>8.870660069358649E-2</v>
      </c>
      <c r="Z94" s="147">
        <f t="shared" si="41"/>
        <v>0.21889250191111381</v>
      </c>
      <c r="AA94" s="147">
        <f t="shared" si="41"/>
        <v>0.38679027443885877</v>
      </c>
      <c r="AB94" s="147">
        <f t="shared" si="41"/>
        <v>0.57839942135411293</v>
      </c>
      <c r="AC94" s="147">
        <f t="shared" si="41"/>
        <v>0.7826745636946395</v>
      </c>
      <c r="AD94" s="147">
        <f t="shared" si="41"/>
        <v>0.99100916955596396</v>
      </c>
      <c r="AE94" s="147">
        <f t="shared" si="41"/>
        <v>1.1968016682944005</v>
      </c>
      <c r="AF94" s="147">
        <f t="shared" si="41"/>
        <v>1.3950914428611982</v>
      </c>
      <c r="AG94" s="147">
        <f t="shared" si="41"/>
        <v>1.5822540365492577</v>
      </c>
      <c r="AH94" s="147">
        <f t="shared" si="41"/>
        <v>1.7557464869953625</v>
      </c>
      <c r="AI94" s="147">
        <f t="shared" si="41"/>
        <v>1.9138950482816846</v>
      </c>
      <c r="AJ94" s="147">
        <f t="shared" si="41"/>
        <v>2.0557187141442146</v>
      </c>
      <c r="AK94" s="147">
        <f t="shared" si="41"/>
        <v>2.1807829396979503</v>
      </c>
      <c r="AL94" s="147">
        <f t="shared" si="41"/>
        <v>2.2890787998168136</v>
      </c>
      <c r="AM94" s="147">
        <f t="shared" si="41"/>
        <v>2.3809235400169406</v>
      </c>
      <c r="AN94" s="147">
        <f t="shared" si="41"/>
        <v>2.4568790881047384</v>
      </c>
      <c r="AO94" s="147">
        <f t="shared" si="41"/>
        <v>2.5176856171558732</v>
      </c>
      <c r="AP94" s="147">
        <f t="shared" si="41"/>
        <v>2.564207695610925</v>
      </c>
      <c r="AQ94" s="147">
        <f t="shared" si="41"/>
        <v>2.5973909395725769</v>
      </c>
      <c r="AR94" s="147">
        <f t="shared" si="41"/>
        <v>2.6182274053303409</v>
      </c>
      <c r="AS94" s="147">
        <f t="shared" si="41"/>
        <v>2.6277282349196724</v>
      </c>
      <c r="AT94" s="147">
        <f t="shared" si="41"/>
        <v>2.626902301161131</v>
      </c>
      <c r="AU94" s="147">
        <f t="shared" si="41"/>
        <v>2.6167397971342226</v>
      </c>
      <c r="AV94" s="147">
        <f t="shared" si="41"/>
        <v>2.5981998835638649</v>
      </c>
    </row>
    <row r="95" spans="2:48" ht="12.95" customHeight="1" x14ac:dyDescent="0.2">
      <c r="B95" s="14"/>
      <c r="C95" s="253" t="s">
        <v>864</v>
      </c>
      <c r="F95" s="253" t="s">
        <v>493</v>
      </c>
      <c r="G95" s="253" t="s">
        <v>395</v>
      </c>
      <c r="H95" s="277"/>
      <c r="I95" s="147"/>
      <c r="J95" s="147"/>
      <c r="K95" s="147"/>
      <c r="L95" s="147"/>
      <c r="M95" s="147"/>
      <c r="N95" s="147"/>
      <c r="O95" s="147">
        <f t="shared" ref="O95:AV95" si="42">IF(O13=1,O54,O54-N54)</f>
        <v>2.3809235400169406</v>
      </c>
      <c r="P95" s="147">
        <f t="shared" si="42"/>
        <v>2.4568790881047384</v>
      </c>
      <c r="Q95" s="147">
        <f t="shared" si="42"/>
        <v>2.5176856171558732</v>
      </c>
      <c r="R95" s="147">
        <f t="shared" si="42"/>
        <v>2.564207695610925</v>
      </c>
      <c r="S95" s="147">
        <f t="shared" si="42"/>
        <v>2.5973909395725769</v>
      </c>
      <c r="T95" s="147">
        <f t="shared" si="42"/>
        <v>2.6182274053303409</v>
      </c>
      <c r="U95" s="147">
        <f t="shared" si="42"/>
        <v>2.6277282349196724</v>
      </c>
      <c r="V95" s="147">
        <f t="shared" si="42"/>
        <v>2.626902301161131</v>
      </c>
      <c r="W95" s="147">
        <f t="shared" si="42"/>
        <v>2.6167397971342226</v>
      </c>
      <c r="X95" s="147">
        <f t="shared" si="42"/>
        <v>2.5981998835638649</v>
      </c>
      <c r="Y95" s="147">
        <f t="shared" si="42"/>
        <v>1.3801503036642727E-2</v>
      </c>
      <c r="Z95" s="147">
        <f t="shared" si="42"/>
        <v>8.870660069358649E-2</v>
      </c>
      <c r="AA95" s="147">
        <f t="shared" si="42"/>
        <v>0.21889250191111381</v>
      </c>
      <c r="AB95" s="147">
        <f t="shared" si="42"/>
        <v>0.38679027443885877</v>
      </c>
      <c r="AC95" s="147">
        <f t="shared" si="42"/>
        <v>0.57839942135411293</v>
      </c>
      <c r="AD95" s="147">
        <f t="shared" si="42"/>
        <v>0.7826745636946395</v>
      </c>
      <c r="AE95" s="147">
        <f t="shared" si="42"/>
        <v>0.99100916955596396</v>
      </c>
      <c r="AF95" s="147">
        <f t="shared" si="42"/>
        <v>1.1968016682944005</v>
      </c>
      <c r="AG95" s="147">
        <f t="shared" si="42"/>
        <v>1.3950914428611982</v>
      </c>
      <c r="AH95" s="147">
        <f t="shared" si="42"/>
        <v>1.5822540365492577</v>
      </c>
      <c r="AI95" s="147">
        <f t="shared" si="42"/>
        <v>1.7557464869953625</v>
      </c>
      <c r="AJ95" s="147">
        <f t="shared" si="42"/>
        <v>1.9138950482816846</v>
      </c>
      <c r="AK95" s="147">
        <f t="shared" si="42"/>
        <v>2.0557187141442146</v>
      </c>
      <c r="AL95" s="147">
        <f t="shared" si="42"/>
        <v>2.1807829396979503</v>
      </c>
      <c r="AM95" s="147">
        <f t="shared" si="42"/>
        <v>2.2890787998168136</v>
      </c>
      <c r="AN95" s="147">
        <f t="shared" si="42"/>
        <v>2.3809235400169406</v>
      </c>
      <c r="AO95" s="147">
        <f t="shared" si="42"/>
        <v>2.4568790881047384</v>
      </c>
      <c r="AP95" s="147">
        <f t="shared" si="42"/>
        <v>2.5176856171558732</v>
      </c>
      <c r="AQ95" s="147">
        <f t="shared" si="42"/>
        <v>2.564207695610925</v>
      </c>
      <c r="AR95" s="147">
        <f t="shared" si="42"/>
        <v>2.5973909395725769</v>
      </c>
      <c r="AS95" s="147">
        <f t="shared" si="42"/>
        <v>2.6182274053303409</v>
      </c>
      <c r="AT95" s="147">
        <f t="shared" si="42"/>
        <v>2.6277282349196724</v>
      </c>
      <c r="AU95" s="147">
        <f t="shared" si="42"/>
        <v>2.626902301161131</v>
      </c>
      <c r="AV95" s="147">
        <f t="shared" si="42"/>
        <v>2.6167397971342226</v>
      </c>
    </row>
    <row r="96" spans="2:48" ht="12.95" customHeight="1" x14ac:dyDescent="0.2">
      <c r="B96" s="14"/>
      <c r="C96" s="253" t="s">
        <v>865</v>
      </c>
      <c r="F96" s="253" t="s">
        <v>493</v>
      </c>
      <c r="G96" s="253" t="s">
        <v>395</v>
      </c>
      <c r="H96" s="277"/>
      <c r="I96" s="147"/>
      <c r="J96" s="147"/>
      <c r="K96" s="147"/>
      <c r="L96" s="147"/>
      <c r="M96" s="147"/>
      <c r="N96" s="147"/>
      <c r="O96" s="147"/>
      <c r="P96" s="147">
        <f t="shared" ref="P96:AV96" si="43">IF(P14=1,P55,P55-O55)</f>
        <v>2.3809235400169406</v>
      </c>
      <c r="Q96" s="147">
        <f t="shared" si="43"/>
        <v>2.4568790881047384</v>
      </c>
      <c r="R96" s="147">
        <f t="shared" si="43"/>
        <v>2.5176856171558732</v>
      </c>
      <c r="S96" s="147">
        <f t="shared" si="43"/>
        <v>2.564207695610925</v>
      </c>
      <c r="T96" s="147">
        <f t="shared" si="43"/>
        <v>2.5973909395725769</v>
      </c>
      <c r="U96" s="147">
        <f t="shared" si="43"/>
        <v>2.6182274053303409</v>
      </c>
      <c r="V96" s="147">
        <f t="shared" si="43"/>
        <v>2.6277282349196724</v>
      </c>
      <c r="W96" s="147">
        <f t="shared" si="43"/>
        <v>2.626902301161131</v>
      </c>
      <c r="X96" s="147">
        <f t="shared" si="43"/>
        <v>2.6167397971342226</v>
      </c>
      <c r="Y96" s="147">
        <f t="shared" si="43"/>
        <v>2.5981998835638649</v>
      </c>
      <c r="Z96" s="147">
        <f t="shared" si="43"/>
        <v>1.3801503036642727E-2</v>
      </c>
      <c r="AA96" s="147">
        <f t="shared" si="43"/>
        <v>8.870660069358649E-2</v>
      </c>
      <c r="AB96" s="147">
        <f t="shared" si="43"/>
        <v>0.21889250191111381</v>
      </c>
      <c r="AC96" s="147">
        <f t="shared" si="43"/>
        <v>0.38679027443885877</v>
      </c>
      <c r="AD96" s="147">
        <f t="shared" si="43"/>
        <v>0.57839942135411293</v>
      </c>
      <c r="AE96" s="147">
        <f t="shared" si="43"/>
        <v>0.7826745636946395</v>
      </c>
      <c r="AF96" s="147">
        <f t="shared" si="43"/>
        <v>0.99100916955596396</v>
      </c>
      <c r="AG96" s="147">
        <f t="shared" si="43"/>
        <v>1.1968016682944005</v>
      </c>
      <c r="AH96" s="147">
        <f t="shared" si="43"/>
        <v>1.3950914428611982</v>
      </c>
      <c r="AI96" s="147">
        <f t="shared" si="43"/>
        <v>1.5822540365492577</v>
      </c>
      <c r="AJ96" s="147">
        <f t="shared" si="43"/>
        <v>1.7557464869953625</v>
      </c>
      <c r="AK96" s="147">
        <f t="shared" si="43"/>
        <v>1.9138950482816846</v>
      </c>
      <c r="AL96" s="147">
        <f t="shared" si="43"/>
        <v>2.0557187141442146</v>
      </c>
      <c r="AM96" s="147">
        <f t="shared" si="43"/>
        <v>2.1807829396979503</v>
      </c>
      <c r="AN96" s="147">
        <f t="shared" si="43"/>
        <v>2.2890787998168136</v>
      </c>
      <c r="AO96" s="147">
        <f t="shared" si="43"/>
        <v>2.3809235400169406</v>
      </c>
      <c r="AP96" s="147">
        <f t="shared" si="43"/>
        <v>2.4568790881047384</v>
      </c>
      <c r="AQ96" s="147">
        <f t="shared" si="43"/>
        <v>2.5176856171558732</v>
      </c>
      <c r="AR96" s="147">
        <f t="shared" si="43"/>
        <v>2.564207695610925</v>
      </c>
      <c r="AS96" s="147">
        <f t="shared" si="43"/>
        <v>2.5973909395725769</v>
      </c>
      <c r="AT96" s="147">
        <f t="shared" si="43"/>
        <v>2.6182274053303409</v>
      </c>
      <c r="AU96" s="147">
        <f t="shared" si="43"/>
        <v>2.6277282349196724</v>
      </c>
      <c r="AV96" s="147">
        <f t="shared" si="43"/>
        <v>2.626902301161131</v>
      </c>
    </row>
    <row r="97" spans="2:48" ht="12.95" customHeight="1" x14ac:dyDescent="0.2">
      <c r="B97" s="14"/>
      <c r="C97" s="253" t="s">
        <v>866</v>
      </c>
      <c r="F97" s="253" t="s">
        <v>493</v>
      </c>
      <c r="G97" s="253" t="s">
        <v>395</v>
      </c>
      <c r="H97" s="277"/>
      <c r="I97" s="147"/>
      <c r="J97" s="147"/>
      <c r="K97" s="147"/>
      <c r="L97" s="147"/>
      <c r="M97" s="147"/>
      <c r="N97" s="147"/>
      <c r="O97" s="147"/>
      <c r="P97" s="147"/>
      <c r="Q97" s="147">
        <f t="shared" ref="Q97:AV97" si="44">IF(Q15=1,Q56,Q56-P56)</f>
        <v>2.3809235400169406</v>
      </c>
      <c r="R97" s="147">
        <f t="shared" si="44"/>
        <v>2.4568790881047384</v>
      </c>
      <c r="S97" s="147">
        <f t="shared" si="44"/>
        <v>2.5176856171558732</v>
      </c>
      <c r="T97" s="147">
        <f t="shared" si="44"/>
        <v>2.564207695610925</v>
      </c>
      <c r="U97" s="147">
        <f t="shared" si="44"/>
        <v>2.5973909395725769</v>
      </c>
      <c r="V97" s="147">
        <f t="shared" si="44"/>
        <v>2.6182274053303409</v>
      </c>
      <c r="W97" s="147">
        <f t="shared" si="44"/>
        <v>2.6277282349196724</v>
      </c>
      <c r="X97" s="147">
        <f t="shared" si="44"/>
        <v>2.626902301161131</v>
      </c>
      <c r="Y97" s="147">
        <f t="shared" si="44"/>
        <v>2.6167397971342226</v>
      </c>
      <c r="Z97" s="147">
        <f t="shared" si="44"/>
        <v>2.5981998835638649</v>
      </c>
      <c r="AA97" s="147">
        <f t="shared" si="44"/>
        <v>1.3801503036642727E-2</v>
      </c>
      <c r="AB97" s="147">
        <f t="shared" si="44"/>
        <v>8.870660069358649E-2</v>
      </c>
      <c r="AC97" s="147">
        <f t="shared" si="44"/>
        <v>0.21889250191111381</v>
      </c>
      <c r="AD97" s="147">
        <f t="shared" si="44"/>
        <v>0.38679027443885877</v>
      </c>
      <c r="AE97" s="147">
        <f t="shared" si="44"/>
        <v>0.57839942135411293</v>
      </c>
      <c r="AF97" s="147">
        <f t="shared" si="44"/>
        <v>0.7826745636946395</v>
      </c>
      <c r="AG97" s="147">
        <f t="shared" si="44"/>
        <v>0.99100916955596396</v>
      </c>
      <c r="AH97" s="147">
        <f t="shared" si="44"/>
        <v>1.1968016682944005</v>
      </c>
      <c r="AI97" s="147">
        <f t="shared" si="44"/>
        <v>1.3950914428611982</v>
      </c>
      <c r="AJ97" s="147">
        <f t="shared" si="44"/>
        <v>1.5822540365492577</v>
      </c>
      <c r="AK97" s="147">
        <f t="shared" si="44"/>
        <v>1.7557464869953625</v>
      </c>
      <c r="AL97" s="147">
        <f t="shared" si="44"/>
        <v>1.9138950482816846</v>
      </c>
      <c r="AM97" s="147">
        <f t="shared" si="44"/>
        <v>2.0557187141442146</v>
      </c>
      <c r="AN97" s="147">
        <f t="shared" si="44"/>
        <v>2.1807829396979503</v>
      </c>
      <c r="AO97" s="147">
        <f t="shared" si="44"/>
        <v>2.2890787998168136</v>
      </c>
      <c r="AP97" s="147">
        <f t="shared" si="44"/>
        <v>2.3809235400169406</v>
      </c>
      <c r="AQ97" s="147">
        <f t="shared" si="44"/>
        <v>2.4568790881047384</v>
      </c>
      <c r="AR97" s="147">
        <f t="shared" si="44"/>
        <v>2.5176856171558732</v>
      </c>
      <c r="AS97" s="147">
        <f t="shared" si="44"/>
        <v>2.564207695610925</v>
      </c>
      <c r="AT97" s="147">
        <f t="shared" si="44"/>
        <v>2.5973909395725769</v>
      </c>
      <c r="AU97" s="147">
        <f t="shared" si="44"/>
        <v>2.6182274053303409</v>
      </c>
      <c r="AV97" s="147">
        <f t="shared" si="44"/>
        <v>2.6277282349196724</v>
      </c>
    </row>
    <row r="98" spans="2:48" ht="12.95" customHeight="1" x14ac:dyDescent="0.2">
      <c r="B98" s="14"/>
      <c r="C98" s="253" t="s">
        <v>867</v>
      </c>
      <c r="F98" s="253" t="s">
        <v>493</v>
      </c>
      <c r="G98" s="253" t="s">
        <v>395</v>
      </c>
      <c r="H98" s="277"/>
      <c r="I98" s="147"/>
      <c r="J98" s="147"/>
      <c r="K98" s="147"/>
      <c r="L98" s="147"/>
      <c r="M98" s="147"/>
      <c r="N98" s="147"/>
      <c r="O98" s="147"/>
      <c r="P98" s="147"/>
      <c r="Q98" s="147"/>
      <c r="R98" s="147">
        <f t="shared" ref="R98:AV98" si="45">IF(R16=1,R57,R57-Q57)</f>
        <v>2.3809235400169406</v>
      </c>
      <c r="S98" s="147">
        <f t="shared" si="45"/>
        <v>2.4568790881047384</v>
      </c>
      <c r="T98" s="147">
        <f t="shared" si="45"/>
        <v>2.5176856171558732</v>
      </c>
      <c r="U98" s="147">
        <f t="shared" si="45"/>
        <v>2.564207695610925</v>
      </c>
      <c r="V98" s="147">
        <f t="shared" si="45"/>
        <v>2.5973909395725769</v>
      </c>
      <c r="W98" s="147">
        <f t="shared" si="45"/>
        <v>2.6182274053303409</v>
      </c>
      <c r="X98" s="147">
        <f t="shared" si="45"/>
        <v>2.6277282349196724</v>
      </c>
      <c r="Y98" s="147">
        <f t="shared" si="45"/>
        <v>2.626902301161131</v>
      </c>
      <c r="Z98" s="147">
        <f t="shared" si="45"/>
        <v>2.6167397971342226</v>
      </c>
      <c r="AA98" s="147">
        <f t="shared" si="45"/>
        <v>2.5981998835638649</v>
      </c>
      <c r="AB98" s="147">
        <f t="shared" si="45"/>
        <v>1.3801503036642727E-2</v>
      </c>
      <c r="AC98" s="147">
        <f t="shared" si="45"/>
        <v>8.870660069358649E-2</v>
      </c>
      <c r="AD98" s="147">
        <f t="shared" si="45"/>
        <v>0.21889250191111381</v>
      </c>
      <c r="AE98" s="147">
        <f t="shared" si="45"/>
        <v>0.38679027443885877</v>
      </c>
      <c r="AF98" s="147">
        <f t="shared" si="45"/>
        <v>0.57839942135411293</v>
      </c>
      <c r="AG98" s="147">
        <f t="shared" si="45"/>
        <v>0.7826745636946395</v>
      </c>
      <c r="AH98" s="147">
        <f t="shared" si="45"/>
        <v>0.99100916955596396</v>
      </c>
      <c r="AI98" s="147">
        <f t="shared" si="45"/>
        <v>1.1968016682944005</v>
      </c>
      <c r="AJ98" s="147">
        <f t="shared" si="45"/>
        <v>1.3950914428611982</v>
      </c>
      <c r="AK98" s="147">
        <f t="shared" si="45"/>
        <v>1.5822540365492577</v>
      </c>
      <c r="AL98" s="147">
        <f t="shared" si="45"/>
        <v>1.7557464869953625</v>
      </c>
      <c r="AM98" s="147">
        <f t="shared" si="45"/>
        <v>1.9138950482816846</v>
      </c>
      <c r="AN98" s="147">
        <f t="shared" si="45"/>
        <v>2.0557187141442146</v>
      </c>
      <c r="AO98" s="147">
        <f t="shared" si="45"/>
        <v>2.1807829396979503</v>
      </c>
      <c r="AP98" s="147">
        <f t="shared" si="45"/>
        <v>2.2890787998168136</v>
      </c>
      <c r="AQ98" s="147">
        <f t="shared" si="45"/>
        <v>2.3809235400169406</v>
      </c>
      <c r="AR98" s="147">
        <f t="shared" si="45"/>
        <v>2.4568790881047384</v>
      </c>
      <c r="AS98" s="147">
        <f t="shared" si="45"/>
        <v>2.5176856171558732</v>
      </c>
      <c r="AT98" s="147">
        <f t="shared" si="45"/>
        <v>2.564207695610925</v>
      </c>
      <c r="AU98" s="147">
        <f t="shared" si="45"/>
        <v>2.5973909395725769</v>
      </c>
      <c r="AV98" s="147">
        <f t="shared" si="45"/>
        <v>2.6182274053303409</v>
      </c>
    </row>
    <row r="99" spans="2:48" ht="12.95" customHeight="1" x14ac:dyDescent="0.2">
      <c r="B99" s="14"/>
      <c r="C99" s="253" t="s">
        <v>868</v>
      </c>
      <c r="F99" s="253" t="s">
        <v>493</v>
      </c>
      <c r="G99" s="253" t="s">
        <v>395</v>
      </c>
      <c r="H99" s="277"/>
      <c r="I99" s="147"/>
      <c r="J99" s="147"/>
      <c r="K99" s="147"/>
      <c r="L99" s="147"/>
      <c r="M99" s="147"/>
      <c r="N99" s="147"/>
      <c r="O99" s="147"/>
      <c r="P99" s="147"/>
      <c r="Q99" s="147"/>
      <c r="R99" s="147"/>
      <c r="S99" s="147">
        <f t="shared" ref="S99:AV99" si="46">IF(S17=1,S58,S58-R58)</f>
        <v>2.3809235400169406</v>
      </c>
      <c r="T99" s="147">
        <f t="shared" si="46"/>
        <v>2.4568790881047384</v>
      </c>
      <c r="U99" s="147">
        <f t="shared" si="46"/>
        <v>2.5176856171558732</v>
      </c>
      <c r="V99" s="147">
        <f t="shared" si="46"/>
        <v>2.564207695610925</v>
      </c>
      <c r="W99" s="147">
        <f t="shared" si="46"/>
        <v>2.5973909395725769</v>
      </c>
      <c r="X99" s="147">
        <f t="shared" si="46"/>
        <v>2.6182274053303409</v>
      </c>
      <c r="Y99" s="147">
        <f t="shared" si="46"/>
        <v>2.6277282349196724</v>
      </c>
      <c r="Z99" s="147">
        <f t="shared" si="46"/>
        <v>2.626902301161131</v>
      </c>
      <c r="AA99" s="147">
        <f t="shared" si="46"/>
        <v>2.6167397971342226</v>
      </c>
      <c r="AB99" s="147">
        <f t="shared" si="46"/>
        <v>2.5981998835638649</v>
      </c>
      <c r="AC99" s="147">
        <f t="shared" si="46"/>
        <v>1.3801503036642727E-2</v>
      </c>
      <c r="AD99" s="147">
        <f t="shared" si="46"/>
        <v>8.870660069358649E-2</v>
      </c>
      <c r="AE99" s="147">
        <f t="shared" si="46"/>
        <v>0.21889250191111381</v>
      </c>
      <c r="AF99" s="147">
        <f t="shared" si="46"/>
        <v>0.38679027443885877</v>
      </c>
      <c r="AG99" s="147">
        <f t="shared" si="46"/>
        <v>0.57839942135411293</v>
      </c>
      <c r="AH99" s="147">
        <f t="shared" si="46"/>
        <v>0.7826745636946395</v>
      </c>
      <c r="AI99" s="147">
        <f t="shared" si="46"/>
        <v>0.99100916955596396</v>
      </c>
      <c r="AJ99" s="147">
        <f t="shared" si="46"/>
        <v>1.1968016682944005</v>
      </c>
      <c r="AK99" s="147">
        <f t="shared" si="46"/>
        <v>1.3950914428611982</v>
      </c>
      <c r="AL99" s="147">
        <f t="shared" si="46"/>
        <v>1.5822540365492577</v>
      </c>
      <c r="AM99" s="147">
        <f t="shared" si="46"/>
        <v>1.7557464869953625</v>
      </c>
      <c r="AN99" s="147">
        <f t="shared" si="46"/>
        <v>1.9138950482816846</v>
      </c>
      <c r="AO99" s="147">
        <f t="shared" si="46"/>
        <v>2.0557187141442146</v>
      </c>
      <c r="AP99" s="147">
        <f t="shared" si="46"/>
        <v>2.1807829396979503</v>
      </c>
      <c r="AQ99" s="147">
        <f t="shared" si="46"/>
        <v>2.2890787998168136</v>
      </c>
      <c r="AR99" s="147">
        <f t="shared" si="46"/>
        <v>2.3809235400169406</v>
      </c>
      <c r="AS99" s="147">
        <f t="shared" si="46"/>
        <v>2.4568790881047384</v>
      </c>
      <c r="AT99" s="147">
        <f t="shared" si="46"/>
        <v>2.5176856171558732</v>
      </c>
      <c r="AU99" s="147">
        <f t="shared" si="46"/>
        <v>2.564207695610925</v>
      </c>
      <c r="AV99" s="147">
        <f t="shared" si="46"/>
        <v>2.5973909395725769</v>
      </c>
    </row>
    <row r="100" spans="2:48" ht="12.95" customHeight="1" x14ac:dyDescent="0.2">
      <c r="B100" s="14"/>
      <c r="C100" s="253" t="s">
        <v>869</v>
      </c>
      <c r="F100" s="253" t="s">
        <v>493</v>
      </c>
      <c r="G100" s="253" t="s">
        <v>395</v>
      </c>
      <c r="H100" s="277"/>
      <c r="I100" s="147"/>
      <c r="J100" s="147"/>
      <c r="K100" s="147"/>
      <c r="L100" s="147"/>
      <c r="M100" s="147"/>
      <c r="N100" s="147"/>
      <c r="O100" s="147"/>
      <c r="P100" s="147"/>
      <c r="Q100" s="147"/>
      <c r="R100" s="147"/>
      <c r="S100" s="147"/>
      <c r="T100" s="147">
        <f t="shared" ref="T100:AV100" si="47">IF(T18=1,T59,T59-S59)</f>
        <v>2.3809235400169406</v>
      </c>
      <c r="U100" s="147">
        <f t="shared" si="47"/>
        <v>2.4568790881047384</v>
      </c>
      <c r="V100" s="147">
        <f t="shared" si="47"/>
        <v>2.5176856171558732</v>
      </c>
      <c r="W100" s="147">
        <f t="shared" si="47"/>
        <v>2.564207695610925</v>
      </c>
      <c r="X100" s="147">
        <f t="shared" si="47"/>
        <v>2.5973909395725769</v>
      </c>
      <c r="Y100" s="147">
        <f t="shared" si="47"/>
        <v>2.6182274053303409</v>
      </c>
      <c r="Z100" s="147">
        <f t="shared" si="47"/>
        <v>2.6277282349196724</v>
      </c>
      <c r="AA100" s="147">
        <f t="shared" si="47"/>
        <v>2.626902301161131</v>
      </c>
      <c r="AB100" s="147">
        <f t="shared" si="47"/>
        <v>2.6167397971342226</v>
      </c>
      <c r="AC100" s="147">
        <f t="shared" si="47"/>
        <v>2.5981998835638649</v>
      </c>
      <c r="AD100" s="147">
        <f t="shared" si="47"/>
        <v>1.3801503036642727E-2</v>
      </c>
      <c r="AE100" s="147">
        <f t="shared" si="47"/>
        <v>8.870660069358649E-2</v>
      </c>
      <c r="AF100" s="147">
        <f t="shared" si="47"/>
        <v>0.21889250191111381</v>
      </c>
      <c r="AG100" s="147">
        <f t="shared" si="47"/>
        <v>0.38679027443885877</v>
      </c>
      <c r="AH100" s="147">
        <f t="shared" si="47"/>
        <v>0.57839942135411293</v>
      </c>
      <c r="AI100" s="147">
        <f t="shared" si="47"/>
        <v>0.7826745636946395</v>
      </c>
      <c r="AJ100" s="147">
        <f t="shared" si="47"/>
        <v>0.99100916955596396</v>
      </c>
      <c r="AK100" s="147">
        <f t="shared" si="47"/>
        <v>1.1968016682944005</v>
      </c>
      <c r="AL100" s="147">
        <f t="shared" si="47"/>
        <v>1.3950914428611982</v>
      </c>
      <c r="AM100" s="147">
        <f t="shared" si="47"/>
        <v>1.5822540365492577</v>
      </c>
      <c r="AN100" s="147">
        <f t="shared" si="47"/>
        <v>1.7557464869953625</v>
      </c>
      <c r="AO100" s="147">
        <f t="shared" si="47"/>
        <v>1.9138950482816846</v>
      </c>
      <c r="AP100" s="147">
        <f t="shared" si="47"/>
        <v>2.0557187141442146</v>
      </c>
      <c r="AQ100" s="147">
        <f t="shared" si="47"/>
        <v>2.1807829396979503</v>
      </c>
      <c r="AR100" s="147">
        <f t="shared" si="47"/>
        <v>2.2890787998168136</v>
      </c>
      <c r="AS100" s="147">
        <f t="shared" si="47"/>
        <v>2.3809235400169406</v>
      </c>
      <c r="AT100" s="147">
        <f t="shared" si="47"/>
        <v>2.4568790881047384</v>
      </c>
      <c r="AU100" s="147">
        <f t="shared" si="47"/>
        <v>2.5176856171558732</v>
      </c>
      <c r="AV100" s="147">
        <f t="shared" si="47"/>
        <v>2.564207695610925</v>
      </c>
    </row>
    <row r="101" spans="2:48" ht="12.95" customHeight="1" x14ac:dyDescent="0.2">
      <c r="B101" s="14"/>
      <c r="C101" s="253" t="s">
        <v>870</v>
      </c>
      <c r="F101" s="253" t="s">
        <v>493</v>
      </c>
      <c r="G101" s="253" t="s">
        <v>395</v>
      </c>
      <c r="H101" s="277"/>
      <c r="I101" s="147"/>
      <c r="J101" s="147"/>
      <c r="K101" s="147"/>
      <c r="L101" s="147"/>
      <c r="M101" s="147"/>
      <c r="N101" s="147"/>
      <c r="O101" s="147"/>
      <c r="P101" s="147"/>
      <c r="Q101" s="147"/>
      <c r="R101" s="147"/>
      <c r="S101" s="147"/>
      <c r="T101" s="147"/>
      <c r="U101" s="147">
        <f t="shared" ref="U101:AV101" si="48">IF(U19=1,U60,U60-T60)</f>
        <v>2.3809235400169406</v>
      </c>
      <c r="V101" s="147">
        <f t="shared" si="48"/>
        <v>2.4568790881047384</v>
      </c>
      <c r="W101" s="147">
        <f t="shared" si="48"/>
        <v>2.5176856171558732</v>
      </c>
      <c r="X101" s="147">
        <f t="shared" si="48"/>
        <v>2.564207695610925</v>
      </c>
      <c r="Y101" s="147">
        <f t="shared" si="48"/>
        <v>2.5973909395725769</v>
      </c>
      <c r="Z101" s="147">
        <f t="shared" si="48"/>
        <v>2.6182274053303409</v>
      </c>
      <c r="AA101" s="147">
        <f t="shared" si="48"/>
        <v>2.6277282349196724</v>
      </c>
      <c r="AB101" s="147">
        <f t="shared" si="48"/>
        <v>2.626902301161131</v>
      </c>
      <c r="AC101" s="147">
        <f t="shared" si="48"/>
        <v>2.6167397971342226</v>
      </c>
      <c r="AD101" s="147">
        <f t="shared" si="48"/>
        <v>2.5981998835638649</v>
      </c>
      <c r="AE101" s="147">
        <f t="shared" si="48"/>
        <v>1.3801503036642727E-2</v>
      </c>
      <c r="AF101" s="147">
        <f t="shared" si="48"/>
        <v>8.870660069358649E-2</v>
      </c>
      <c r="AG101" s="147">
        <f t="shared" si="48"/>
        <v>0.21889250191111381</v>
      </c>
      <c r="AH101" s="147">
        <f t="shared" si="48"/>
        <v>0.38679027443885877</v>
      </c>
      <c r="AI101" s="147">
        <f t="shared" si="48"/>
        <v>0.57839942135411293</v>
      </c>
      <c r="AJ101" s="147">
        <f t="shared" si="48"/>
        <v>0.7826745636946395</v>
      </c>
      <c r="AK101" s="147">
        <f t="shared" si="48"/>
        <v>0.99100916955596396</v>
      </c>
      <c r="AL101" s="147">
        <f t="shared" si="48"/>
        <v>1.1968016682944005</v>
      </c>
      <c r="AM101" s="147">
        <f t="shared" si="48"/>
        <v>1.3950914428611982</v>
      </c>
      <c r="AN101" s="147">
        <f t="shared" si="48"/>
        <v>1.5822540365492577</v>
      </c>
      <c r="AO101" s="147">
        <f t="shared" si="48"/>
        <v>1.7557464869953625</v>
      </c>
      <c r="AP101" s="147">
        <f t="shared" si="48"/>
        <v>1.9138950482816846</v>
      </c>
      <c r="AQ101" s="147">
        <f t="shared" si="48"/>
        <v>2.0557187141442146</v>
      </c>
      <c r="AR101" s="147">
        <f t="shared" si="48"/>
        <v>2.1807829396979503</v>
      </c>
      <c r="AS101" s="147">
        <f t="shared" si="48"/>
        <v>2.2890787998168136</v>
      </c>
      <c r="AT101" s="147">
        <f t="shared" si="48"/>
        <v>2.3809235400169406</v>
      </c>
      <c r="AU101" s="147">
        <f t="shared" si="48"/>
        <v>2.4568790881047384</v>
      </c>
      <c r="AV101" s="147">
        <f t="shared" si="48"/>
        <v>2.5176856171558732</v>
      </c>
    </row>
    <row r="102" spans="2:48" ht="12.95" customHeight="1" x14ac:dyDescent="0.2">
      <c r="B102" s="14"/>
      <c r="C102" s="253" t="s">
        <v>871</v>
      </c>
      <c r="F102" s="253" t="s">
        <v>493</v>
      </c>
      <c r="G102" s="253" t="s">
        <v>395</v>
      </c>
      <c r="H102" s="277"/>
      <c r="I102" s="147"/>
      <c r="J102" s="147"/>
      <c r="K102" s="147"/>
      <c r="L102" s="147"/>
      <c r="M102" s="147"/>
      <c r="N102" s="147"/>
      <c r="O102" s="147"/>
      <c r="P102" s="147"/>
      <c r="Q102" s="147"/>
      <c r="R102" s="147"/>
      <c r="S102" s="147"/>
      <c r="T102" s="147"/>
      <c r="U102" s="147"/>
      <c r="V102" s="147">
        <f t="shared" ref="V102:AV102" si="49">IF(V20=1,V61,V61-U61)</f>
        <v>2.3809235400169406</v>
      </c>
      <c r="W102" s="147">
        <f t="shared" si="49"/>
        <v>2.4568790881047384</v>
      </c>
      <c r="X102" s="147">
        <f t="shared" si="49"/>
        <v>2.5176856171558732</v>
      </c>
      <c r="Y102" s="147">
        <f t="shared" si="49"/>
        <v>2.564207695610925</v>
      </c>
      <c r="Z102" s="147">
        <f t="shared" si="49"/>
        <v>2.5973909395725769</v>
      </c>
      <c r="AA102" s="147">
        <f t="shared" si="49"/>
        <v>2.6182274053303409</v>
      </c>
      <c r="AB102" s="147">
        <f t="shared" si="49"/>
        <v>2.6277282349196724</v>
      </c>
      <c r="AC102" s="147">
        <f t="shared" si="49"/>
        <v>2.626902301161131</v>
      </c>
      <c r="AD102" s="147">
        <f t="shared" si="49"/>
        <v>2.6167397971342226</v>
      </c>
      <c r="AE102" s="147">
        <f t="shared" si="49"/>
        <v>2.5981998835638649</v>
      </c>
      <c r="AF102" s="147">
        <f t="shared" si="49"/>
        <v>1.3801503036642727E-2</v>
      </c>
      <c r="AG102" s="147">
        <f t="shared" si="49"/>
        <v>8.870660069358649E-2</v>
      </c>
      <c r="AH102" s="147">
        <f t="shared" si="49"/>
        <v>0.21889250191111381</v>
      </c>
      <c r="AI102" s="147">
        <f t="shared" si="49"/>
        <v>0.38679027443885877</v>
      </c>
      <c r="AJ102" s="147">
        <f t="shared" si="49"/>
        <v>0.57839942135411293</v>
      </c>
      <c r="AK102" s="147">
        <f t="shared" si="49"/>
        <v>0.7826745636946395</v>
      </c>
      <c r="AL102" s="147">
        <f t="shared" si="49"/>
        <v>0.99100916955596396</v>
      </c>
      <c r="AM102" s="147">
        <f t="shared" si="49"/>
        <v>1.1968016682944005</v>
      </c>
      <c r="AN102" s="147">
        <f t="shared" si="49"/>
        <v>1.3950914428611982</v>
      </c>
      <c r="AO102" s="147">
        <f t="shared" si="49"/>
        <v>1.5822540365492577</v>
      </c>
      <c r="AP102" s="147">
        <f t="shared" si="49"/>
        <v>1.7557464869953625</v>
      </c>
      <c r="AQ102" s="147">
        <f t="shared" si="49"/>
        <v>1.9138950482816846</v>
      </c>
      <c r="AR102" s="147">
        <f t="shared" si="49"/>
        <v>2.0557187141442146</v>
      </c>
      <c r="AS102" s="147">
        <f t="shared" si="49"/>
        <v>2.1807829396979503</v>
      </c>
      <c r="AT102" s="147">
        <f t="shared" si="49"/>
        <v>2.2890787998168136</v>
      </c>
      <c r="AU102" s="147">
        <f t="shared" si="49"/>
        <v>2.3809235400169406</v>
      </c>
      <c r="AV102" s="147">
        <f t="shared" si="49"/>
        <v>2.4568790881047384</v>
      </c>
    </row>
    <row r="103" spans="2:48" ht="12.95" customHeight="1" x14ac:dyDescent="0.2">
      <c r="B103" s="14"/>
      <c r="C103" s="253" t="s">
        <v>872</v>
      </c>
      <c r="F103" s="253" t="s">
        <v>493</v>
      </c>
      <c r="G103" s="253" t="s">
        <v>395</v>
      </c>
      <c r="H103" s="277"/>
      <c r="I103" s="147"/>
      <c r="J103" s="147"/>
      <c r="K103" s="147"/>
      <c r="L103" s="147"/>
      <c r="M103" s="147"/>
      <c r="N103" s="147"/>
      <c r="O103" s="147"/>
      <c r="P103" s="147"/>
      <c r="Q103" s="147"/>
      <c r="R103" s="147"/>
      <c r="S103" s="147"/>
      <c r="T103" s="147"/>
      <c r="U103" s="147"/>
      <c r="V103" s="147"/>
      <c r="W103" s="147">
        <f t="shared" ref="W103:AV103" si="50">IF(W21=1,W62,W62-V62)</f>
        <v>2.3809235400169406</v>
      </c>
      <c r="X103" s="147">
        <f t="shared" si="50"/>
        <v>2.4568790881047384</v>
      </c>
      <c r="Y103" s="147">
        <f t="shared" si="50"/>
        <v>2.5176856171558732</v>
      </c>
      <c r="Z103" s="147">
        <f t="shared" si="50"/>
        <v>2.564207695610925</v>
      </c>
      <c r="AA103" s="147">
        <f t="shared" si="50"/>
        <v>2.5973909395725769</v>
      </c>
      <c r="AB103" s="147">
        <f t="shared" si="50"/>
        <v>2.6182274053303409</v>
      </c>
      <c r="AC103" s="147">
        <f t="shared" si="50"/>
        <v>2.6277282349196724</v>
      </c>
      <c r="AD103" s="147">
        <f t="shared" si="50"/>
        <v>2.626902301161131</v>
      </c>
      <c r="AE103" s="147">
        <f t="shared" si="50"/>
        <v>2.6167397971342226</v>
      </c>
      <c r="AF103" s="147">
        <f t="shared" si="50"/>
        <v>2.5981998835638649</v>
      </c>
      <c r="AG103" s="147">
        <f t="shared" si="50"/>
        <v>1.3801503036642727E-2</v>
      </c>
      <c r="AH103" s="147">
        <f t="shared" si="50"/>
        <v>8.870660069358649E-2</v>
      </c>
      <c r="AI103" s="147">
        <f t="shared" si="50"/>
        <v>0.21889250191111381</v>
      </c>
      <c r="AJ103" s="147">
        <f t="shared" si="50"/>
        <v>0.38679027443885877</v>
      </c>
      <c r="AK103" s="147">
        <f t="shared" si="50"/>
        <v>0.57839942135411293</v>
      </c>
      <c r="AL103" s="147">
        <f t="shared" si="50"/>
        <v>0.7826745636946395</v>
      </c>
      <c r="AM103" s="147">
        <f t="shared" si="50"/>
        <v>0.99100916955596396</v>
      </c>
      <c r="AN103" s="147">
        <f t="shared" si="50"/>
        <v>1.1968016682944005</v>
      </c>
      <c r="AO103" s="147">
        <f t="shared" si="50"/>
        <v>1.3950914428611982</v>
      </c>
      <c r="AP103" s="147">
        <f t="shared" si="50"/>
        <v>1.5822540365492577</v>
      </c>
      <c r="AQ103" s="147">
        <f t="shared" si="50"/>
        <v>1.7557464869953625</v>
      </c>
      <c r="AR103" s="147">
        <f t="shared" si="50"/>
        <v>1.9138950482816846</v>
      </c>
      <c r="AS103" s="147">
        <f t="shared" si="50"/>
        <v>2.0557187141442146</v>
      </c>
      <c r="AT103" s="147">
        <f t="shared" si="50"/>
        <v>2.1807829396979503</v>
      </c>
      <c r="AU103" s="147">
        <f t="shared" si="50"/>
        <v>2.2890787998168136</v>
      </c>
      <c r="AV103" s="147">
        <f t="shared" si="50"/>
        <v>2.3809235400169406</v>
      </c>
    </row>
    <row r="104" spans="2:48" ht="12.95" customHeight="1" x14ac:dyDescent="0.2">
      <c r="B104" s="14"/>
      <c r="C104" s="253" t="s">
        <v>873</v>
      </c>
      <c r="F104" s="253" t="s">
        <v>493</v>
      </c>
      <c r="G104" s="253" t="s">
        <v>395</v>
      </c>
      <c r="H104" s="277"/>
      <c r="I104" s="147"/>
      <c r="J104" s="147"/>
      <c r="K104" s="147"/>
      <c r="L104" s="147"/>
      <c r="M104" s="147"/>
      <c r="N104" s="147"/>
      <c r="O104" s="147"/>
      <c r="P104" s="147"/>
      <c r="Q104" s="147"/>
      <c r="R104" s="147"/>
      <c r="S104" s="147"/>
      <c r="T104" s="147"/>
      <c r="U104" s="147"/>
      <c r="V104" s="147"/>
      <c r="W104" s="147"/>
      <c r="X104" s="147">
        <f t="shared" ref="X104:AV104" si="51">IF(X22=1,X63,X63-W63)</f>
        <v>2.3809235400169406</v>
      </c>
      <c r="Y104" s="147">
        <f t="shared" si="51"/>
        <v>2.4568790881047384</v>
      </c>
      <c r="Z104" s="147">
        <f t="shared" si="51"/>
        <v>2.5176856171558732</v>
      </c>
      <c r="AA104" s="147">
        <f t="shared" si="51"/>
        <v>2.564207695610925</v>
      </c>
      <c r="AB104" s="147">
        <f t="shared" si="51"/>
        <v>2.5973909395725769</v>
      </c>
      <c r="AC104" s="147">
        <f t="shared" si="51"/>
        <v>2.6182274053303409</v>
      </c>
      <c r="AD104" s="147">
        <f t="shared" si="51"/>
        <v>2.6277282349196724</v>
      </c>
      <c r="AE104" s="147">
        <f t="shared" si="51"/>
        <v>2.626902301161131</v>
      </c>
      <c r="AF104" s="147">
        <f t="shared" si="51"/>
        <v>2.6167397971342226</v>
      </c>
      <c r="AG104" s="147">
        <f t="shared" si="51"/>
        <v>2.5981998835638649</v>
      </c>
      <c r="AH104" s="147">
        <f t="shared" si="51"/>
        <v>1.3801503036642727E-2</v>
      </c>
      <c r="AI104" s="147">
        <f t="shared" si="51"/>
        <v>8.870660069358649E-2</v>
      </c>
      <c r="AJ104" s="147">
        <f t="shared" si="51"/>
        <v>0.21889250191111381</v>
      </c>
      <c r="AK104" s="147">
        <f t="shared" si="51"/>
        <v>0.38679027443885877</v>
      </c>
      <c r="AL104" s="147">
        <f t="shared" si="51"/>
        <v>0.57839942135411293</v>
      </c>
      <c r="AM104" s="147">
        <f t="shared" si="51"/>
        <v>0.7826745636946395</v>
      </c>
      <c r="AN104" s="147">
        <f t="shared" si="51"/>
        <v>0.99100916955596396</v>
      </c>
      <c r="AO104" s="147">
        <f t="shared" si="51"/>
        <v>1.1968016682944005</v>
      </c>
      <c r="AP104" s="147">
        <f t="shared" si="51"/>
        <v>1.3950914428611982</v>
      </c>
      <c r="AQ104" s="147">
        <f t="shared" si="51"/>
        <v>1.5822540365492577</v>
      </c>
      <c r="AR104" s="147">
        <f t="shared" si="51"/>
        <v>1.7557464869953625</v>
      </c>
      <c r="AS104" s="147">
        <f t="shared" si="51"/>
        <v>1.9138950482816846</v>
      </c>
      <c r="AT104" s="147">
        <f t="shared" si="51"/>
        <v>2.0557187141442146</v>
      </c>
      <c r="AU104" s="147">
        <f t="shared" si="51"/>
        <v>2.1807829396979503</v>
      </c>
      <c r="AV104" s="147">
        <f t="shared" si="51"/>
        <v>2.2890787998168136</v>
      </c>
    </row>
    <row r="105" spans="2:48" ht="12.95" customHeight="1" x14ac:dyDescent="0.2">
      <c r="B105" s="14"/>
      <c r="C105" s="253" t="s">
        <v>874</v>
      </c>
      <c r="F105" s="253" t="s">
        <v>493</v>
      </c>
      <c r="G105" s="253" t="s">
        <v>395</v>
      </c>
      <c r="H105" s="277"/>
      <c r="I105" s="147"/>
      <c r="J105" s="147"/>
      <c r="K105" s="147"/>
      <c r="L105" s="147"/>
      <c r="M105" s="147"/>
      <c r="N105" s="147"/>
      <c r="O105" s="147"/>
      <c r="P105" s="147"/>
      <c r="Q105" s="147"/>
      <c r="R105" s="147"/>
      <c r="S105" s="147"/>
      <c r="T105" s="147"/>
      <c r="U105" s="147"/>
      <c r="V105" s="147"/>
      <c r="W105" s="147"/>
      <c r="X105" s="147"/>
      <c r="Y105" s="147">
        <f t="shared" ref="Y105:AV105" si="52">IF(Y23=1,Y64,Y64-X64)</f>
        <v>2.3809235400169406</v>
      </c>
      <c r="Z105" s="147">
        <f t="shared" si="52"/>
        <v>2.4568790881047384</v>
      </c>
      <c r="AA105" s="147">
        <f t="shared" si="52"/>
        <v>2.5176856171558732</v>
      </c>
      <c r="AB105" s="147">
        <f t="shared" si="52"/>
        <v>2.564207695610925</v>
      </c>
      <c r="AC105" s="147">
        <f t="shared" si="52"/>
        <v>2.5973909395725769</v>
      </c>
      <c r="AD105" s="147">
        <f t="shared" si="52"/>
        <v>2.6182274053303409</v>
      </c>
      <c r="AE105" s="147">
        <f t="shared" si="52"/>
        <v>2.6277282349196724</v>
      </c>
      <c r="AF105" s="147">
        <f t="shared" si="52"/>
        <v>2.626902301161131</v>
      </c>
      <c r="AG105" s="147">
        <f t="shared" si="52"/>
        <v>2.6167397971342226</v>
      </c>
      <c r="AH105" s="147">
        <f t="shared" si="52"/>
        <v>2.5981998835638649</v>
      </c>
      <c r="AI105" s="147">
        <f t="shared" si="52"/>
        <v>1.3801503036642727E-2</v>
      </c>
      <c r="AJ105" s="147">
        <f t="shared" si="52"/>
        <v>8.870660069358649E-2</v>
      </c>
      <c r="AK105" s="147">
        <f t="shared" si="52"/>
        <v>0.21889250191111381</v>
      </c>
      <c r="AL105" s="147">
        <f t="shared" si="52"/>
        <v>0.38679027443885877</v>
      </c>
      <c r="AM105" s="147">
        <f t="shared" si="52"/>
        <v>0.57839942135411293</v>
      </c>
      <c r="AN105" s="147">
        <f t="shared" si="52"/>
        <v>0.7826745636946395</v>
      </c>
      <c r="AO105" s="147">
        <f t="shared" si="52"/>
        <v>0.99100916955596396</v>
      </c>
      <c r="AP105" s="147">
        <f t="shared" si="52"/>
        <v>1.1968016682944005</v>
      </c>
      <c r="AQ105" s="147">
        <f t="shared" si="52"/>
        <v>1.3950914428611982</v>
      </c>
      <c r="AR105" s="147">
        <f t="shared" si="52"/>
        <v>1.5822540365492577</v>
      </c>
      <c r="AS105" s="147">
        <f t="shared" si="52"/>
        <v>1.7557464869953625</v>
      </c>
      <c r="AT105" s="147">
        <f t="shared" si="52"/>
        <v>1.9138950482816846</v>
      </c>
      <c r="AU105" s="147">
        <f t="shared" si="52"/>
        <v>2.0557187141442146</v>
      </c>
      <c r="AV105" s="147">
        <f t="shared" si="52"/>
        <v>2.1807829396979503</v>
      </c>
    </row>
    <row r="106" spans="2:48" ht="12.95" customHeight="1" x14ac:dyDescent="0.2">
      <c r="B106" s="14"/>
      <c r="C106" s="253" t="s">
        <v>875</v>
      </c>
      <c r="F106" s="253" t="s">
        <v>493</v>
      </c>
      <c r="G106" s="253" t="s">
        <v>395</v>
      </c>
      <c r="H106" s="277"/>
      <c r="I106" s="147"/>
      <c r="J106" s="147"/>
      <c r="K106" s="147"/>
      <c r="L106" s="147"/>
      <c r="M106" s="147"/>
      <c r="N106" s="147"/>
      <c r="O106" s="147"/>
      <c r="P106" s="147"/>
      <c r="Q106" s="147"/>
      <c r="R106" s="147"/>
      <c r="S106" s="147"/>
      <c r="T106" s="147"/>
      <c r="U106" s="147"/>
      <c r="V106" s="147"/>
      <c r="W106" s="147"/>
      <c r="X106" s="147"/>
      <c r="Y106" s="147"/>
      <c r="Z106" s="147">
        <f t="shared" ref="Z106:AV106" si="53">IF(Z24=1,Z65,Z65-Y65)</f>
        <v>2.3809235400169406</v>
      </c>
      <c r="AA106" s="147">
        <f t="shared" si="53"/>
        <v>2.4568790881047384</v>
      </c>
      <c r="AB106" s="147">
        <f t="shared" si="53"/>
        <v>2.5176856171558732</v>
      </c>
      <c r="AC106" s="147">
        <f t="shared" si="53"/>
        <v>2.564207695610925</v>
      </c>
      <c r="AD106" s="147">
        <f t="shared" si="53"/>
        <v>2.5973909395725769</v>
      </c>
      <c r="AE106" s="147">
        <f t="shared" si="53"/>
        <v>2.6182274053303409</v>
      </c>
      <c r="AF106" s="147">
        <f t="shared" si="53"/>
        <v>2.6277282349196724</v>
      </c>
      <c r="AG106" s="147">
        <f t="shared" si="53"/>
        <v>2.626902301161131</v>
      </c>
      <c r="AH106" s="147">
        <f t="shared" si="53"/>
        <v>2.6167397971342226</v>
      </c>
      <c r="AI106" s="147">
        <f t="shared" si="53"/>
        <v>2.5981998835638649</v>
      </c>
      <c r="AJ106" s="147">
        <f t="shared" si="53"/>
        <v>1.3801503036642727E-2</v>
      </c>
      <c r="AK106" s="147">
        <f t="shared" si="53"/>
        <v>8.870660069358649E-2</v>
      </c>
      <c r="AL106" s="147">
        <f t="shared" si="53"/>
        <v>0.21889250191111381</v>
      </c>
      <c r="AM106" s="147">
        <f t="shared" si="53"/>
        <v>0.38679027443885877</v>
      </c>
      <c r="AN106" s="147">
        <f t="shared" si="53"/>
        <v>0.57839942135411293</v>
      </c>
      <c r="AO106" s="147">
        <f t="shared" si="53"/>
        <v>0.7826745636946395</v>
      </c>
      <c r="AP106" s="147">
        <f t="shared" si="53"/>
        <v>0.99100916955596396</v>
      </c>
      <c r="AQ106" s="147">
        <f t="shared" si="53"/>
        <v>1.1968016682944005</v>
      </c>
      <c r="AR106" s="147">
        <f t="shared" si="53"/>
        <v>1.3950914428611982</v>
      </c>
      <c r="AS106" s="147">
        <f t="shared" si="53"/>
        <v>1.5822540365492577</v>
      </c>
      <c r="AT106" s="147">
        <f t="shared" si="53"/>
        <v>1.7557464869953625</v>
      </c>
      <c r="AU106" s="147">
        <f t="shared" si="53"/>
        <v>1.9138950482816846</v>
      </c>
      <c r="AV106" s="147">
        <f t="shared" si="53"/>
        <v>2.0557187141442146</v>
      </c>
    </row>
    <row r="107" spans="2:48" ht="12.95" customHeight="1" x14ac:dyDescent="0.2">
      <c r="B107" s="14"/>
      <c r="C107" s="253" t="s">
        <v>876</v>
      </c>
      <c r="F107" s="253" t="s">
        <v>493</v>
      </c>
      <c r="G107" s="253" t="s">
        <v>395</v>
      </c>
      <c r="H107" s="277"/>
      <c r="I107" s="147"/>
      <c r="J107" s="147"/>
      <c r="K107" s="147"/>
      <c r="L107" s="147"/>
      <c r="M107" s="147"/>
      <c r="N107" s="147"/>
      <c r="O107" s="147"/>
      <c r="P107" s="147"/>
      <c r="Q107" s="147"/>
      <c r="R107" s="147"/>
      <c r="S107" s="147"/>
      <c r="T107" s="147"/>
      <c r="U107" s="147"/>
      <c r="V107" s="147"/>
      <c r="W107" s="147"/>
      <c r="X107" s="147"/>
      <c r="Y107" s="147"/>
      <c r="Z107" s="147"/>
      <c r="AA107" s="147">
        <f t="shared" ref="AA107:AV107" si="54">IF(AA25=1,AA66,AA66-Z66)</f>
        <v>2.3809235400169406</v>
      </c>
      <c r="AB107" s="147">
        <f t="shared" si="54"/>
        <v>2.4568790881047384</v>
      </c>
      <c r="AC107" s="147">
        <f t="shared" si="54"/>
        <v>2.5176856171558732</v>
      </c>
      <c r="AD107" s="147">
        <f t="shared" si="54"/>
        <v>2.564207695610925</v>
      </c>
      <c r="AE107" s="147">
        <f t="shared" si="54"/>
        <v>2.5973909395725769</v>
      </c>
      <c r="AF107" s="147">
        <f t="shared" si="54"/>
        <v>2.6182274053303409</v>
      </c>
      <c r="AG107" s="147">
        <f t="shared" si="54"/>
        <v>2.6277282349196724</v>
      </c>
      <c r="AH107" s="147">
        <f t="shared" si="54"/>
        <v>2.626902301161131</v>
      </c>
      <c r="AI107" s="147">
        <f t="shared" si="54"/>
        <v>2.6167397971342226</v>
      </c>
      <c r="AJ107" s="147">
        <f t="shared" si="54"/>
        <v>2.5981998835638649</v>
      </c>
      <c r="AK107" s="147">
        <f t="shared" si="54"/>
        <v>1.3801503036642727E-2</v>
      </c>
      <c r="AL107" s="147">
        <f t="shared" si="54"/>
        <v>8.870660069358649E-2</v>
      </c>
      <c r="AM107" s="147">
        <f t="shared" si="54"/>
        <v>0.21889250191111381</v>
      </c>
      <c r="AN107" s="147">
        <f t="shared" si="54"/>
        <v>0.38679027443885877</v>
      </c>
      <c r="AO107" s="147">
        <f t="shared" si="54"/>
        <v>0.57839942135411293</v>
      </c>
      <c r="AP107" s="147">
        <f t="shared" si="54"/>
        <v>0.7826745636946395</v>
      </c>
      <c r="AQ107" s="147">
        <f t="shared" si="54"/>
        <v>0.99100916955596396</v>
      </c>
      <c r="AR107" s="147">
        <f t="shared" si="54"/>
        <v>1.1968016682944005</v>
      </c>
      <c r="AS107" s="147">
        <f t="shared" si="54"/>
        <v>1.3950914428611982</v>
      </c>
      <c r="AT107" s="147">
        <f t="shared" si="54"/>
        <v>1.5822540365492577</v>
      </c>
      <c r="AU107" s="147">
        <f t="shared" si="54"/>
        <v>1.7557464869953625</v>
      </c>
      <c r="AV107" s="147">
        <f t="shared" si="54"/>
        <v>1.9138950482816846</v>
      </c>
    </row>
    <row r="108" spans="2:48" ht="12.95" customHeight="1" x14ac:dyDescent="0.2">
      <c r="B108" s="14"/>
      <c r="C108" s="253" t="s">
        <v>877</v>
      </c>
      <c r="F108" s="253" t="s">
        <v>493</v>
      </c>
      <c r="G108" s="253" t="s">
        <v>395</v>
      </c>
      <c r="H108" s="277"/>
      <c r="I108" s="147"/>
      <c r="J108" s="147"/>
      <c r="K108" s="147"/>
      <c r="L108" s="147"/>
      <c r="M108" s="147"/>
      <c r="N108" s="281"/>
      <c r="O108" s="147"/>
      <c r="P108" s="147"/>
      <c r="Q108" s="147"/>
      <c r="R108" s="147"/>
      <c r="S108" s="147"/>
      <c r="T108" s="147"/>
      <c r="U108" s="147"/>
      <c r="V108" s="147"/>
      <c r="W108" s="147"/>
      <c r="X108" s="147"/>
      <c r="Y108" s="147"/>
      <c r="Z108" s="147"/>
      <c r="AA108" s="147"/>
      <c r="AB108" s="147">
        <f t="shared" ref="AB108:AV108" si="55">IF(AB26=1,AB67,AB67-AA67)</f>
        <v>2.3809235400169406</v>
      </c>
      <c r="AC108" s="147">
        <f t="shared" si="55"/>
        <v>2.4568790881047384</v>
      </c>
      <c r="AD108" s="147">
        <f t="shared" si="55"/>
        <v>2.5176856171558732</v>
      </c>
      <c r="AE108" s="147">
        <f t="shared" si="55"/>
        <v>2.564207695610925</v>
      </c>
      <c r="AF108" s="147">
        <f t="shared" si="55"/>
        <v>2.5973909395725769</v>
      </c>
      <c r="AG108" s="147">
        <f t="shared" si="55"/>
        <v>2.6182274053303409</v>
      </c>
      <c r="AH108" s="147">
        <f t="shared" si="55"/>
        <v>2.6277282349196724</v>
      </c>
      <c r="AI108" s="147">
        <f t="shared" si="55"/>
        <v>2.626902301161131</v>
      </c>
      <c r="AJ108" s="147">
        <f t="shared" si="55"/>
        <v>2.6167397971342226</v>
      </c>
      <c r="AK108" s="147">
        <f t="shared" si="55"/>
        <v>2.5981998835638649</v>
      </c>
      <c r="AL108" s="147">
        <f t="shared" si="55"/>
        <v>1.3801503036642727E-2</v>
      </c>
      <c r="AM108" s="147">
        <f t="shared" si="55"/>
        <v>8.870660069358649E-2</v>
      </c>
      <c r="AN108" s="147">
        <f t="shared" si="55"/>
        <v>0.21889250191111381</v>
      </c>
      <c r="AO108" s="147">
        <f t="shared" si="55"/>
        <v>0.38679027443885877</v>
      </c>
      <c r="AP108" s="147">
        <f t="shared" si="55"/>
        <v>0.57839942135411293</v>
      </c>
      <c r="AQ108" s="147">
        <f t="shared" si="55"/>
        <v>0.7826745636946395</v>
      </c>
      <c r="AR108" s="147">
        <f t="shared" si="55"/>
        <v>0.99100916955596396</v>
      </c>
      <c r="AS108" s="147">
        <f t="shared" si="55"/>
        <v>1.1968016682944005</v>
      </c>
      <c r="AT108" s="147">
        <f t="shared" si="55"/>
        <v>1.3950914428611982</v>
      </c>
      <c r="AU108" s="147">
        <f t="shared" si="55"/>
        <v>1.5822540365492577</v>
      </c>
      <c r="AV108" s="147">
        <f t="shared" si="55"/>
        <v>1.7557464869953625</v>
      </c>
    </row>
    <row r="109" spans="2:48" ht="12.95" customHeight="1" x14ac:dyDescent="0.2">
      <c r="B109" s="14"/>
      <c r="C109" s="253" t="s">
        <v>878</v>
      </c>
      <c r="F109" s="253" t="s">
        <v>493</v>
      </c>
      <c r="G109" s="253" t="s">
        <v>395</v>
      </c>
      <c r="H109" s="277"/>
      <c r="I109" s="147"/>
      <c r="J109" s="147"/>
      <c r="K109" s="147"/>
      <c r="L109" s="147"/>
      <c r="M109" s="147"/>
      <c r="N109" s="147"/>
      <c r="O109" s="147"/>
      <c r="P109" s="147"/>
      <c r="Q109" s="147"/>
      <c r="R109" s="147"/>
      <c r="S109" s="147"/>
      <c r="T109" s="147"/>
      <c r="U109" s="147"/>
      <c r="V109" s="147"/>
      <c r="W109" s="147"/>
      <c r="X109" s="147"/>
      <c r="Y109" s="147"/>
      <c r="Z109" s="147"/>
      <c r="AA109" s="147"/>
      <c r="AB109" s="147"/>
      <c r="AC109" s="147">
        <f t="shared" ref="AC109:AV109" si="56">IF(AC27=1,AC68,AC68-AB68)</f>
        <v>2.3809235400169406</v>
      </c>
      <c r="AD109" s="147">
        <f t="shared" si="56"/>
        <v>2.4568790881047384</v>
      </c>
      <c r="AE109" s="147">
        <f t="shared" si="56"/>
        <v>2.5176856171558732</v>
      </c>
      <c r="AF109" s="147">
        <f t="shared" si="56"/>
        <v>2.564207695610925</v>
      </c>
      <c r="AG109" s="147">
        <f t="shared" si="56"/>
        <v>2.5973909395725769</v>
      </c>
      <c r="AH109" s="147">
        <f t="shared" si="56"/>
        <v>2.6182274053303409</v>
      </c>
      <c r="AI109" s="147">
        <f t="shared" si="56"/>
        <v>2.6277282349196724</v>
      </c>
      <c r="AJ109" s="147">
        <f t="shared" si="56"/>
        <v>2.626902301161131</v>
      </c>
      <c r="AK109" s="147">
        <f t="shared" si="56"/>
        <v>2.6167397971342226</v>
      </c>
      <c r="AL109" s="147">
        <f t="shared" si="56"/>
        <v>2.5981998835638649</v>
      </c>
      <c r="AM109" s="147">
        <f t="shared" si="56"/>
        <v>1.3801503036642727E-2</v>
      </c>
      <c r="AN109" s="147">
        <f t="shared" si="56"/>
        <v>8.870660069358649E-2</v>
      </c>
      <c r="AO109" s="147">
        <f t="shared" si="56"/>
        <v>0.21889250191111381</v>
      </c>
      <c r="AP109" s="147">
        <f t="shared" si="56"/>
        <v>0.38679027443885877</v>
      </c>
      <c r="AQ109" s="147">
        <f t="shared" si="56"/>
        <v>0.57839942135411293</v>
      </c>
      <c r="AR109" s="147">
        <f t="shared" si="56"/>
        <v>0.7826745636946395</v>
      </c>
      <c r="AS109" s="147">
        <f t="shared" si="56"/>
        <v>0.99100916955596396</v>
      </c>
      <c r="AT109" s="147">
        <f t="shared" si="56"/>
        <v>1.1968016682944005</v>
      </c>
      <c r="AU109" s="147">
        <f t="shared" si="56"/>
        <v>1.3950914428611982</v>
      </c>
      <c r="AV109" s="147">
        <f t="shared" si="56"/>
        <v>1.5822540365492577</v>
      </c>
    </row>
    <row r="110" spans="2:48" ht="12.95" customHeight="1" x14ac:dyDescent="0.2">
      <c r="B110" s="14"/>
      <c r="C110" s="253" t="s">
        <v>879</v>
      </c>
      <c r="F110" s="253" t="s">
        <v>493</v>
      </c>
      <c r="G110" s="253" t="s">
        <v>395</v>
      </c>
      <c r="H110" s="27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f t="shared" ref="AD110:AV110" si="57">IF(AD28=1,AD69,AD69-AC69)</f>
        <v>2.3809235400169406</v>
      </c>
      <c r="AE110" s="147">
        <f t="shared" si="57"/>
        <v>2.4568790881047384</v>
      </c>
      <c r="AF110" s="147">
        <f t="shared" si="57"/>
        <v>2.5176856171558732</v>
      </c>
      <c r="AG110" s="147">
        <f t="shared" si="57"/>
        <v>2.564207695610925</v>
      </c>
      <c r="AH110" s="147">
        <f t="shared" si="57"/>
        <v>2.5973909395725769</v>
      </c>
      <c r="AI110" s="147">
        <f t="shared" si="57"/>
        <v>2.6182274053303409</v>
      </c>
      <c r="AJ110" s="147">
        <f t="shared" si="57"/>
        <v>2.6277282349196724</v>
      </c>
      <c r="AK110" s="147">
        <f t="shared" si="57"/>
        <v>2.626902301161131</v>
      </c>
      <c r="AL110" s="147">
        <f t="shared" si="57"/>
        <v>2.6167397971342226</v>
      </c>
      <c r="AM110" s="147">
        <f t="shared" si="57"/>
        <v>2.5981998835638649</v>
      </c>
      <c r="AN110" s="147">
        <f t="shared" si="57"/>
        <v>1.3801503036642727E-2</v>
      </c>
      <c r="AO110" s="147">
        <f t="shared" si="57"/>
        <v>8.870660069358649E-2</v>
      </c>
      <c r="AP110" s="147">
        <f t="shared" si="57"/>
        <v>0.21889250191111381</v>
      </c>
      <c r="AQ110" s="147">
        <f t="shared" si="57"/>
        <v>0.38679027443885877</v>
      </c>
      <c r="AR110" s="147">
        <f t="shared" si="57"/>
        <v>0.57839942135411293</v>
      </c>
      <c r="AS110" s="147">
        <f t="shared" si="57"/>
        <v>0.7826745636946395</v>
      </c>
      <c r="AT110" s="147">
        <f t="shared" si="57"/>
        <v>0.99100916955596396</v>
      </c>
      <c r="AU110" s="147">
        <f t="shared" si="57"/>
        <v>1.1968016682944005</v>
      </c>
      <c r="AV110" s="147">
        <f t="shared" si="57"/>
        <v>1.3950914428611982</v>
      </c>
    </row>
    <row r="111" spans="2:48" ht="12.95" customHeight="1" x14ac:dyDescent="0.2">
      <c r="B111" s="14"/>
      <c r="C111" s="253" t="s">
        <v>880</v>
      </c>
      <c r="F111" s="253" t="s">
        <v>493</v>
      </c>
      <c r="G111" s="253" t="s">
        <v>395</v>
      </c>
      <c r="H111" s="277"/>
      <c r="I111" s="147"/>
      <c r="J111" s="147"/>
      <c r="K111" s="147"/>
      <c r="L111" s="147"/>
      <c r="M111" s="147"/>
      <c r="N111" s="147"/>
      <c r="O111" s="147"/>
      <c r="P111" s="147"/>
      <c r="Q111" s="147"/>
      <c r="R111" s="147"/>
      <c r="S111" s="147"/>
      <c r="T111" s="147"/>
      <c r="U111" s="147"/>
      <c r="V111" s="147"/>
      <c r="W111" s="147"/>
      <c r="X111" s="147"/>
      <c r="Y111" s="147"/>
      <c r="Z111" s="147"/>
      <c r="AA111" s="147"/>
      <c r="AB111" s="147"/>
      <c r="AC111" s="147"/>
      <c r="AD111" s="147"/>
      <c r="AE111" s="147">
        <f t="shared" ref="AE111:AV111" si="58">IF(AE29=1,AE70,AE70-AD70)</f>
        <v>2.3809235400169406</v>
      </c>
      <c r="AF111" s="147">
        <f t="shared" si="58"/>
        <v>2.4568790881047384</v>
      </c>
      <c r="AG111" s="147">
        <f t="shared" si="58"/>
        <v>2.5176856171558732</v>
      </c>
      <c r="AH111" s="147">
        <f t="shared" si="58"/>
        <v>2.564207695610925</v>
      </c>
      <c r="AI111" s="147">
        <f t="shared" si="58"/>
        <v>2.5973909395725769</v>
      </c>
      <c r="AJ111" s="147">
        <f t="shared" si="58"/>
        <v>2.6182274053303409</v>
      </c>
      <c r="AK111" s="147">
        <f t="shared" si="58"/>
        <v>2.6277282349196724</v>
      </c>
      <c r="AL111" s="147">
        <f t="shared" si="58"/>
        <v>2.626902301161131</v>
      </c>
      <c r="AM111" s="147">
        <f t="shared" si="58"/>
        <v>2.6167397971342226</v>
      </c>
      <c r="AN111" s="147">
        <f t="shared" si="58"/>
        <v>2.5981998835638649</v>
      </c>
      <c r="AO111" s="147">
        <f t="shared" si="58"/>
        <v>1.3801503036642727E-2</v>
      </c>
      <c r="AP111" s="147">
        <f t="shared" si="58"/>
        <v>8.870660069358649E-2</v>
      </c>
      <c r="AQ111" s="147">
        <f t="shared" si="58"/>
        <v>0.21889250191111381</v>
      </c>
      <c r="AR111" s="147">
        <f t="shared" si="58"/>
        <v>0.38679027443885877</v>
      </c>
      <c r="AS111" s="147">
        <f t="shared" si="58"/>
        <v>0.57839942135411293</v>
      </c>
      <c r="AT111" s="147">
        <f t="shared" si="58"/>
        <v>0.7826745636946395</v>
      </c>
      <c r="AU111" s="147">
        <f t="shared" si="58"/>
        <v>0.99100916955596396</v>
      </c>
      <c r="AV111" s="147">
        <f t="shared" si="58"/>
        <v>1.1968016682944005</v>
      </c>
    </row>
    <row r="112" spans="2:48" ht="12.95" customHeight="1" x14ac:dyDescent="0.2">
      <c r="B112" s="14"/>
      <c r="C112" s="253" t="s">
        <v>881</v>
      </c>
      <c r="F112" s="253" t="s">
        <v>493</v>
      </c>
      <c r="G112" s="253" t="s">
        <v>395</v>
      </c>
      <c r="H112" s="277"/>
      <c r="I112" s="147"/>
      <c r="J112" s="147"/>
      <c r="K112" s="147"/>
      <c r="L112" s="147"/>
      <c r="M112" s="147"/>
      <c r="N112" s="147"/>
      <c r="O112" s="147"/>
      <c r="P112" s="147"/>
      <c r="Q112" s="147"/>
      <c r="R112" s="147"/>
      <c r="S112" s="147"/>
      <c r="T112" s="147"/>
      <c r="U112" s="147"/>
      <c r="V112" s="147"/>
      <c r="W112" s="147"/>
      <c r="X112" s="147"/>
      <c r="Y112" s="147"/>
      <c r="Z112" s="147"/>
      <c r="AA112" s="147"/>
      <c r="AB112" s="147"/>
      <c r="AC112" s="147"/>
      <c r="AD112" s="147"/>
      <c r="AE112" s="147"/>
      <c r="AF112" s="147">
        <f t="shared" ref="AF112:AV112" si="59">IF(AF30=1,AF71,AF71-AE71)</f>
        <v>2.3809235400169406</v>
      </c>
      <c r="AG112" s="147">
        <f t="shared" si="59"/>
        <v>2.4568790881047384</v>
      </c>
      <c r="AH112" s="147">
        <f t="shared" si="59"/>
        <v>2.5176856171558732</v>
      </c>
      <c r="AI112" s="147">
        <f t="shared" si="59"/>
        <v>2.564207695610925</v>
      </c>
      <c r="AJ112" s="147">
        <f t="shared" si="59"/>
        <v>2.5973909395725769</v>
      </c>
      <c r="AK112" s="147">
        <f t="shared" si="59"/>
        <v>2.6182274053303409</v>
      </c>
      <c r="AL112" s="147">
        <f t="shared" si="59"/>
        <v>2.6277282349196724</v>
      </c>
      <c r="AM112" s="147">
        <f t="shared" si="59"/>
        <v>2.626902301161131</v>
      </c>
      <c r="AN112" s="147">
        <f t="shared" si="59"/>
        <v>2.6167397971342226</v>
      </c>
      <c r="AO112" s="147">
        <f t="shared" si="59"/>
        <v>2.5981998835638649</v>
      </c>
      <c r="AP112" s="147">
        <f t="shared" si="59"/>
        <v>1.3801503036642727E-2</v>
      </c>
      <c r="AQ112" s="147">
        <f t="shared" si="59"/>
        <v>8.870660069358649E-2</v>
      </c>
      <c r="AR112" s="147">
        <f t="shared" si="59"/>
        <v>0.21889250191111381</v>
      </c>
      <c r="AS112" s="147">
        <f t="shared" si="59"/>
        <v>0.38679027443885877</v>
      </c>
      <c r="AT112" s="147">
        <f t="shared" si="59"/>
        <v>0.57839942135411293</v>
      </c>
      <c r="AU112" s="147">
        <f t="shared" si="59"/>
        <v>0.7826745636946395</v>
      </c>
      <c r="AV112" s="147">
        <f t="shared" si="59"/>
        <v>0.99100916955596396</v>
      </c>
    </row>
    <row r="113" spans="2:48" ht="12.95" customHeight="1" x14ac:dyDescent="0.2">
      <c r="B113" s="14"/>
      <c r="C113" s="253" t="s">
        <v>882</v>
      </c>
      <c r="F113" s="253" t="s">
        <v>493</v>
      </c>
      <c r="G113" s="253" t="s">
        <v>395</v>
      </c>
      <c r="H113" s="277"/>
      <c r="I113" s="147"/>
      <c r="J113" s="147"/>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f t="shared" ref="AG113:AV113" si="60">IF(AG31=1,AG72,AG72-AF72)</f>
        <v>2.3809235400169406</v>
      </c>
      <c r="AH113" s="147">
        <f t="shared" si="60"/>
        <v>2.4568790881047384</v>
      </c>
      <c r="AI113" s="147">
        <f t="shared" si="60"/>
        <v>2.5176856171558732</v>
      </c>
      <c r="AJ113" s="147">
        <f t="shared" si="60"/>
        <v>2.564207695610925</v>
      </c>
      <c r="AK113" s="147">
        <f t="shared" si="60"/>
        <v>2.5973909395725769</v>
      </c>
      <c r="AL113" s="147">
        <f t="shared" si="60"/>
        <v>2.6182274053303409</v>
      </c>
      <c r="AM113" s="147">
        <f t="shared" si="60"/>
        <v>2.6277282349196724</v>
      </c>
      <c r="AN113" s="147">
        <f t="shared" si="60"/>
        <v>2.626902301161131</v>
      </c>
      <c r="AO113" s="147">
        <f t="shared" si="60"/>
        <v>2.6167397971342226</v>
      </c>
      <c r="AP113" s="147">
        <f t="shared" si="60"/>
        <v>2.5981998835638649</v>
      </c>
      <c r="AQ113" s="147">
        <f t="shared" si="60"/>
        <v>1.3801503036642727E-2</v>
      </c>
      <c r="AR113" s="147">
        <f t="shared" si="60"/>
        <v>8.870660069358649E-2</v>
      </c>
      <c r="AS113" s="147">
        <f t="shared" si="60"/>
        <v>0.21889250191111381</v>
      </c>
      <c r="AT113" s="147">
        <f t="shared" si="60"/>
        <v>0.38679027443885877</v>
      </c>
      <c r="AU113" s="147">
        <f t="shared" si="60"/>
        <v>0.57839942135411293</v>
      </c>
      <c r="AV113" s="147">
        <f t="shared" si="60"/>
        <v>0.7826745636946395</v>
      </c>
    </row>
    <row r="114" spans="2:48" ht="12.95" customHeight="1" x14ac:dyDescent="0.2">
      <c r="B114" s="14"/>
      <c r="C114" s="253" t="s">
        <v>883</v>
      </c>
      <c r="F114" s="253" t="s">
        <v>493</v>
      </c>
      <c r="G114" s="253" t="s">
        <v>395</v>
      </c>
      <c r="H114" s="277"/>
      <c r="I114" s="147"/>
      <c r="J114" s="147"/>
      <c r="K114" s="147"/>
      <c r="L114" s="147"/>
      <c r="M114" s="147"/>
      <c r="N114" s="147"/>
      <c r="O114" s="147"/>
      <c r="P114" s="147"/>
      <c r="Q114" s="147"/>
      <c r="R114" s="147"/>
      <c r="S114" s="147"/>
      <c r="T114" s="147"/>
      <c r="U114" s="147"/>
      <c r="V114" s="147"/>
      <c r="W114" s="147"/>
      <c r="X114" s="147"/>
      <c r="Y114" s="147"/>
      <c r="Z114" s="147"/>
      <c r="AA114" s="147"/>
      <c r="AB114" s="147"/>
      <c r="AC114" s="147"/>
      <c r="AD114" s="147"/>
      <c r="AE114" s="147"/>
      <c r="AF114" s="147"/>
      <c r="AG114" s="147"/>
      <c r="AH114" s="147">
        <f t="shared" ref="AH114:AV114" si="61">IF(AH32=1,AH73,AH73-AG73)</f>
        <v>0</v>
      </c>
      <c r="AI114" s="147">
        <f t="shared" si="61"/>
        <v>0</v>
      </c>
      <c r="AJ114" s="147">
        <f t="shared" si="61"/>
        <v>0</v>
      </c>
      <c r="AK114" s="147">
        <f t="shared" si="61"/>
        <v>0</v>
      </c>
      <c r="AL114" s="147">
        <f t="shared" si="61"/>
        <v>0</v>
      </c>
      <c r="AM114" s="147">
        <f t="shared" si="61"/>
        <v>0</v>
      </c>
      <c r="AN114" s="147">
        <f t="shared" si="61"/>
        <v>0</v>
      </c>
      <c r="AO114" s="147">
        <f t="shared" si="61"/>
        <v>0</v>
      </c>
      <c r="AP114" s="147">
        <f t="shared" si="61"/>
        <v>0</v>
      </c>
      <c r="AQ114" s="147">
        <f t="shared" si="61"/>
        <v>0</v>
      </c>
      <c r="AR114" s="147">
        <f t="shared" si="61"/>
        <v>0</v>
      </c>
      <c r="AS114" s="147">
        <f t="shared" si="61"/>
        <v>0</v>
      </c>
      <c r="AT114" s="147">
        <f t="shared" si="61"/>
        <v>0</v>
      </c>
      <c r="AU114" s="147">
        <f t="shared" si="61"/>
        <v>0</v>
      </c>
      <c r="AV114" s="147">
        <f t="shared" si="61"/>
        <v>0</v>
      </c>
    </row>
    <row r="115" spans="2:48" ht="12.95" customHeight="1" x14ac:dyDescent="0.2">
      <c r="B115" s="14"/>
      <c r="C115" s="253" t="s">
        <v>884</v>
      </c>
      <c r="F115" s="253" t="s">
        <v>493</v>
      </c>
      <c r="G115" s="253" t="s">
        <v>395</v>
      </c>
      <c r="H115" s="277"/>
      <c r="I115" s="147"/>
      <c r="J115" s="147"/>
      <c r="K115" s="147"/>
      <c r="L115" s="147"/>
      <c r="M115" s="147"/>
      <c r="N115" s="147"/>
      <c r="O115" s="147"/>
      <c r="P115" s="147"/>
      <c r="Q115" s="147"/>
      <c r="R115" s="147"/>
      <c r="S115" s="147"/>
      <c r="T115" s="147"/>
      <c r="U115" s="147"/>
      <c r="V115" s="147"/>
      <c r="W115" s="147"/>
      <c r="X115" s="147"/>
      <c r="Y115" s="147"/>
      <c r="Z115" s="147"/>
      <c r="AA115" s="147"/>
      <c r="AB115" s="147"/>
      <c r="AC115" s="147"/>
      <c r="AD115" s="147"/>
      <c r="AE115" s="147"/>
      <c r="AF115" s="147"/>
      <c r="AG115" s="147"/>
      <c r="AH115" s="147"/>
      <c r="AI115" s="147">
        <f t="shared" ref="AI115:AV115" si="62">IF(AI33=1,AI74,AI74-AH74)</f>
        <v>0</v>
      </c>
      <c r="AJ115" s="147">
        <f t="shared" si="62"/>
        <v>0</v>
      </c>
      <c r="AK115" s="147">
        <f t="shared" si="62"/>
        <v>0</v>
      </c>
      <c r="AL115" s="147">
        <f t="shared" si="62"/>
        <v>0</v>
      </c>
      <c r="AM115" s="147">
        <f t="shared" si="62"/>
        <v>0</v>
      </c>
      <c r="AN115" s="147">
        <f t="shared" si="62"/>
        <v>0</v>
      </c>
      <c r="AO115" s="147">
        <f t="shared" si="62"/>
        <v>0</v>
      </c>
      <c r="AP115" s="147">
        <f t="shared" si="62"/>
        <v>0</v>
      </c>
      <c r="AQ115" s="147">
        <f t="shared" si="62"/>
        <v>0</v>
      </c>
      <c r="AR115" s="147">
        <f t="shared" si="62"/>
        <v>0</v>
      </c>
      <c r="AS115" s="147">
        <f t="shared" si="62"/>
        <v>0</v>
      </c>
      <c r="AT115" s="147">
        <f t="shared" si="62"/>
        <v>0</v>
      </c>
      <c r="AU115" s="147">
        <f t="shared" si="62"/>
        <v>0</v>
      </c>
      <c r="AV115" s="147">
        <f t="shared" si="62"/>
        <v>0</v>
      </c>
    </row>
    <row r="116" spans="2:48" ht="12.95" customHeight="1" x14ac:dyDescent="0.2">
      <c r="B116" s="14"/>
      <c r="C116" s="253" t="s">
        <v>885</v>
      </c>
      <c r="F116" s="253" t="s">
        <v>493</v>
      </c>
      <c r="G116" s="253" t="s">
        <v>395</v>
      </c>
      <c r="H116" s="277"/>
      <c r="I116" s="147"/>
      <c r="J116" s="147"/>
      <c r="K116" s="147"/>
      <c r="L116" s="147"/>
      <c r="M116" s="147"/>
      <c r="N116" s="147"/>
      <c r="O116" s="147"/>
      <c r="P116" s="147"/>
      <c r="Q116" s="147"/>
      <c r="R116" s="147"/>
      <c r="S116" s="147"/>
      <c r="T116" s="147"/>
      <c r="U116" s="147"/>
      <c r="V116" s="147"/>
      <c r="W116" s="147"/>
      <c r="X116" s="147"/>
      <c r="Y116" s="147"/>
      <c r="Z116" s="147"/>
      <c r="AA116" s="147"/>
      <c r="AB116" s="147"/>
      <c r="AC116" s="147"/>
      <c r="AD116" s="147"/>
      <c r="AE116" s="147"/>
      <c r="AF116" s="147"/>
      <c r="AG116" s="147"/>
      <c r="AH116" s="147"/>
      <c r="AI116" s="147"/>
      <c r="AJ116" s="147">
        <f t="shared" ref="AJ116:AV116" si="63">IF(AJ34=1,AJ75,AJ75-AI75)</f>
        <v>0</v>
      </c>
      <c r="AK116" s="147">
        <f t="shared" si="63"/>
        <v>0</v>
      </c>
      <c r="AL116" s="147">
        <f t="shared" si="63"/>
        <v>0</v>
      </c>
      <c r="AM116" s="147">
        <f t="shared" si="63"/>
        <v>0</v>
      </c>
      <c r="AN116" s="147">
        <f t="shared" si="63"/>
        <v>0</v>
      </c>
      <c r="AO116" s="147">
        <f t="shared" si="63"/>
        <v>0</v>
      </c>
      <c r="AP116" s="147">
        <f t="shared" si="63"/>
        <v>0</v>
      </c>
      <c r="AQ116" s="147">
        <f t="shared" si="63"/>
        <v>0</v>
      </c>
      <c r="AR116" s="147">
        <f t="shared" si="63"/>
        <v>0</v>
      </c>
      <c r="AS116" s="147">
        <f t="shared" si="63"/>
        <v>0</v>
      </c>
      <c r="AT116" s="147">
        <f t="shared" si="63"/>
        <v>0</v>
      </c>
      <c r="AU116" s="147">
        <f t="shared" si="63"/>
        <v>0</v>
      </c>
      <c r="AV116" s="147">
        <f t="shared" si="63"/>
        <v>0</v>
      </c>
    </row>
    <row r="117" spans="2:48" ht="12.95" customHeight="1" x14ac:dyDescent="0.2">
      <c r="B117" s="14"/>
      <c r="C117" s="253" t="s">
        <v>886</v>
      </c>
      <c r="F117" s="253" t="s">
        <v>493</v>
      </c>
      <c r="G117" s="253" t="s">
        <v>395</v>
      </c>
      <c r="H117" s="277"/>
      <c r="I117" s="147"/>
      <c r="J117" s="147"/>
      <c r="K117" s="147"/>
      <c r="L117" s="147"/>
      <c r="M117" s="147"/>
      <c r="N117" s="147"/>
      <c r="O117" s="147"/>
      <c r="P117" s="147"/>
      <c r="Q117" s="147"/>
      <c r="R117" s="147"/>
      <c r="S117" s="147"/>
      <c r="T117" s="147"/>
      <c r="U117" s="147"/>
      <c r="V117" s="147"/>
      <c r="W117" s="147"/>
      <c r="X117" s="147"/>
      <c r="Y117" s="147"/>
      <c r="Z117" s="147"/>
      <c r="AA117" s="147"/>
      <c r="AB117" s="147"/>
      <c r="AC117" s="147"/>
      <c r="AD117" s="147"/>
      <c r="AE117" s="147"/>
      <c r="AF117" s="147"/>
      <c r="AG117" s="147"/>
      <c r="AH117" s="147"/>
      <c r="AI117" s="147"/>
      <c r="AJ117" s="147"/>
      <c r="AK117" s="147">
        <f t="shared" ref="AK117:AV117" si="64">IF(AK35=1,AK76,AK76-AJ76)</f>
        <v>0</v>
      </c>
      <c r="AL117" s="147">
        <f t="shared" si="64"/>
        <v>0</v>
      </c>
      <c r="AM117" s="147">
        <f t="shared" si="64"/>
        <v>0</v>
      </c>
      <c r="AN117" s="147">
        <f t="shared" si="64"/>
        <v>0</v>
      </c>
      <c r="AO117" s="147">
        <f t="shared" si="64"/>
        <v>0</v>
      </c>
      <c r="AP117" s="147">
        <f t="shared" si="64"/>
        <v>0</v>
      </c>
      <c r="AQ117" s="147">
        <f t="shared" si="64"/>
        <v>0</v>
      </c>
      <c r="AR117" s="147">
        <f t="shared" si="64"/>
        <v>0</v>
      </c>
      <c r="AS117" s="147">
        <f t="shared" si="64"/>
        <v>0</v>
      </c>
      <c r="AT117" s="147">
        <f t="shared" si="64"/>
        <v>0</v>
      </c>
      <c r="AU117" s="147">
        <f t="shared" si="64"/>
        <v>0</v>
      </c>
      <c r="AV117" s="147">
        <f t="shared" si="64"/>
        <v>0</v>
      </c>
    </row>
    <row r="118" spans="2:48" ht="12.95" customHeight="1" x14ac:dyDescent="0.2">
      <c r="B118" s="14"/>
      <c r="C118" s="253" t="s">
        <v>887</v>
      </c>
      <c r="F118" s="253" t="s">
        <v>493</v>
      </c>
      <c r="G118" s="253" t="s">
        <v>395</v>
      </c>
      <c r="H118" s="277"/>
      <c r="I118" s="147"/>
      <c r="J118" s="147"/>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7"/>
      <c r="AI118" s="147"/>
      <c r="AJ118" s="147"/>
      <c r="AK118" s="147"/>
      <c r="AL118" s="147">
        <f t="shared" ref="AL118:AV118" si="65">IF(AL36=1,AL77,AL77-AK77)</f>
        <v>0</v>
      </c>
      <c r="AM118" s="147">
        <f t="shared" si="65"/>
        <v>0</v>
      </c>
      <c r="AN118" s="147">
        <f t="shared" si="65"/>
        <v>0</v>
      </c>
      <c r="AO118" s="147">
        <f t="shared" si="65"/>
        <v>0</v>
      </c>
      <c r="AP118" s="147">
        <f t="shared" si="65"/>
        <v>0</v>
      </c>
      <c r="AQ118" s="147">
        <f t="shared" si="65"/>
        <v>0</v>
      </c>
      <c r="AR118" s="147">
        <f t="shared" si="65"/>
        <v>0</v>
      </c>
      <c r="AS118" s="147">
        <f t="shared" si="65"/>
        <v>0</v>
      </c>
      <c r="AT118" s="147">
        <f t="shared" si="65"/>
        <v>0</v>
      </c>
      <c r="AU118" s="147">
        <f t="shared" si="65"/>
        <v>0</v>
      </c>
      <c r="AV118" s="147">
        <f t="shared" si="65"/>
        <v>0</v>
      </c>
    </row>
    <row r="119" spans="2:48" ht="12.95" customHeight="1" x14ac:dyDescent="0.2">
      <c r="B119" s="14"/>
      <c r="C119" s="253" t="s">
        <v>888</v>
      </c>
      <c r="F119" s="253" t="s">
        <v>493</v>
      </c>
      <c r="G119" s="253" t="s">
        <v>395</v>
      </c>
      <c r="H119" s="277"/>
      <c r="I119" s="147"/>
      <c r="J119" s="147"/>
      <c r="K119" s="147"/>
      <c r="L119" s="147"/>
      <c r="M119" s="147"/>
      <c r="N119" s="147"/>
      <c r="O119" s="147"/>
      <c r="P119" s="147"/>
      <c r="Q119" s="147"/>
      <c r="R119" s="147"/>
      <c r="S119" s="147"/>
      <c r="T119" s="147"/>
      <c r="U119" s="147"/>
      <c r="V119" s="147"/>
      <c r="W119" s="147"/>
      <c r="X119" s="147"/>
      <c r="Y119" s="147"/>
      <c r="Z119" s="147"/>
      <c r="AA119" s="147"/>
      <c r="AB119" s="147"/>
      <c r="AC119" s="147"/>
      <c r="AD119" s="147"/>
      <c r="AE119" s="147"/>
      <c r="AF119" s="147"/>
      <c r="AG119" s="147"/>
      <c r="AH119" s="147"/>
      <c r="AI119" s="147"/>
      <c r="AJ119" s="147"/>
      <c r="AK119" s="147"/>
      <c r="AL119" s="147"/>
      <c r="AM119" s="147">
        <f t="shared" ref="AM119:AV119" si="66">IF(AM37=1,AM78,AM78-AL78)</f>
        <v>0</v>
      </c>
      <c r="AN119" s="147">
        <f t="shared" si="66"/>
        <v>0</v>
      </c>
      <c r="AO119" s="147">
        <f t="shared" si="66"/>
        <v>0</v>
      </c>
      <c r="AP119" s="147">
        <f t="shared" si="66"/>
        <v>0</v>
      </c>
      <c r="AQ119" s="147">
        <f t="shared" si="66"/>
        <v>0</v>
      </c>
      <c r="AR119" s="147">
        <f t="shared" si="66"/>
        <v>0</v>
      </c>
      <c r="AS119" s="147">
        <f t="shared" si="66"/>
        <v>0</v>
      </c>
      <c r="AT119" s="147">
        <f t="shared" si="66"/>
        <v>0</v>
      </c>
      <c r="AU119" s="147">
        <f t="shared" si="66"/>
        <v>0</v>
      </c>
      <c r="AV119" s="147">
        <f t="shared" si="66"/>
        <v>0</v>
      </c>
    </row>
    <row r="120" spans="2:48" ht="12.95" customHeight="1" x14ac:dyDescent="0.2">
      <c r="B120" s="14"/>
      <c r="C120" s="253" t="s">
        <v>889</v>
      </c>
      <c r="F120" s="253" t="s">
        <v>493</v>
      </c>
      <c r="G120" s="253" t="s">
        <v>395</v>
      </c>
      <c r="H120" s="277"/>
      <c r="I120" s="147"/>
      <c r="J120" s="147"/>
      <c r="K120" s="147"/>
      <c r="L120" s="147"/>
      <c r="M120" s="147"/>
      <c r="N120" s="147"/>
      <c r="O120" s="147"/>
      <c r="P120" s="147"/>
      <c r="Q120" s="147"/>
      <c r="R120" s="147"/>
      <c r="S120" s="147"/>
      <c r="T120" s="147"/>
      <c r="U120" s="147"/>
      <c r="V120" s="147"/>
      <c r="W120" s="147"/>
      <c r="X120" s="147"/>
      <c r="Y120" s="147"/>
      <c r="Z120" s="147"/>
      <c r="AA120" s="147"/>
      <c r="AB120" s="147"/>
      <c r="AC120" s="147"/>
      <c r="AD120" s="147"/>
      <c r="AE120" s="147"/>
      <c r="AF120" s="147"/>
      <c r="AG120" s="147"/>
      <c r="AH120" s="147"/>
      <c r="AI120" s="147"/>
      <c r="AJ120" s="147"/>
      <c r="AK120" s="147"/>
      <c r="AL120" s="147"/>
      <c r="AM120" s="147"/>
      <c r="AN120" s="147">
        <f t="shared" ref="AN120:AV120" si="67">IF(AN38=1,AN79,AN79-AM79)</f>
        <v>0</v>
      </c>
      <c r="AO120" s="147">
        <f t="shared" si="67"/>
        <v>0</v>
      </c>
      <c r="AP120" s="147">
        <f t="shared" si="67"/>
        <v>0</v>
      </c>
      <c r="AQ120" s="147">
        <f t="shared" si="67"/>
        <v>0</v>
      </c>
      <c r="AR120" s="147">
        <f t="shared" si="67"/>
        <v>0</v>
      </c>
      <c r="AS120" s="147">
        <f t="shared" si="67"/>
        <v>0</v>
      </c>
      <c r="AT120" s="147">
        <f t="shared" si="67"/>
        <v>0</v>
      </c>
      <c r="AU120" s="147">
        <f t="shared" si="67"/>
        <v>0</v>
      </c>
      <c r="AV120" s="147">
        <f t="shared" si="67"/>
        <v>0</v>
      </c>
    </row>
    <row r="121" spans="2:48" ht="12.95" customHeight="1" x14ac:dyDescent="0.2">
      <c r="B121" s="14"/>
      <c r="C121" s="253" t="s">
        <v>890</v>
      </c>
      <c r="F121" s="253" t="s">
        <v>493</v>
      </c>
      <c r="G121" s="253" t="s">
        <v>395</v>
      </c>
      <c r="H121" s="277"/>
      <c r="I121" s="147"/>
      <c r="J121" s="147"/>
      <c r="K121" s="147"/>
      <c r="L121" s="147"/>
      <c r="M121" s="147"/>
      <c r="N121" s="147"/>
      <c r="O121" s="147"/>
      <c r="P121" s="147"/>
      <c r="Q121" s="147"/>
      <c r="R121" s="147"/>
      <c r="S121" s="147"/>
      <c r="T121" s="147"/>
      <c r="U121" s="147"/>
      <c r="V121" s="147"/>
      <c r="W121" s="147"/>
      <c r="X121" s="147"/>
      <c r="Y121" s="147"/>
      <c r="Z121" s="147"/>
      <c r="AA121" s="147"/>
      <c r="AB121" s="147"/>
      <c r="AC121" s="147"/>
      <c r="AD121" s="147"/>
      <c r="AE121" s="147"/>
      <c r="AF121" s="147"/>
      <c r="AG121" s="147"/>
      <c r="AH121" s="147"/>
      <c r="AI121" s="147"/>
      <c r="AJ121" s="147"/>
      <c r="AK121" s="147"/>
      <c r="AL121" s="147"/>
      <c r="AM121" s="147"/>
      <c r="AN121" s="147"/>
      <c r="AO121" s="147">
        <f t="shared" ref="AO121:AV121" si="68">IF(AO39=1,AO80,AO80-AN80)</f>
        <v>0</v>
      </c>
      <c r="AP121" s="147">
        <f t="shared" si="68"/>
        <v>0</v>
      </c>
      <c r="AQ121" s="147">
        <f t="shared" si="68"/>
        <v>0</v>
      </c>
      <c r="AR121" s="147">
        <f t="shared" si="68"/>
        <v>0</v>
      </c>
      <c r="AS121" s="147">
        <f t="shared" si="68"/>
        <v>0</v>
      </c>
      <c r="AT121" s="147">
        <f t="shared" si="68"/>
        <v>0</v>
      </c>
      <c r="AU121" s="147">
        <f t="shared" si="68"/>
        <v>0</v>
      </c>
      <c r="AV121" s="147">
        <f t="shared" si="68"/>
        <v>0</v>
      </c>
    </row>
    <row r="122" spans="2:48" ht="12.95" customHeight="1" x14ac:dyDescent="0.2">
      <c r="B122" s="14"/>
      <c r="C122" s="253" t="s">
        <v>891</v>
      </c>
      <c r="F122" s="253" t="s">
        <v>493</v>
      </c>
      <c r="G122" s="253" t="s">
        <v>395</v>
      </c>
      <c r="H122" s="277"/>
      <c r="I122" s="147"/>
      <c r="J122" s="147"/>
      <c r="K122" s="147"/>
      <c r="L122" s="147"/>
      <c r="M122" s="147"/>
      <c r="N122" s="147"/>
      <c r="O122" s="147"/>
      <c r="P122" s="147"/>
      <c r="Q122" s="147"/>
      <c r="R122" s="147"/>
      <c r="S122" s="147"/>
      <c r="T122" s="147"/>
      <c r="U122" s="147"/>
      <c r="V122" s="147"/>
      <c r="W122" s="147"/>
      <c r="X122" s="147"/>
      <c r="Y122" s="147"/>
      <c r="Z122" s="147"/>
      <c r="AA122" s="147"/>
      <c r="AB122" s="147"/>
      <c r="AC122" s="147"/>
      <c r="AD122" s="147"/>
      <c r="AE122" s="147"/>
      <c r="AF122" s="147"/>
      <c r="AG122" s="147"/>
      <c r="AH122" s="147"/>
      <c r="AI122" s="147"/>
      <c r="AJ122" s="147"/>
      <c r="AK122" s="147"/>
      <c r="AL122" s="147"/>
      <c r="AM122" s="147"/>
      <c r="AN122" s="147"/>
      <c r="AO122" s="147"/>
      <c r="AP122" s="147">
        <f t="shared" ref="AP122:AV122" si="69">IF(AP40=1,AP81,AP81-AO81)</f>
        <v>0</v>
      </c>
      <c r="AQ122" s="147">
        <f t="shared" si="69"/>
        <v>0</v>
      </c>
      <c r="AR122" s="147">
        <f t="shared" si="69"/>
        <v>0</v>
      </c>
      <c r="AS122" s="147">
        <f t="shared" si="69"/>
        <v>0</v>
      </c>
      <c r="AT122" s="147">
        <f t="shared" si="69"/>
        <v>0</v>
      </c>
      <c r="AU122" s="147">
        <f t="shared" si="69"/>
        <v>0</v>
      </c>
      <c r="AV122" s="147">
        <f t="shared" si="69"/>
        <v>0</v>
      </c>
    </row>
    <row r="123" spans="2:48" ht="12.95" customHeight="1" x14ac:dyDescent="0.2">
      <c r="B123" s="14"/>
      <c r="C123" s="253" t="s">
        <v>892</v>
      </c>
      <c r="F123" s="253" t="s">
        <v>493</v>
      </c>
      <c r="G123" s="253" t="s">
        <v>395</v>
      </c>
      <c r="H123" s="277"/>
      <c r="I123" s="147"/>
      <c r="J123" s="147"/>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7"/>
      <c r="AI123" s="147"/>
      <c r="AJ123" s="147"/>
      <c r="AK123" s="147"/>
      <c r="AL123" s="147"/>
      <c r="AM123" s="147"/>
      <c r="AN123" s="147"/>
      <c r="AO123" s="147"/>
      <c r="AP123" s="147"/>
      <c r="AQ123" s="147">
        <f t="shared" ref="AQ123:AV123" si="70">IF(AQ41=1,AQ82,AQ82-AP82)</f>
        <v>0</v>
      </c>
      <c r="AR123" s="147">
        <f t="shared" si="70"/>
        <v>0</v>
      </c>
      <c r="AS123" s="147">
        <f t="shared" si="70"/>
        <v>0</v>
      </c>
      <c r="AT123" s="147">
        <f t="shared" si="70"/>
        <v>0</v>
      </c>
      <c r="AU123" s="147">
        <f t="shared" si="70"/>
        <v>0</v>
      </c>
      <c r="AV123" s="147">
        <f t="shared" si="70"/>
        <v>0</v>
      </c>
    </row>
    <row r="124" spans="2:48" ht="12.95" customHeight="1" x14ac:dyDescent="0.2">
      <c r="B124" s="14"/>
      <c r="C124" s="253" t="s">
        <v>893</v>
      </c>
      <c r="F124" s="253" t="s">
        <v>493</v>
      </c>
      <c r="G124" s="253" t="s">
        <v>395</v>
      </c>
      <c r="H124" s="277"/>
      <c r="I124" s="147"/>
      <c r="J124" s="147"/>
      <c r="K124" s="147"/>
      <c r="L124" s="147"/>
      <c r="M124" s="147"/>
      <c r="N124" s="147"/>
      <c r="O124" s="147"/>
      <c r="P124" s="147"/>
      <c r="Q124" s="147"/>
      <c r="R124" s="147"/>
      <c r="S124" s="147"/>
      <c r="T124" s="147"/>
      <c r="U124" s="147"/>
      <c r="V124" s="147"/>
      <c r="W124" s="147"/>
      <c r="X124" s="147"/>
      <c r="Y124" s="147"/>
      <c r="Z124" s="147"/>
      <c r="AA124" s="147"/>
      <c r="AB124" s="147"/>
      <c r="AC124" s="147"/>
      <c r="AD124" s="147"/>
      <c r="AE124" s="147"/>
      <c r="AF124" s="147"/>
      <c r="AG124" s="147"/>
      <c r="AH124" s="147"/>
      <c r="AI124" s="147"/>
      <c r="AJ124" s="147"/>
      <c r="AK124" s="147"/>
      <c r="AL124" s="147"/>
      <c r="AM124" s="147"/>
      <c r="AN124" s="147"/>
      <c r="AO124" s="147"/>
      <c r="AP124" s="147"/>
      <c r="AQ124" s="147"/>
      <c r="AR124" s="147">
        <f>IF(AR42=1,AR83,AR83-AQ83)</f>
        <v>0</v>
      </c>
      <c r="AS124" s="147">
        <f>IF(AS42=1,AS83,AS83-AR83)</f>
        <v>0</v>
      </c>
      <c r="AT124" s="147">
        <f>IF(AT42=1,AT83,AT83-AS83)</f>
        <v>0</v>
      </c>
      <c r="AU124" s="147">
        <f>IF(AU42=1,AU83,AU83-AT83)</f>
        <v>0</v>
      </c>
      <c r="AV124" s="147">
        <f>IF(AV42=1,AV83,AV83-AU83)</f>
        <v>0</v>
      </c>
    </row>
    <row r="125" spans="2:48" ht="12.95" customHeight="1" x14ac:dyDescent="0.2">
      <c r="B125" s="14"/>
      <c r="C125" s="253" t="s">
        <v>894</v>
      </c>
      <c r="F125" s="253" t="s">
        <v>493</v>
      </c>
      <c r="G125" s="253" t="s">
        <v>395</v>
      </c>
      <c r="H125" s="277"/>
      <c r="I125" s="147"/>
      <c r="J125" s="147"/>
      <c r="K125" s="147"/>
      <c r="L125" s="147"/>
      <c r="M125" s="147"/>
      <c r="N125" s="147"/>
      <c r="O125" s="147"/>
      <c r="P125" s="147"/>
      <c r="Q125" s="147"/>
      <c r="R125" s="147"/>
      <c r="S125" s="147"/>
      <c r="T125" s="147"/>
      <c r="U125" s="147"/>
      <c r="V125" s="147"/>
      <c r="W125" s="147"/>
      <c r="X125" s="147"/>
      <c r="Y125" s="147"/>
      <c r="Z125" s="147"/>
      <c r="AA125" s="147"/>
      <c r="AB125" s="147"/>
      <c r="AC125" s="147"/>
      <c r="AD125" s="147"/>
      <c r="AE125" s="147"/>
      <c r="AF125" s="147"/>
      <c r="AG125" s="147"/>
      <c r="AH125" s="147"/>
      <c r="AI125" s="147"/>
      <c r="AJ125" s="147"/>
      <c r="AK125" s="147"/>
      <c r="AL125" s="147"/>
      <c r="AM125" s="147"/>
      <c r="AN125" s="147"/>
      <c r="AO125" s="147"/>
      <c r="AP125" s="147"/>
      <c r="AQ125" s="147"/>
      <c r="AR125" s="147"/>
      <c r="AS125" s="147">
        <f>IF(AS43=1,AS84,AS84-AR84)</f>
        <v>0</v>
      </c>
      <c r="AT125" s="147">
        <f>IF(AT43=1,AT84,AT84-AS84)</f>
        <v>0</v>
      </c>
      <c r="AU125" s="147">
        <f>IF(AU43=1,AU84,AU84-AT84)</f>
        <v>0</v>
      </c>
      <c r="AV125" s="147">
        <f>IF(AV43=1,AV84,AV84-AU84)</f>
        <v>0</v>
      </c>
    </row>
    <row r="126" spans="2:48" ht="12.95" customHeight="1" x14ac:dyDescent="0.2">
      <c r="B126" s="14"/>
      <c r="C126" s="253" t="s">
        <v>895</v>
      </c>
      <c r="F126" s="253" t="s">
        <v>493</v>
      </c>
      <c r="G126" s="253" t="s">
        <v>395</v>
      </c>
      <c r="H126" s="277"/>
      <c r="I126" s="147"/>
      <c r="J126" s="147"/>
      <c r="K126" s="147"/>
      <c r="L126" s="147"/>
      <c r="M126" s="147"/>
      <c r="N126" s="147"/>
      <c r="O126" s="147"/>
      <c r="P126" s="147"/>
      <c r="Q126" s="147"/>
      <c r="R126" s="147"/>
      <c r="S126" s="147"/>
      <c r="T126" s="147"/>
      <c r="U126" s="147"/>
      <c r="V126" s="147"/>
      <c r="W126" s="147"/>
      <c r="X126" s="147"/>
      <c r="Y126" s="147"/>
      <c r="Z126" s="147"/>
      <c r="AA126" s="147"/>
      <c r="AB126" s="147"/>
      <c r="AC126" s="147"/>
      <c r="AD126" s="147"/>
      <c r="AE126" s="147"/>
      <c r="AF126" s="147"/>
      <c r="AG126" s="147"/>
      <c r="AH126" s="147"/>
      <c r="AI126" s="147"/>
      <c r="AJ126" s="147"/>
      <c r="AK126" s="147"/>
      <c r="AL126" s="147"/>
      <c r="AM126" s="147"/>
      <c r="AN126" s="147"/>
      <c r="AO126" s="147"/>
      <c r="AP126" s="147"/>
      <c r="AQ126" s="147"/>
      <c r="AR126" s="147"/>
      <c r="AS126" s="147"/>
      <c r="AT126" s="147">
        <f>IF(AT44=1,AT85,AT85-AS85)</f>
        <v>0</v>
      </c>
      <c r="AU126" s="147">
        <f>IF(AU44=1,AU85,AU85-AT85)</f>
        <v>0</v>
      </c>
      <c r="AV126" s="147">
        <f>IF(AV44=1,AV85,AV85-AU85)</f>
        <v>0</v>
      </c>
    </row>
    <row r="127" spans="2:48" ht="12.95" customHeight="1" x14ac:dyDescent="0.2">
      <c r="B127" s="14"/>
      <c r="C127" s="253" t="s">
        <v>896</v>
      </c>
      <c r="F127" s="253" t="s">
        <v>493</v>
      </c>
      <c r="G127" s="253" t="s">
        <v>395</v>
      </c>
      <c r="H127" s="277"/>
      <c r="I127" s="147"/>
      <c r="J127" s="147"/>
      <c r="K127" s="147"/>
      <c r="L127" s="147"/>
      <c r="M127" s="147"/>
      <c r="N127" s="147"/>
      <c r="O127" s="147"/>
      <c r="P127" s="147"/>
      <c r="Q127" s="147"/>
      <c r="R127" s="147"/>
      <c r="S127" s="147"/>
      <c r="T127" s="147"/>
      <c r="U127" s="147"/>
      <c r="V127" s="147"/>
      <c r="W127" s="147"/>
      <c r="X127" s="147"/>
      <c r="Y127" s="147"/>
      <c r="Z127" s="147"/>
      <c r="AA127" s="147"/>
      <c r="AB127" s="147"/>
      <c r="AC127" s="147"/>
      <c r="AD127" s="147"/>
      <c r="AE127" s="147"/>
      <c r="AF127" s="147"/>
      <c r="AG127" s="147"/>
      <c r="AH127" s="147"/>
      <c r="AI127" s="147"/>
      <c r="AJ127" s="147"/>
      <c r="AK127" s="147"/>
      <c r="AL127" s="147"/>
      <c r="AM127" s="147"/>
      <c r="AN127" s="147"/>
      <c r="AO127" s="147"/>
      <c r="AP127" s="147"/>
      <c r="AQ127" s="147"/>
      <c r="AR127" s="147"/>
      <c r="AS127" s="147"/>
      <c r="AT127" s="147"/>
      <c r="AU127" s="147">
        <f>IF(AU45=1,AU86,AU86-AT86)</f>
        <v>0</v>
      </c>
      <c r="AV127" s="147">
        <f>IF(AV45=1,AV86,AV86-AU86)</f>
        <v>0</v>
      </c>
    </row>
    <row r="128" spans="2:48" ht="12.95" customHeight="1" x14ac:dyDescent="0.2">
      <c r="B128" s="14"/>
      <c r="C128" s="253" t="s">
        <v>897</v>
      </c>
      <c r="F128" s="253" t="s">
        <v>493</v>
      </c>
      <c r="G128" s="253" t="s">
        <v>395</v>
      </c>
      <c r="H128" s="277"/>
      <c r="I128" s="147"/>
      <c r="J128" s="147"/>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7"/>
      <c r="AI128" s="147"/>
      <c r="AJ128" s="147"/>
      <c r="AK128" s="147"/>
      <c r="AL128" s="147"/>
      <c r="AM128" s="147"/>
      <c r="AN128" s="147"/>
      <c r="AO128" s="147"/>
      <c r="AP128" s="147"/>
      <c r="AQ128" s="147"/>
      <c r="AR128" s="147"/>
      <c r="AS128" s="147"/>
      <c r="AT128" s="147"/>
      <c r="AU128" s="147"/>
      <c r="AV128" s="147">
        <f>IF(AV46=1,AV87,AV87-AU87)</f>
        <v>0</v>
      </c>
    </row>
    <row r="129" spans="1:50" ht="12.95" customHeight="1" x14ac:dyDescent="0.2">
      <c r="B129" s="253" t="s">
        <v>495</v>
      </c>
      <c r="F129" s="253" t="s">
        <v>493</v>
      </c>
      <c r="G129" s="253" t="s">
        <v>432</v>
      </c>
      <c r="H129" s="124"/>
      <c r="I129" s="124">
        <f>THIN!$F$29*SUM(I89:I128)</f>
        <v>954629.6769266295</v>
      </c>
      <c r="J129" s="124">
        <f>THIN!$F$29*SUM(J89:J128)</f>
        <v>1939713.6792917498</v>
      </c>
      <c r="K129" s="124">
        <f>THIN!$F$29*SUM(K89:K128)</f>
        <v>2949178.0181974974</v>
      </c>
      <c r="L129" s="124">
        <f>THIN!$F$29*SUM(L89:L128)</f>
        <v>3977295.3528752914</v>
      </c>
      <c r="M129" s="124">
        <f>THIN!$F$29*SUM(M89:M128)</f>
        <v>5018717.4866909292</v>
      </c>
      <c r="N129" s="124">
        <f>THIN!$F$29*SUM(N89:N128)</f>
        <v>6068493.9873059662</v>
      </c>
      <c r="O129" s="124">
        <f>THIN!$F$29*SUM(O89:O128)</f>
        <v>7122079.839094596</v>
      </c>
      <c r="P129" s="124">
        <f>THIN!$F$29*SUM(P89:P128)</f>
        <v>8175334.5333034778</v>
      </c>
      <c r="Q129" s="124">
        <f>THIN!$F$29*SUM(Q89:Q128)</f>
        <v>9224514.5784222409</v>
      </c>
      <c r="R129" s="124">
        <f>THIN!$F$29*SUM(R89:R128)</f>
        <v>10266261.057781981</v>
      </c>
      <c r="S129" s="124">
        <f>THIN!$F$29*SUM(S89:S128)</f>
        <v>10271794.761054484</v>
      </c>
      <c r="T129" s="124">
        <f>THIN!$F$29*SUM(T89:T128)</f>
        <v>10307361.612378394</v>
      </c>
      <c r="U129" s="124">
        <f>THIN!$F$29*SUM(U89:U128)</f>
        <v>10395126.412410393</v>
      </c>
      <c r="V129" s="124">
        <f>THIN!$F$29*SUM(V89:V128)</f>
        <v>10550209.710349185</v>
      </c>
      <c r="W129" s="124">
        <f>THIN!$F$29*SUM(W89:W128)</f>
        <v>10782118.565657448</v>
      </c>
      <c r="X129" s="124">
        <f>THIN!$F$29*SUM(X89:X128)</f>
        <v>11095931.400601819</v>
      </c>
      <c r="Y129" s="124">
        <f>THIN!$F$29*SUM(Y89:Y128)</f>
        <v>11493275.854324935</v>
      </c>
      <c r="Z129" s="124">
        <f>THIN!$F$29*SUM(Z89:Z128)</f>
        <v>11973132.670701746</v>
      </c>
      <c r="AA129" s="124">
        <f>THIN!$F$29*SUM(AA89:AA128)</f>
        <v>12532493.63756934</v>
      </c>
      <c r="AB129" s="124">
        <f>THIN!$F$29*SUM(AB89:AB128)</f>
        <v>13166897.319308789</v>
      </c>
      <c r="AC129" s="124">
        <f>THIN!$F$29*SUM(AC89:AC128)</f>
        <v>13870862.681268089</v>
      </c>
      <c r="AD129" s="124">
        <f>THIN!$F$29*SUM(AD89:AD128)</f>
        <v>14638237.601505816</v>
      </c>
      <c r="AE129" s="124">
        <f>THIN!$F$29*SUM(AE89:AE128)</f>
        <v>15462476.624285001</v>
      </c>
      <c r="AF129" s="124">
        <f>THIN!$F$29*SUM(AF89:AF128)</f>
        <v>16336860.063392056</v>
      </c>
      <c r="AG129" s="124">
        <f>THIN!$F$29*SUM(AG89:AG128)</f>
        <v>17254664.654090155</v>
      </c>
      <c r="AH129" s="124">
        <f>THIN!$F$29*SUM(AH89:AH128)</f>
        <v>17254664.654090162</v>
      </c>
      <c r="AI129" s="124">
        <f>THIN!$F$29*SUM(AI89:AI128)</f>
        <v>17254664.654090162</v>
      </c>
      <c r="AJ129" s="124">
        <f>THIN!$F$29*SUM(AJ89:AJ128)</f>
        <v>17254664.654090159</v>
      </c>
      <c r="AK129" s="124">
        <f>THIN!$F$29*SUM(AK89:AK128)</f>
        <v>17254664.654090162</v>
      </c>
      <c r="AL129" s="124">
        <f>THIN!$F$29*SUM(AL89:AL128)</f>
        <v>17254664.654090162</v>
      </c>
      <c r="AM129" s="124">
        <f>THIN!$F$29*SUM(AM89:AM128)</f>
        <v>17254664.654090159</v>
      </c>
      <c r="AN129" s="124">
        <f>THIN!$F$29*SUM(AN89:AN128)</f>
        <v>17254664.654090159</v>
      </c>
      <c r="AO129" s="124">
        <f>THIN!$F$29*SUM(AO89:AO128)</f>
        <v>17254664.654090159</v>
      </c>
      <c r="AP129" s="124">
        <f>THIN!$F$29*SUM(AP89:AP128)</f>
        <v>17254664.654090159</v>
      </c>
      <c r="AQ129" s="124">
        <f>THIN!$F$29*SUM(AQ89:AQ128)</f>
        <v>17254664.654090162</v>
      </c>
      <c r="AR129" s="124">
        <f>THIN!$F$29*SUM(AR89:AR128)</f>
        <v>17254664.654090162</v>
      </c>
      <c r="AS129" s="124">
        <f>THIN!$F$29*SUM(AS89:AS128)</f>
        <v>17254664.654090162</v>
      </c>
      <c r="AT129" s="124">
        <f>THIN!$F$29*SUM(AT89:AT128)</f>
        <v>17254664.654090162</v>
      </c>
      <c r="AU129" s="124">
        <f>THIN!$F$29*SUM(AU89:AU128)</f>
        <v>17254664.654090159</v>
      </c>
      <c r="AV129" s="124">
        <f>THIN!$F$29*SUM(AV89:AV128)</f>
        <v>17254664.654090162</v>
      </c>
    </row>
    <row r="130" spans="1:50" ht="12.95" customHeight="1" x14ac:dyDescent="0.2">
      <c r="A130" s="73"/>
      <c r="B130" s="14"/>
      <c r="G130" s="1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row>
    <row r="131" spans="1:50" ht="12.95" customHeight="1" x14ac:dyDescent="0.25">
      <c r="B131" s="307" t="s">
        <v>974</v>
      </c>
      <c r="C131" s="106"/>
      <c r="D131" s="106"/>
      <c r="E131" s="106"/>
      <c r="F131" s="106"/>
      <c r="G131" s="106"/>
      <c r="H131" s="106"/>
      <c r="I131" s="106"/>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8"/>
    </row>
    <row r="132" spans="1:50" ht="12.95" customHeight="1" x14ac:dyDescent="0.25">
      <c r="B132" s="19" t="s">
        <v>300</v>
      </c>
      <c r="C132" s="75"/>
      <c r="D132" s="75"/>
      <c r="E132" s="74"/>
      <c r="F132" s="74"/>
      <c r="G132" s="113" t="s">
        <v>1</v>
      </c>
      <c r="H132" s="114" t="s">
        <v>456</v>
      </c>
      <c r="I132" s="114" t="s">
        <v>381</v>
      </c>
      <c r="J132" s="56" t="s">
        <v>382</v>
      </c>
      <c r="K132" s="56" t="s">
        <v>383</v>
      </c>
      <c r="L132" s="56" t="s">
        <v>384</v>
      </c>
      <c r="M132" s="56" t="s">
        <v>385</v>
      </c>
      <c r="N132" s="56" t="s">
        <v>386</v>
      </c>
      <c r="O132" s="56" t="s">
        <v>387</v>
      </c>
      <c r="P132" s="56" t="s">
        <v>388</v>
      </c>
      <c r="Q132" s="56" t="s">
        <v>389</v>
      </c>
      <c r="R132" s="56" t="s">
        <v>390</v>
      </c>
      <c r="S132" s="56" t="s">
        <v>401</v>
      </c>
      <c r="T132" s="56" t="s">
        <v>402</v>
      </c>
      <c r="U132" s="56" t="s">
        <v>403</v>
      </c>
      <c r="V132" s="56" t="s">
        <v>404</v>
      </c>
      <c r="W132" s="56" t="s">
        <v>405</v>
      </c>
      <c r="X132" s="56" t="s">
        <v>406</v>
      </c>
      <c r="Y132" s="56" t="s">
        <v>407</v>
      </c>
      <c r="Z132" s="56" t="s">
        <v>408</v>
      </c>
      <c r="AA132" s="56" t="s">
        <v>409</v>
      </c>
      <c r="AB132" s="56" t="s">
        <v>410</v>
      </c>
      <c r="AC132" s="56" t="s">
        <v>411</v>
      </c>
      <c r="AD132" s="56" t="s">
        <v>412</v>
      </c>
      <c r="AE132" s="56" t="s">
        <v>413</v>
      </c>
      <c r="AF132" s="56" t="s">
        <v>414</v>
      </c>
      <c r="AG132" s="56" t="s">
        <v>415</v>
      </c>
      <c r="AH132" s="56" t="s">
        <v>416</v>
      </c>
      <c r="AI132" s="56" t="s">
        <v>417</v>
      </c>
      <c r="AJ132" s="56" t="s">
        <v>418</v>
      </c>
      <c r="AK132" s="56" t="s">
        <v>419</v>
      </c>
      <c r="AL132" s="56" t="s">
        <v>420</v>
      </c>
      <c r="AM132" s="56" t="s">
        <v>421</v>
      </c>
      <c r="AN132" s="56" t="s">
        <v>422</v>
      </c>
      <c r="AO132" s="56" t="s">
        <v>423</v>
      </c>
      <c r="AP132" s="56" t="s">
        <v>424</v>
      </c>
      <c r="AQ132" s="56" t="s">
        <v>425</v>
      </c>
      <c r="AR132" s="56" t="s">
        <v>426</v>
      </c>
      <c r="AS132" s="56" t="s">
        <v>427</v>
      </c>
      <c r="AT132" s="56" t="s">
        <v>428</v>
      </c>
      <c r="AU132" s="56" t="s">
        <v>429</v>
      </c>
      <c r="AV132" s="56" t="s">
        <v>430</v>
      </c>
      <c r="AW132" s="5" t="s">
        <v>2</v>
      </c>
      <c r="AX132" s="14"/>
    </row>
    <row r="133" spans="1:50" ht="12.95" customHeight="1" x14ac:dyDescent="0.2">
      <c r="B133" s="14" t="s">
        <v>479</v>
      </c>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1"/>
      <c r="AE133" s="171"/>
      <c r="AF133" s="171"/>
      <c r="AG133" s="171"/>
      <c r="AH133" s="171"/>
      <c r="AI133" s="171"/>
      <c r="AJ133" s="171"/>
      <c r="AK133" s="171"/>
      <c r="AL133" s="171"/>
      <c r="AM133" s="171"/>
      <c r="AN133" s="171"/>
      <c r="AO133" s="171"/>
      <c r="AP133" s="171"/>
      <c r="AQ133" s="171"/>
      <c r="AR133" s="171"/>
      <c r="AS133" s="171"/>
      <c r="AT133" s="171"/>
      <c r="AU133" s="171"/>
      <c r="AV133" s="171"/>
    </row>
    <row r="134" spans="1:50" ht="12.95" customHeight="1" x14ac:dyDescent="0.2">
      <c r="B134" s="14"/>
      <c r="C134" s="372">
        <v>1</v>
      </c>
      <c r="D134" s="372"/>
      <c r="E134" s="372"/>
      <c r="F134" s="253" t="s">
        <v>492</v>
      </c>
      <c r="G134" s="253" t="s">
        <v>4</v>
      </c>
      <c r="H134" s="124">
        <f>THIN!$F$9</f>
        <v>15</v>
      </c>
      <c r="I134" s="124">
        <f>MOD(H134,THIN!$F$32)+1</f>
        <v>16</v>
      </c>
      <c r="J134" s="124">
        <f>MOD(I134,THIN!$F$32)+1</f>
        <v>17</v>
      </c>
      <c r="K134" s="124">
        <f>MOD(J134,THIN!$F$32)+1</f>
        <v>18</v>
      </c>
      <c r="L134" s="124">
        <f>MOD(K134,THIN!$F$32)+1</f>
        <v>19</v>
      </c>
      <c r="M134" s="124">
        <f>MOD(L134,THIN!$F$32)+1</f>
        <v>20</v>
      </c>
      <c r="N134" s="124">
        <f>MOD(M134,THIN!$F$32)+1</f>
        <v>21</v>
      </c>
      <c r="O134" s="124">
        <f>MOD(N134,THIN!$F$32)+1</f>
        <v>22</v>
      </c>
      <c r="P134" s="124">
        <f>MOD(O134,THIN!$F$32)+1</f>
        <v>23</v>
      </c>
      <c r="Q134" s="124">
        <f>MOD(P134,THIN!$F$32)+1</f>
        <v>24</v>
      </c>
      <c r="R134" s="124">
        <f>MOD(Q134,THIN!$F$32)+1</f>
        <v>25</v>
      </c>
      <c r="S134" s="124">
        <f>MOD(R134,THIN!$F$32)+1</f>
        <v>26</v>
      </c>
      <c r="T134" s="124">
        <f>MOD(S134,THIN!$F$32)+1</f>
        <v>1</v>
      </c>
      <c r="U134" s="124">
        <f>MOD(T134,THIN!$F$32)+1</f>
        <v>2</v>
      </c>
      <c r="V134" s="124">
        <f>MOD(U134,THIN!$F$32)+1</f>
        <v>3</v>
      </c>
      <c r="W134" s="124">
        <f>MOD(V134,THIN!$F$32)+1</f>
        <v>4</v>
      </c>
      <c r="X134" s="124">
        <f>MOD(W134,THIN!$F$32)+1</f>
        <v>5</v>
      </c>
      <c r="Y134" s="124">
        <f>MOD(X134,THIN!$F$32)+1</f>
        <v>6</v>
      </c>
      <c r="Z134" s="124">
        <f>MOD(Y134,THIN!$F$32)+1</f>
        <v>7</v>
      </c>
      <c r="AA134" s="124">
        <f>MOD(Z134,THIN!$F$32)+1</f>
        <v>8</v>
      </c>
      <c r="AB134" s="124">
        <f>MOD(AA134,THIN!$F$32)+1</f>
        <v>9</v>
      </c>
      <c r="AC134" s="124">
        <f>MOD(AB134,THIN!$F$32)+1</f>
        <v>10</v>
      </c>
      <c r="AD134" s="124">
        <f>MOD(AC134,THIN!$F$32)+1</f>
        <v>11</v>
      </c>
      <c r="AE134" s="124">
        <f>MOD(AD134,THIN!$F$32)+1</f>
        <v>12</v>
      </c>
      <c r="AF134" s="124">
        <f>MOD(AE134,THIN!$F$32)+1</f>
        <v>13</v>
      </c>
      <c r="AG134" s="124">
        <f>MOD(AF134,THIN!$F$32)+1</f>
        <v>14</v>
      </c>
      <c r="AH134" s="124">
        <f>MOD(AG134,THIN!$F$32)+1</f>
        <v>15</v>
      </c>
      <c r="AI134" s="124">
        <f>MOD(AH134,THIN!$F$32)+1</f>
        <v>16</v>
      </c>
      <c r="AJ134" s="124">
        <f>MOD(AI134,THIN!$F$32)+1</f>
        <v>17</v>
      </c>
      <c r="AK134" s="124">
        <f>MOD(AJ134,THIN!$F$32)+1</f>
        <v>18</v>
      </c>
      <c r="AL134" s="124">
        <f>MOD(AK134,THIN!$F$32)+1</f>
        <v>19</v>
      </c>
      <c r="AM134" s="124">
        <f>MOD(AL134,THIN!$F$32)+1</f>
        <v>20</v>
      </c>
      <c r="AN134" s="124">
        <f>MOD(AM134,THIN!$F$32)+1</f>
        <v>21</v>
      </c>
      <c r="AO134" s="124">
        <f>MOD(AN134,THIN!$F$32)+1</f>
        <v>22</v>
      </c>
      <c r="AP134" s="124">
        <f>MOD(AO134,THIN!$F$32)+1</f>
        <v>23</v>
      </c>
      <c r="AQ134" s="124">
        <f>MOD(AP134,THIN!$F$32)+1</f>
        <v>24</v>
      </c>
      <c r="AR134" s="124">
        <f>MOD(AQ134,THIN!$F$32)+1</f>
        <v>25</v>
      </c>
      <c r="AS134" s="124">
        <f>MOD(AR134,THIN!$F$32)+1</f>
        <v>26</v>
      </c>
      <c r="AT134" s="124">
        <f>MOD(AS134,THIN!$F$32)+1</f>
        <v>1</v>
      </c>
      <c r="AU134" s="124">
        <f>MOD(AT134,THIN!$F$32)+1</f>
        <v>2</v>
      </c>
      <c r="AV134" s="124">
        <f>MOD(AU134,THIN!$F$32)+1</f>
        <v>3</v>
      </c>
    </row>
    <row r="135" spans="1:50" ht="12.95" customHeight="1" x14ac:dyDescent="0.2">
      <c r="B135" s="14"/>
      <c r="C135" s="372">
        <v>2</v>
      </c>
      <c r="D135" s="372"/>
      <c r="E135" s="372"/>
      <c r="F135" s="253" t="s">
        <v>492</v>
      </c>
      <c r="G135" s="253" t="s">
        <v>4</v>
      </c>
      <c r="H135" s="124"/>
      <c r="I135" s="124">
        <f>IF($C135&gt;THIN!$F$32,0,H134)</f>
        <v>15</v>
      </c>
      <c r="J135" s="124">
        <f>IF($C135&gt;THIN!$F$32,0,I134)</f>
        <v>16</v>
      </c>
      <c r="K135" s="124">
        <f>IF($C135&gt;THIN!$F$32,0,J134)</f>
        <v>17</v>
      </c>
      <c r="L135" s="124">
        <f>IF($C135&gt;THIN!$F$32,0,K134)</f>
        <v>18</v>
      </c>
      <c r="M135" s="124">
        <f>IF($C135&gt;THIN!$F$32,0,L134)</f>
        <v>19</v>
      </c>
      <c r="N135" s="124">
        <f>IF($C135&gt;THIN!$F$32,0,M134)</f>
        <v>20</v>
      </c>
      <c r="O135" s="124">
        <f>IF($C135&gt;THIN!$F$32,0,N134)</f>
        <v>21</v>
      </c>
      <c r="P135" s="124">
        <f>IF($C135&gt;THIN!$F$32,0,O134)</f>
        <v>22</v>
      </c>
      <c r="Q135" s="124">
        <f>IF($C135&gt;THIN!$F$32,0,P134)</f>
        <v>23</v>
      </c>
      <c r="R135" s="124">
        <f>IF($C135&gt;THIN!$F$32,0,Q134)</f>
        <v>24</v>
      </c>
      <c r="S135" s="124">
        <f>IF($C135&gt;THIN!$F$32,0,R134)</f>
        <v>25</v>
      </c>
      <c r="T135" s="124">
        <f>IF($C135&gt;THIN!$F$32,0,S134)</f>
        <v>26</v>
      </c>
      <c r="U135" s="124">
        <f>IF($C135&gt;THIN!$F$32,0,T134)</f>
        <v>1</v>
      </c>
      <c r="V135" s="124">
        <f>IF($C135&gt;THIN!$F$32,0,U134)</f>
        <v>2</v>
      </c>
      <c r="W135" s="124">
        <f>IF($C135&gt;THIN!$F$32,0,V134)</f>
        <v>3</v>
      </c>
      <c r="X135" s="124">
        <f>IF($C135&gt;THIN!$F$32,0,W134)</f>
        <v>4</v>
      </c>
      <c r="Y135" s="124">
        <f>IF($C135&gt;THIN!$F$32,0,X134)</f>
        <v>5</v>
      </c>
      <c r="Z135" s="124">
        <f>IF($C135&gt;THIN!$F$32,0,Y134)</f>
        <v>6</v>
      </c>
      <c r="AA135" s="124">
        <f>IF($C135&gt;THIN!$F$32,0,Z134)</f>
        <v>7</v>
      </c>
      <c r="AB135" s="124">
        <f>IF($C135&gt;THIN!$F$32,0,AA134)</f>
        <v>8</v>
      </c>
      <c r="AC135" s="124">
        <f>IF($C135&gt;THIN!$F$32,0,AB134)</f>
        <v>9</v>
      </c>
      <c r="AD135" s="124">
        <f>IF($C135&gt;THIN!$F$32,0,AC134)</f>
        <v>10</v>
      </c>
      <c r="AE135" s="124">
        <f>IF($C135&gt;THIN!$F$32,0,AD134)</f>
        <v>11</v>
      </c>
      <c r="AF135" s="124">
        <f>IF($C135&gt;THIN!$F$32,0,AE134)</f>
        <v>12</v>
      </c>
      <c r="AG135" s="124">
        <f>IF($C135&gt;THIN!$F$32,0,AF134)</f>
        <v>13</v>
      </c>
      <c r="AH135" s="124">
        <f>IF($C135&gt;THIN!$F$32,0,AG134)</f>
        <v>14</v>
      </c>
      <c r="AI135" s="124">
        <f>IF($C135&gt;THIN!$F$32,0,AH134)</f>
        <v>15</v>
      </c>
      <c r="AJ135" s="124">
        <f>IF($C135&gt;THIN!$F$32,0,AI134)</f>
        <v>16</v>
      </c>
      <c r="AK135" s="124">
        <f>IF($C135&gt;THIN!$F$32,0,AJ134)</f>
        <v>17</v>
      </c>
      <c r="AL135" s="124">
        <f>IF($C135&gt;THIN!$F$32,0,AK134)</f>
        <v>18</v>
      </c>
      <c r="AM135" s="124">
        <f>IF($C135&gt;THIN!$F$32,0,AL134)</f>
        <v>19</v>
      </c>
      <c r="AN135" s="124">
        <f>IF($C135&gt;THIN!$F$32,0,AM134)</f>
        <v>20</v>
      </c>
      <c r="AO135" s="124">
        <f>IF($C135&gt;THIN!$F$32,0,AN134)</f>
        <v>21</v>
      </c>
      <c r="AP135" s="124">
        <f>IF($C135&gt;THIN!$F$32,0,AO134)</f>
        <v>22</v>
      </c>
      <c r="AQ135" s="124">
        <f>IF($C135&gt;THIN!$F$32,0,AP134)</f>
        <v>23</v>
      </c>
      <c r="AR135" s="124">
        <f>IF($C135&gt;THIN!$F$32,0,AQ134)</f>
        <v>24</v>
      </c>
      <c r="AS135" s="124">
        <f>IF($C135&gt;THIN!$F$32,0,AR134)</f>
        <v>25</v>
      </c>
      <c r="AT135" s="124">
        <f>IF($C135&gt;THIN!$F$32,0,AS134)</f>
        <v>26</v>
      </c>
      <c r="AU135" s="124">
        <f>IF($C135&gt;THIN!$F$32,0,AT134)</f>
        <v>1</v>
      </c>
      <c r="AV135" s="124">
        <f>IF($C135&gt;THIN!$F$32,0,AU134)</f>
        <v>2</v>
      </c>
    </row>
    <row r="136" spans="1:50" ht="12.95" customHeight="1" x14ac:dyDescent="0.2">
      <c r="B136" s="14"/>
      <c r="C136" s="372">
        <v>3</v>
      </c>
      <c r="D136" s="372"/>
      <c r="E136" s="372"/>
      <c r="F136" s="253" t="s">
        <v>492</v>
      </c>
      <c r="G136" s="253" t="s">
        <v>4</v>
      </c>
      <c r="H136" s="124"/>
      <c r="I136" s="124"/>
      <c r="J136" s="124">
        <f>IF($C136&gt;THIN!$F$32,0,I135)</f>
        <v>15</v>
      </c>
      <c r="K136" s="124">
        <f>IF($C136&gt;THIN!$F$32,0,J135)</f>
        <v>16</v>
      </c>
      <c r="L136" s="124">
        <f>IF($C136&gt;THIN!$F$32,0,K135)</f>
        <v>17</v>
      </c>
      <c r="M136" s="124">
        <f>IF($C136&gt;THIN!$F$32,0,L135)</f>
        <v>18</v>
      </c>
      <c r="N136" s="124">
        <f>IF($C136&gt;THIN!$F$32,0,M135)</f>
        <v>19</v>
      </c>
      <c r="O136" s="124">
        <f>IF($C136&gt;THIN!$F$32,0,N135)</f>
        <v>20</v>
      </c>
      <c r="P136" s="124">
        <f>IF($C136&gt;THIN!$F$32,0,O135)</f>
        <v>21</v>
      </c>
      <c r="Q136" s="124">
        <f>IF($C136&gt;THIN!$F$32,0,P135)</f>
        <v>22</v>
      </c>
      <c r="R136" s="124">
        <f>IF($C136&gt;THIN!$F$32,0,Q135)</f>
        <v>23</v>
      </c>
      <c r="S136" s="124">
        <f>IF($C136&gt;THIN!$F$32,0,R135)</f>
        <v>24</v>
      </c>
      <c r="T136" s="124">
        <f>IF($C136&gt;THIN!$F$32,0,S135)</f>
        <v>25</v>
      </c>
      <c r="U136" s="124">
        <f>IF($C136&gt;THIN!$F$32,0,T135)</f>
        <v>26</v>
      </c>
      <c r="V136" s="124">
        <f>IF($C136&gt;THIN!$F$32,0,U135)</f>
        <v>1</v>
      </c>
      <c r="W136" s="124">
        <f>IF($C136&gt;THIN!$F$32,0,V135)</f>
        <v>2</v>
      </c>
      <c r="X136" s="124">
        <f>IF($C136&gt;THIN!$F$32,0,W135)</f>
        <v>3</v>
      </c>
      <c r="Y136" s="124">
        <f>IF($C136&gt;THIN!$F$32,0,X135)</f>
        <v>4</v>
      </c>
      <c r="Z136" s="124">
        <f>IF($C136&gt;THIN!$F$32,0,Y135)</f>
        <v>5</v>
      </c>
      <c r="AA136" s="124">
        <f>IF($C136&gt;THIN!$F$32,0,Z135)</f>
        <v>6</v>
      </c>
      <c r="AB136" s="124">
        <f>IF($C136&gt;THIN!$F$32,0,AA135)</f>
        <v>7</v>
      </c>
      <c r="AC136" s="124">
        <f>IF($C136&gt;THIN!$F$32,0,AB135)</f>
        <v>8</v>
      </c>
      <c r="AD136" s="124">
        <f>IF($C136&gt;THIN!$F$32,0,AC135)</f>
        <v>9</v>
      </c>
      <c r="AE136" s="124">
        <f>IF($C136&gt;THIN!$F$32,0,AD135)</f>
        <v>10</v>
      </c>
      <c r="AF136" s="124">
        <f>IF($C136&gt;THIN!$F$32,0,AE135)</f>
        <v>11</v>
      </c>
      <c r="AG136" s="124">
        <f>IF($C136&gt;THIN!$F$32,0,AF135)</f>
        <v>12</v>
      </c>
      <c r="AH136" s="124">
        <f>IF($C136&gt;THIN!$F$32,0,AG135)</f>
        <v>13</v>
      </c>
      <c r="AI136" s="124">
        <f>IF($C136&gt;THIN!$F$32,0,AH135)</f>
        <v>14</v>
      </c>
      <c r="AJ136" s="124">
        <f>IF($C136&gt;THIN!$F$32,0,AI135)</f>
        <v>15</v>
      </c>
      <c r="AK136" s="124">
        <f>IF($C136&gt;THIN!$F$32,0,AJ135)</f>
        <v>16</v>
      </c>
      <c r="AL136" s="124">
        <f>IF($C136&gt;THIN!$F$32,0,AK135)</f>
        <v>17</v>
      </c>
      <c r="AM136" s="124">
        <f>IF($C136&gt;THIN!$F$32,0,AL135)</f>
        <v>18</v>
      </c>
      <c r="AN136" s="124">
        <f>IF($C136&gt;THIN!$F$32,0,AM135)</f>
        <v>19</v>
      </c>
      <c r="AO136" s="124">
        <f>IF($C136&gt;THIN!$F$32,0,AN135)</f>
        <v>20</v>
      </c>
      <c r="AP136" s="124">
        <f>IF($C136&gt;THIN!$F$32,0,AO135)</f>
        <v>21</v>
      </c>
      <c r="AQ136" s="124">
        <f>IF($C136&gt;THIN!$F$32,0,AP135)</f>
        <v>22</v>
      </c>
      <c r="AR136" s="124">
        <f>IF($C136&gt;THIN!$F$32,0,AQ135)</f>
        <v>23</v>
      </c>
      <c r="AS136" s="124">
        <f>IF($C136&gt;THIN!$F$32,0,AR135)</f>
        <v>24</v>
      </c>
      <c r="AT136" s="124">
        <f>IF($C136&gt;THIN!$F$32,0,AS135)</f>
        <v>25</v>
      </c>
      <c r="AU136" s="124">
        <f>IF($C136&gt;THIN!$F$32,0,AT135)</f>
        <v>26</v>
      </c>
      <c r="AV136" s="124">
        <f>IF($C136&gt;THIN!$F$32,0,AU135)</f>
        <v>1</v>
      </c>
    </row>
    <row r="137" spans="1:50" ht="12.95" customHeight="1" x14ac:dyDescent="0.2">
      <c r="B137" s="14"/>
      <c r="C137" s="372">
        <v>4</v>
      </c>
      <c r="D137" s="372"/>
      <c r="E137" s="372"/>
      <c r="F137" s="253" t="s">
        <v>492</v>
      </c>
      <c r="G137" s="253" t="s">
        <v>4</v>
      </c>
      <c r="H137" s="124"/>
      <c r="I137" s="124"/>
      <c r="J137" s="124"/>
      <c r="K137" s="124">
        <f>IF($C137&gt;THIN!$F$32,0,J136)</f>
        <v>15</v>
      </c>
      <c r="L137" s="124">
        <f>IF($C137&gt;THIN!$F$32,0,K136)</f>
        <v>16</v>
      </c>
      <c r="M137" s="124">
        <f>IF($C137&gt;THIN!$F$32,0,L136)</f>
        <v>17</v>
      </c>
      <c r="N137" s="124">
        <f>IF($C137&gt;THIN!$F$32,0,M136)</f>
        <v>18</v>
      </c>
      <c r="O137" s="124">
        <f>IF($C137&gt;THIN!$F$32,0,N136)</f>
        <v>19</v>
      </c>
      <c r="P137" s="124">
        <f>IF($C137&gt;THIN!$F$32,0,O136)</f>
        <v>20</v>
      </c>
      <c r="Q137" s="124">
        <f>IF($C137&gt;THIN!$F$32,0,P136)</f>
        <v>21</v>
      </c>
      <c r="R137" s="124">
        <f>IF($C137&gt;THIN!$F$32,0,Q136)</f>
        <v>22</v>
      </c>
      <c r="S137" s="124">
        <f>IF($C137&gt;THIN!$F$32,0,R136)</f>
        <v>23</v>
      </c>
      <c r="T137" s="124">
        <f>IF($C137&gt;THIN!$F$32,0,S136)</f>
        <v>24</v>
      </c>
      <c r="U137" s="124">
        <f>IF($C137&gt;THIN!$F$32,0,T136)</f>
        <v>25</v>
      </c>
      <c r="V137" s="124">
        <f>IF($C137&gt;THIN!$F$32,0,U136)</f>
        <v>26</v>
      </c>
      <c r="W137" s="124">
        <f>IF($C137&gt;THIN!$F$32,0,V136)</f>
        <v>1</v>
      </c>
      <c r="X137" s="124">
        <f>IF($C137&gt;THIN!$F$32,0,W136)</f>
        <v>2</v>
      </c>
      <c r="Y137" s="124">
        <f>IF($C137&gt;THIN!$F$32,0,X136)</f>
        <v>3</v>
      </c>
      <c r="Z137" s="124">
        <f>IF($C137&gt;THIN!$F$32,0,Y136)</f>
        <v>4</v>
      </c>
      <c r="AA137" s="124">
        <f>IF($C137&gt;THIN!$F$32,0,Z136)</f>
        <v>5</v>
      </c>
      <c r="AB137" s="124">
        <f>IF($C137&gt;THIN!$F$32,0,AA136)</f>
        <v>6</v>
      </c>
      <c r="AC137" s="124">
        <f>IF($C137&gt;THIN!$F$32,0,AB136)</f>
        <v>7</v>
      </c>
      <c r="AD137" s="124">
        <f>IF($C137&gt;THIN!$F$32,0,AC136)</f>
        <v>8</v>
      </c>
      <c r="AE137" s="124">
        <f>IF($C137&gt;THIN!$F$32,0,AD136)</f>
        <v>9</v>
      </c>
      <c r="AF137" s="124">
        <f>IF($C137&gt;THIN!$F$32,0,AE136)</f>
        <v>10</v>
      </c>
      <c r="AG137" s="124">
        <f>IF($C137&gt;THIN!$F$32,0,AF136)</f>
        <v>11</v>
      </c>
      <c r="AH137" s="124">
        <f>IF($C137&gt;THIN!$F$32,0,AG136)</f>
        <v>12</v>
      </c>
      <c r="AI137" s="124">
        <f>IF($C137&gt;THIN!$F$32,0,AH136)</f>
        <v>13</v>
      </c>
      <c r="AJ137" s="124">
        <f>IF($C137&gt;THIN!$F$32,0,AI136)</f>
        <v>14</v>
      </c>
      <c r="AK137" s="124">
        <f>IF($C137&gt;THIN!$F$32,0,AJ136)</f>
        <v>15</v>
      </c>
      <c r="AL137" s="124">
        <f>IF($C137&gt;THIN!$F$32,0,AK136)</f>
        <v>16</v>
      </c>
      <c r="AM137" s="124">
        <f>IF($C137&gt;THIN!$F$32,0,AL136)</f>
        <v>17</v>
      </c>
      <c r="AN137" s="124">
        <f>IF($C137&gt;THIN!$F$32,0,AM136)</f>
        <v>18</v>
      </c>
      <c r="AO137" s="124">
        <f>IF($C137&gt;THIN!$F$32,0,AN136)</f>
        <v>19</v>
      </c>
      <c r="AP137" s="124">
        <f>IF($C137&gt;THIN!$F$32,0,AO136)</f>
        <v>20</v>
      </c>
      <c r="AQ137" s="124">
        <f>IF($C137&gt;THIN!$F$32,0,AP136)</f>
        <v>21</v>
      </c>
      <c r="AR137" s="124">
        <f>IF($C137&gt;THIN!$F$32,0,AQ136)</f>
        <v>22</v>
      </c>
      <c r="AS137" s="124">
        <f>IF($C137&gt;THIN!$F$32,0,AR136)</f>
        <v>23</v>
      </c>
      <c r="AT137" s="124">
        <f>IF($C137&gt;THIN!$F$32,0,AS136)</f>
        <v>24</v>
      </c>
      <c r="AU137" s="124">
        <f>IF($C137&gt;THIN!$F$32,0,AT136)</f>
        <v>25</v>
      </c>
      <c r="AV137" s="124">
        <f>IF($C137&gt;THIN!$F$32,0,AU136)</f>
        <v>26</v>
      </c>
    </row>
    <row r="138" spans="1:50" ht="12.95" customHeight="1" x14ac:dyDescent="0.2">
      <c r="B138" s="14"/>
      <c r="C138" s="372">
        <v>5</v>
      </c>
      <c r="D138" s="372"/>
      <c r="E138" s="372"/>
      <c r="F138" s="253" t="s">
        <v>492</v>
      </c>
      <c r="G138" s="253" t="s">
        <v>4</v>
      </c>
      <c r="H138" s="124"/>
      <c r="I138" s="124"/>
      <c r="J138" s="124"/>
      <c r="K138" s="124"/>
      <c r="L138" s="124">
        <f>IF($C138&gt;THIN!$F$32,0,K137)</f>
        <v>15</v>
      </c>
      <c r="M138" s="124">
        <f>IF($C138&gt;THIN!$F$32,0,L137)</f>
        <v>16</v>
      </c>
      <c r="N138" s="124">
        <f>IF($C138&gt;THIN!$F$32,0,M137)</f>
        <v>17</v>
      </c>
      <c r="O138" s="124">
        <f>IF($C138&gt;THIN!$F$32,0,N137)</f>
        <v>18</v>
      </c>
      <c r="P138" s="124">
        <f>IF($C138&gt;THIN!$F$32,0,O137)</f>
        <v>19</v>
      </c>
      <c r="Q138" s="124">
        <f>IF($C138&gt;THIN!$F$32,0,P137)</f>
        <v>20</v>
      </c>
      <c r="R138" s="124">
        <f>IF($C138&gt;THIN!$F$32,0,Q137)</f>
        <v>21</v>
      </c>
      <c r="S138" s="124">
        <f>IF($C138&gt;THIN!$F$32,0,R137)</f>
        <v>22</v>
      </c>
      <c r="T138" s="124">
        <f>IF($C138&gt;THIN!$F$32,0,S137)</f>
        <v>23</v>
      </c>
      <c r="U138" s="124">
        <f>IF($C138&gt;THIN!$F$32,0,T137)</f>
        <v>24</v>
      </c>
      <c r="V138" s="124">
        <f>IF($C138&gt;THIN!$F$32,0,U137)</f>
        <v>25</v>
      </c>
      <c r="W138" s="124">
        <f>IF($C138&gt;THIN!$F$32,0,V137)</f>
        <v>26</v>
      </c>
      <c r="X138" s="124">
        <f>IF($C138&gt;THIN!$F$32,0,W137)</f>
        <v>1</v>
      </c>
      <c r="Y138" s="124">
        <f>IF($C138&gt;THIN!$F$32,0,X137)</f>
        <v>2</v>
      </c>
      <c r="Z138" s="124">
        <f>IF($C138&gt;THIN!$F$32,0,Y137)</f>
        <v>3</v>
      </c>
      <c r="AA138" s="124">
        <f>IF($C138&gt;THIN!$F$32,0,Z137)</f>
        <v>4</v>
      </c>
      <c r="AB138" s="124">
        <f>IF($C138&gt;THIN!$F$32,0,AA137)</f>
        <v>5</v>
      </c>
      <c r="AC138" s="124">
        <f>IF($C138&gt;THIN!$F$32,0,AB137)</f>
        <v>6</v>
      </c>
      <c r="AD138" s="124">
        <f>IF($C138&gt;THIN!$F$32,0,AC137)</f>
        <v>7</v>
      </c>
      <c r="AE138" s="124">
        <f>IF($C138&gt;THIN!$F$32,0,AD137)</f>
        <v>8</v>
      </c>
      <c r="AF138" s="124">
        <f>IF($C138&gt;THIN!$F$32,0,AE137)</f>
        <v>9</v>
      </c>
      <c r="AG138" s="124">
        <f>IF($C138&gt;THIN!$F$32,0,AF137)</f>
        <v>10</v>
      </c>
      <c r="AH138" s="124">
        <f>IF($C138&gt;THIN!$F$32,0,AG137)</f>
        <v>11</v>
      </c>
      <c r="AI138" s="124">
        <f>IF($C138&gt;THIN!$F$32,0,AH137)</f>
        <v>12</v>
      </c>
      <c r="AJ138" s="124">
        <f>IF($C138&gt;THIN!$F$32,0,AI137)</f>
        <v>13</v>
      </c>
      <c r="AK138" s="124">
        <f>IF($C138&gt;THIN!$F$32,0,AJ137)</f>
        <v>14</v>
      </c>
      <c r="AL138" s="124">
        <f>IF($C138&gt;THIN!$F$32,0,AK137)</f>
        <v>15</v>
      </c>
      <c r="AM138" s="124">
        <f>IF($C138&gt;THIN!$F$32,0,AL137)</f>
        <v>16</v>
      </c>
      <c r="AN138" s="124">
        <f>IF($C138&gt;THIN!$F$32,0,AM137)</f>
        <v>17</v>
      </c>
      <c r="AO138" s="124">
        <f>IF($C138&gt;THIN!$F$32,0,AN137)</f>
        <v>18</v>
      </c>
      <c r="AP138" s="124">
        <f>IF($C138&gt;THIN!$F$32,0,AO137)</f>
        <v>19</v>
      </c>
      <c r="AQ138" s="124">
        <f>IF($C138&gt;THIN!$F$32,0,AP137)</f>
        <v>20</v>
      </c>
      <c r="AR138" s="124">
        <f>IF($C138&gt;THIN!$F$32,0,AQ137)</f>
        <v>21</v>
      </c>
      <c r="AS138" s="124">
        <f>IF($C138&gt;THIN!$F$32,0,AR137)</f>
        <v>22</v>
      </c>
      <c r="AT138" s="124">
        <f>IF($C138&gt;THIN!$F$32,0,AS137)</f>
        <v>23</v>
      </c>
      <c r="AU138" s="124">
        <f>IF($C138&gt;THIN!$F$32,0,AT137)</f>
        <v>24</v>
      </c>
      <c r="AV138" s="124">
        <f>IF($C138&gt;THIN!$F$32,0,AU137)</f>
        <v>25</v>
      </c>
    </row>
    <row r="139" spans="1:50" ht="12.95" customHeight="1" x14ac:dyDescent="0.2">
      <c r="B139" s="14"/>
      <c r="C139" s="372">
        <v>6</v>
      </c>
      <c r="D139" s="372"/>
      <c r="E139" s="372"/>
      <c r="F139" s="253" t="s">
        <v>492</v>
      </c>
      <c r="G139" s="253" t="s">
        <v>4</v>
      </c>
      <c r="H139" s="124"/>
      <c r="I139" s="124"/>
      <c r="J139" s="124"/>
      <c r="K139" s="124"/>
      <c r="L139" s="124"/>
      <c r="M139" s="124">
        <f>IF($C139&gt;THIN!$F$32,0,L138)</f>
        <v>15</v>
      </c>
      <c r="N139" s="124">
        <f>IF($C139&gt;THIN!$F$32,0,M138)</f>
        <v>16</v>
      </c>
      <c r="O139" s="124">
        <f>IF($C139&gt;THIN!$F$32,0,N138)</f>
        <v>17</v>
      </c>
      <c r="P139" s="124">
        <f>IF($C139&gt;THIN!$F$32,0,O138)</f>
        <v>18</v>
      </c>
      <c r="Q139" s="124">
        <f>IF($C139&gt;THIN!$F$32,0,P138)</f>
        <v>19</v>
      </c>
      <c r="R139" s="124">
        <f>IF($C139&gt;THIN!$F$32,0,Q138)</f>
        <v>20</v>
      </c>
      <c r="S139" s="124">
        <f>IF($C139&gt;THIN!$F$32,0,R138)</f>
        <v>21</v>
      </c>
      <c r="T139" s="124">
        <f>IF($C139&gt;THIN!$F$32,0,S138)</f>
        <v>22</v>
      </c>
      <c r="U139" s="124">
        <f>IF($C139&gt;THIN!$F$32,0,T138)</f>
        <v>23</v>
      </c>
      <c r="V139" s="124">
        <f>IF($C139&gt;THIN!$F$32,0,U138)</f>
        <v>24</v>
      </c>
      <c r="W139" s="124">
        <f>IF($C139&gt;THIN!$F$32,0,V138)</f>
        <v>25</v>
      </c>
      <c r="X139" s="124">
        <f>IF($C139&gt;THIN!$F$32,0,W138)</f>
        <v>26</v>
      </c>
      <c r="Y139" s="124">
        <f>IF($C139&gt;THIN!$F$32,0,X138)</f>
        <v>1</v>
      </c>
      <c r="Z139" s="124">
        <f>IF($C139&gt;THIN!$F$32,0,Y138)</f>
        <v>2</v>
      </c>
      <c r="AA139" s="124">
        <f>IF($C139&gt;THIN!$F$32,0,Z138)</f>
        <v>3</v>
      </c>
      <c r="AB139" s="124">
        <f>IF($C139&gt;THIN!$F$32,0,AA138)</f>
        <v>4</v>
      </c>
      <c r="AC139" s="124">
        <f>IF($C139&gt;THIN!$F$32,0,AB138)</f>
        <v>5</v>
      </c>
      <c r="AD139" s="124">
        <f>IF($C139&gt;THIN!$F$32,0,AC138)</f>
        <v>6</v>
      </c>
      <c r="AE139" s="124">
        <f>IF($C139&gt;THIN!$F$32,0,AD138)</f>
        <v>7</v>
      </c>
      <c r="AF139" s="124">
        <f>IF($C139&gt;THIN!$F$32,0,AE138)</f>
        <v>8</v>
      </c>
      <c r="AG139" s="124">
        <f>IF($C139&gt;THIN!$F$32,0,AF138)</f>
        <v>9</v>
      </c>
      <c r="AH139" s="124">
        <f>IF($C139&gt;THIN!$F$32,0,AG138)</f>
        <v>10</v>
      </c>
      <c r="AI139" s="124">
        <f>IF($C139&gt;THIN!$F$32,0,AH138)</f>
        <v>11</v>
      </c>
      <c r="AJ139" s="124">
        <f>IF($C139&gt;THIN!$F$32,0,AI138)</f>
        <v>12</v>
      </c>
      <c r="AK139" s="124">
        <f>IF($C139&gt;THIN!$F$32,0,AJ138)</f>
        <v>13</v>
      </c>
      <c r="AL139" s="124">
        <f>IF($C139&gt;THIN!$F$32,0,AK138)</f>
        <v>14</v>
      </c>
      <c r="AM139" s="124">
        <f>IF($C139&gt;THIN!$F$32,0,AL138)</f>
        <v>15</v>
      </c>
      <c r="AN139" s="124">
        <f>IF($C139&gt;THIN!$F$32,0,AM138)</f>
        <v>16</v>
      </c>
      <c r="AO139" s="124">
        <f>IF($C139&gt;THIN!$F$32,0,AN138)</f>
        <v>17</v>
      </c>
      <c r="AP139" s="124">
        <f>IF($C139&gt;THIN!$F$32,0,AO138)</f>
        <v>18</v>
      </c>
      <c r="AQ139" s="124">
        <f>IF($C139&gt;THIN!$F$32,0,AP138)</f>
        <v>19</v>
      </c>
      <c r="AR139" s="124">
        <f>IF($C139&gt;THIN!$F$32,0,AQ138)</f>
        <v>20</v>
      </c>
      <c r="AS139" s="124">
        <f>IF($C139&gt;THIN!$F$32,0,AR138)</f>
        <v>21</v>
      </c>
      <c r="AT139" s="124">
        <f>IF($C139&gt;THIN!$F$32,0,AS138)</f>
        <v>22</v>
      </c>
      <c r="AU139" s="124">
        <f>IF($C139&gt;THIN!$F$32,0,AT138)</f>
        <v>23</v>
      </c>
      <c r="AV139" s="124">
        <f>IF($C139&gt;THIN!$F$32,0,AU138)</f>
        <v>24</v>
      </c>
    </row>
    <row r="140" spans="1:50" ht="12.95" customHeight="1" x14ac:dyDescent="0.2">
      <c r="B140" s="14"/>
      <c r="C140" s="372">
        <v>7</v>
      </c>
      <c r="D140" s="372"/>
      <c r="E140" s="372"/>
      <c r="F140" s="253" t="s">
        <v>492</v>
      </c>
      <c r="G140" s="253" t="s">
        <v>4</v>
      </c>
      <c r="H140" s="124"/>
      <c r="I140" s="124"/>
      <c r="J140" s="124"/>
      <c r="K140" s="124"/>
      <c r="L140" s="124"/>
      <c r="M140" s="124"/>
      <c r="N140" s="124">
        <f>IF($C140&gt;THIN!$F$32,0,M139)</f>
        <v>15</v>
      </c>
      <c r="O140" s="124">
        <f>IF($C140&gt;THIN!$F$32,0,N139)</f>
        <v>16</v>
      </c>
      <c r="P140" s="124">
        <f>IF($C140&gt;THIN!$F$32,0,O139)</f>
        <v>17</v>
      </c>
      <c r="Q140" s="124">
        <f>IF($C140&gt;THIN!$F$32,0,P139)</f>
        <v>18</v>
      </c>
      <c r="R140" s="124">
        <f>IF($C140&gt;THIN!$F$32,0,Q139)</f>
        <v>19</v>
      </c>
      <c r="S140" s="124">
        <f>IF($C140&gt;THIN!$F$32,0,R139)</f>
        <v>20</v>
      </c>
      <c r="T140" s="124">
        <f>IF($C140&gt;THIN!$F$32,0,S139)</f>
        <v>21</v>
      </c>
      <c r="U140" s="124">
        <f>IF($C140&gt;THIN!$F$32,0,T139)</f>
        <v>22</v>
      </c>
      <c r="V140" s="124">
        <f>IF($C140&gt;THIN!$F$32,0,U139)</f>
        <v>23</v>
      </c>
      <c r="W140" s="124">
        <f>IF($C140&gt;THIN!$F$32,0,V139)</f>
        <v>24</v>
      </c>
      <c r="X140" s="124">
        <f>IF($C140&gt;THIN!$F$32,0,W139)</f>
        <v>25</v>
      </c>
      <c r="Y140" s="124">
        <f>IF($C140&gt;THIN!$F$32,0,X139)</f>
        <v>26</v>
      </c>
      <c r="Z140" s="124">
        <f>IF($C140&gt;THIN!$F$32,0,Y139)</f>
        <v>1</v>
      </c>
      <c r="AA140" s="124">
        <f>IF($C140&gt;THIN!$F$32,0,Z139)</f>
        <v>2</v>
      </c>
      <c r="AB140" s="124">
        <f>IF($C140&gt;THIN!$F$32,0,AA139)</f>
        <v>3</v>
      </c>
      <c r="AC140" s="124">
        <f>IF($C140&gt;THIN!$F$32,0,AB139)</f>
        <v>4</v>
      </c>
      <c r="AD140" s="124">
        <f>IF($C140&gt;THIN!$F$32,0,AC139)</f>
        <v>5</v>
      </c>
      <c r="AE140" s="124">
        <f>IF($C140&gt;THIN!$F$32,0,AD139)</f>
        <v>6</v>
      </c>
      <c r="AF140" s="124">
        <f>IF($C140&gt;THIN!$F$32,0,AE139)</f>
        <v>7</v>
      </c>
      <c r="AG140" s="124">
        <f>IF($C140&gt;THIN!$F$32,0,AF139)</f>
        <v>8</v>
      </c>
      <c r="AH140" s="124">
        <f>IF($C140&gt;THIN!$F$32,0,AG139)</f>
        <v>9</v>
      </c>
      <c r="AI140" s="124">
        <f>IF($C140&gt;THIN!$F$32,0,AH139)</f>
        <v>10</v>
      </c>
      <c r="AJ140" s="124">
        <f>IF($C140&gt;THIN!$F$32,0,AI139)</f>
        <v>11</v>
      </c>
      <c r="AK140" s="124">
        <f>IF($C140&gt;THIN!$F$32,0,AJ139)</f>
        <v>12</v>
      </c>
      <c r="AL140" s="124">
        <f>IF($C140&gt;THIN!$F$32,0,AK139)</f>
        <v>13</v>
      </c>
      <c r="AM140" s="124">
        <f>IF($C140&gt;THIN!$F$32,0,AL139)</f>
        <v>14</v>
      </c>
      <c r="AN140" s="124">
        <f>IF($C140&gt;THIN!$F$32,0,AM139)</f>
        <v>15</v>
      </c>
      <c r="AO140" s="124">
        <f>IF($C140&gt;THIN!$F$32,0,AN139)</f>
        <v>16</v>
      </c>
      <c r="AP140" s="124">
        <f>IF($C140&gt;THIN!$F$32,0,AO139)</f>
        <v>17</v>
      </c>
      <c r="AQ140" s="124">
        <f>IF($C140&gt;THIN!$F$32,0,AP139)</f>
        <v>18</v>
      </c>
      <c r="AR140" s="124">
        <f>IF($C140&gt;THIN!$F$32,0,AQ139)</f>
        <v>19</v>
      </c>
      <c r="AS140" s="124">
        <f>IF($C140&gt;THIN!$F$32,0,AR139)</f>
        <v>20</v>
      </c>
      <c r="AT140" s="124">
        <f>IF($C140&gt;THIN!$F$32,0,AS139)</f>
        <v>21</v>
      </c>
      <c r="AU140" s="124">
        <f>IF($C140&gt;THIN!$F$32,0,AT139)</f>
        <v>22</v>
      </c>
      <c r="AV140" s="124">
        <f>IF($C140&gt;THIN!$F$32,0,AU139)</f>
        <v>23</v>
      </c>
    </row>
    <row r="141" spans="1:50" ht="12.95" customHeight="1" x14ac:dyDescent="0.2">
      <c r="B141" s="14"/>
      <c r="C141" s="372">
        <v>8</v>
      </c>
      <c r="D141" s="372"/>
      <c r="E141" s="372"/>
      <c r="F141" s="253" t="s">
        <v>492</v>
      </c>
      <c r="G141" s="253" t="s">
        <v>4</v>
      </c>
      <c r="H141" s="124"/>
      <c r="I141" s="124"/>
      <c r="J141" s="124"/>
      <c r="K141" s="124"/>
      <c r="L141" s="124"/>
      <c r="M141" s="124"/>
      <c r="N141" s="124"/>
      <c r="O141" s="124">
        <f>IF($C141&gt;THIN!$F$32,0,N140)</f>
        <v>15</v>
      </c>
      <c r="P141" s="124">
        <f>IF($C141&gt;THIN!$F$32,0,O140)</f>
        <v>16</v>
      </c>
      <c r="Q141" s="124">
        <f>IF($C141&gt;THIN!$F$32,0,P140)</f>
        <v>17</v>
      </c>
      <c r="R141" s="124">
        <f>IF($C141&gt;THIN!$F$32,0,Q140)</f>
        <v>18</v>
      </c>
      <c r="S141" s="124">
        <f>IF($C141&gt;THIN!$F$32,0,R140)</f>
        <v>19</v>
      </c>
      <c r="T141" s="124">
        <f>IF($C141&gt;THIN!$F$32,0,S140)</f>
        <v>20</v>
      </c>
      <c r="U141" s="124">
        <f>IF($C141&gt;THIN!$F$32,0,T140)</f>
        <v>21</v>
      </c>
      <c r="V141" s="124">
        <f>IF($C141&gt;THIN!$F$32,0,U140)</f>
        <v>22</v>
      </c>
      <c r="W141" s="124">
        <f>IF($C141&gt;THIN!$F$32,0,V140)</f>
        <v>23</v>
      </c>
      <c r="X141" s="124">
        <f>IF($C141&gt;THIN!$F$32,0,W140)</f>
        <v>24</v>
      </c>
      <c r="Y141" s="124">
        <f>IF($C141&gt;THIN!$F$32,0,X140)</f>
        <v>25</v>
      </c>
      <c r="Z141" s="124">
        <f>IF($C141&gt;THIN!$F$32,0,Y140)</f>
        <v>26</v>
      </c>
      <c r="AA141" s="124">
        <f>IF($C141&gt;THIN!$F$32,0,Z140)</f>
        <v>1</v>
      </c>
      <c r="AB141" s="124">
        <f>IF($C141&gt;THIN!$F$32,0,AA140)</f>
        <v>2</v>
      </c>
      <c r="AC141" s="124">
        <f>IF($C141&gt;THIN!$F$32,0,AB140)</f>
        <v>3</v>
      </c>
      <c r="AD141" s="124">
        <f>IF($C141&gt;THIN!$F$32,0,AC140)</f>
        <v>4</v>
      </c>
      <c r="AE141" s="124">
        <f>IF($C141&gt;THIN!$F$32,0,AD140)</f>
        <v>5</v>
      </c>
      <c r="AF141" s="124">
        <f>IF($C141&gt;THIN!$F$32,0,AE140)</f>
        <v>6</v>
      </c>
      <c r="AG141" s="124">
        <f>IF($C141&gt;THIN!$F$32,0,AF140)</f>
        <v>7</v>
      </c>
      <c r="AH141" s="124">
        <f>IF($C141&gt;THIN!$F$32,0,AG140)</f>
        <v>8</v>
      </c>
      <c r="AI141" s="124">
        <f>IF($C141&gt;THIN!$F$32,0,AH140)</f>
        <v>9</v>
      </c>
      <c r="AJ141" s="124">
        <f>IF($C141&gt;THIN!$F$32,0,AI140)</f>
        <v>10</v>
      </c>
      <c r="AK141" s="124">
        <f>IF($C141&gt;THIN!$F$32,0,AJ140)</f>
        <v>11</v>
      </c>
      <c r="AL141" s="124">
        <f>IF($C141&gt;THIN!$F$32,0,AK140)</f>
        <v>12</v>
      </c>
      <c r="AM141" s="124">
        <f>IF($C141&gt;THIN!$F$32,0,AL140)</f>
        <v>13</v>
      </c>
      <c r="AN141" s="124">
        <f>IF($C141&gt;THIN!$F$32,0,AM140)</f>
        <v>14</v>
      </c>
      <c r="AO141" s="124">
        <f>IF($C141&gt;THIN!$F$32,0,AN140)</f>
        <v>15</v>
      </c>
      <c r="AP141" s="124">
        <f>IF($C141&gt;THIN!$F$32,0,AO140)</f>
        <v>16</v>
      </c>
      <c r="AQ141" s="124">
        <f>IF($C141&gt;THIN!$F$32,0,AP140)</f>
        <v>17</v>
      </c>
      <c r="AR141" s="124">
        <f>IF($C141&gt;THIN!$F$32,0,AQ140)</f>
        <v>18</v>
      </c>
      <c r="AS141" s="124">
        <f>IF($C141&gt;THIN!$F$32,0,AR140)</f>
        <v>19</v>
      </c>
      <c r="AT141" s="124">
        <f>IF($C141&gt;THIN!$F$32,0,AS140)</f>
        <v>20</v>
      </c>
      <c r="AU141" s="124">
        <f>IF($C141&gt;THIN!$F$32,0,AT140)</f>
        <v>21</v>
      </c>
      <c r="AV141" s="124">
        <f>IF($C141&gt;THIN!$F$32,0,AU140)</f>
        <v>22</v>
      </c>
    </row>
    <row r="142" spans="1:50" ht="12.95" customHeight="1" x14ac:dyDescent="0.2">
      <c r="B142" s="14"/>
      <c r="C142" s="372">
        <v>9</v>
      </c>
      <c r="D142" s="372"/>
      <c r="E142" s="372"/>
      <c r="F142" s="253" t="s">
        <v>492</v>
      </c>
      <c r="G142" s="253" t="s">
        <v>4</v>
      </c>
      <c r="H142" s="124"/>
      <c r="I142" s="124"/>
      <c r="J142" s="124"/>
      <c r="K142" s="124"/>
      <c r="L142" s="124"/>
      <c r="M142" s="124"/>
      <c r="N142" s="124"/>
      <c r="O142" s="124"/>
      <c r="P142" s="124">
        <f>IF($C142&gt;THIN!$F$32,0,O141)</f>
        <v>15</v>
      </c>
      <c r="Q142" s="124">
        <f>IF($C142&gt;THIN!$F$32,0,P141)</f>
        <v>16</v>
      </c>
      <c r="R142" s="124">
        <f>IF($C142&gt;THIN!$F$32,0,Q141)</f>
        <v>17</v>
      </c>
      <c r="S142" s="124">
        <f>IF($C142&gt;THIN!$F$32,0,R141)</f>
        <v>18</v>
      </c>
      <c r="T142" s="124">
        <f>IF($C142&gt;THIN!$F$32,0,S141)</f>
        <v>19</v>
      </c>
      <c r="U142" s="124">
        <f>IF($C142&gt;THIN!$F$32,0,T141)</f>
        <v>20</v>
      </c>
      <c r="V142" s="124">
        <f>IF($C142&gt;THIN!$F$32,0,U141)</f>
        <v>21</v>
      </c>
      <c r="W142" s="124">
        <f>IF($C142&gt;THIN!$F$32,0,V141)</f>
        <v>22</v>
      </c>
      <c r="X142" s="124">
        <f>IF($C142&gt;THIN!$F$32,0,W141)</f>
        <v>23</v>
      </c>
      <c r="Y142" s="124">
        <f>IF($C142&gt;THIN!$F$32,0,X141)</f>
        <v>24</v>
      </c>
      <c r="Z142" s="124">
        <f>IF($C142&gt;THIN!$F$32,0,Y141)</f>
        <v>25</v>
      </c>
      <c r="AA142" s="124">
        <f>IF($C142&gt;THIN!$F$32,0,Z141)</f>
        <v>26</v>
      </c>
      <c r="AB142" s="124">
        <f>IF($C142&gt;THIN!$F$32,0,AA141)</f>
        <v>1</v>
      </c>
      <c r="AC142" s="124">
        <f>IF($C142&gt;THIN!$F$32,0,AB141)</f>
        <v>2</v>
      </c>
      <c r="AD142" s="124">
        <f>IF($C142&gt;THIN!$F$32,0,AC141)</f>
        <v>3</v>
      </c>
      <c r="AE142" s="124">
        <f>IF($C142&gt;THIN!$F$32,0,AD141)</f>
        <v>4</v>
      </c>
      <c r="AF142" s="124">
        <f>IF($C142&gt;THIN!$F$32,0,AE141)</f>
        <v>5</v>
      </c>
      <c r="AG142" s="124">
        <f>IF($C142&gt;THIN!$F$32,0,AF141)</f>
        <v>6</v>
      </c>
      <c r="AH142" s="124">
        <f>IF($C142&gt;THIN!$F$32,0,AG141)</f>
        <v>7</v>
      </c>
      <c r="AI142" s="124">
        <f>IF($C142&gt;THIN!$F$32,0,AH141)</f>
        <v>8</v>
      </c>
      <c r="AJ142" s="124">
        <f>IF($C142&gt;THIN!$F$32,0,AI141)</f>
        <v>9</v>
      </c>
      <c r="AK142" s="124">
        <f>IF($C142&gt;THIN!$F$32,0,AJ141)</f>
        <v>10</v>
      </c>
      <c r="AL142" s="124">
        <f>IF($C142&gt;THIN!$F$32,0,AK141)</f>
        <v>11</v>
      </c>
      <c r="AM142" s="124">
        <f>IF($C142&gt;THIN!$F$32,0,AL141)</f>
        <v>12</v>
      </c>
      <c r="AN142" s="124">
        <f>IF($C142&gt;THIN!$F$32,0,AM141)</f>
        <v>13</v>
      </c>
      <c r="AO142" s="124">
        <f>IF($C142&gt;THIN!$F$32,0,AN141)</f>
        <v>14</v>
      </c>
      <c r="AP142" s="124">
        <f>IF($C142&gt;THIN!$F$32,0,AO141)</f>
        <v>15</v>
      </c>
      <c r="AQ142" s="124">
        <f>IF($C142&gt;THIN!$F$32,0,AP141)</f>
        <v>16</v>
      </c>
      <c r="AR142" s="124">
        <f>IF($C142&gt;THIN!$F$32,0,AQ141)</f>
        <v>17</v>
      </c>
      <c r="AS142" s="124">
        <f>IF($C142&gt;THIN!$F$32,0,AR141)</f>
        <v>18</v>
      </c>
      <c r="AT142" s="124">
        <f>IF($C142&gt;THIN!$F$32,0,AS141)</f>
        <v>19</v>
      </c>
      <c r="AU142" s="124">
        <f>IF($C142&gt;THIN!$F$32,0,AT141)</f>
        <v>20</v>
      </c>
      <c r="AV142" s="124">
        <f>IF($C142&gt;THIN!$F$32,0,AU141)</f>
        <v>21</v>
      </c>
    </row>
    <row r="143" spans="1:50" ht="12.95" customHeight="1" x14ac:dyDescent="0.2">
      <c r="B143" s="14"/>
      <c r="C143" s="372">
        <v>10</v>
      </c>
      <c r="D143" s="372"/>
      <c r="E143" s="372"/>
      <c r="F143" s="253" t="s">
        <v>492</v>
      </c>
      <c r="G143" s="253" t="s">
        <v>4</v>
      </c>
      <c r="H143" s="124"/>
      <c r="I143" s="124"/>
      <c r="J143" s="124"/>
      <c r="K143" s="124"/>
      <c r="L143" s="124"/>
      <c r="M143" s="124"/>
      <c r="N143" s="124"/>
      <c r="O143" s="124"/>
      <c r="P143" s="124"/>
      <c r="Q143" s="124">
        <f>IF($C143&gt;THIN!$F$32,0,P142)</f>
        <v>15</v>
      </c>
      <c r="R143" s="124">
        <f>IF($C143&gt;THIN!$F$32,0,Q142)</f>
        <v>16</v>
      </c>
      <c r="S143" s="124">
        <f>IF($C143&gt;THIN!$F$32,0,R142)</f>
        <v>17</v>
      </c>
      <c r="T143" s="124">
        <f>IF($C143&gt;THIN!$F$32,0,S142)</f>
        <v>18</v>
      </c>
      <c r="U143" s="124">
        <f>IF($C143&gt;THIN!$F$32,0,T142)</f>
        <v>19</v>
      </c>
      <c r="V143" s="124">
        <f>IF($C143&gt;THIN!$F$32,0,U142)</f>
        <v>20</v>
      </c>
      <c r="W143" s="124">
        <f>IF($C143&gt;THIN!$F$32,0,V142)</f>
        <v>21</v>
      </c>
      <c r="X143" s="124">
        <f>IF($C143&gt;THIN!$F$32,0,W142)</f>
        <v>22</v>
      </c>
      <c r="Y143" s="124">
        <f>IF($C143&gt;THIN!$F$32,0,X142)</f>
        <v>23</v>
      </c>
      <c r="Z143" s="124">
        <f>IF($C143&gt;THIN!$F$32,0,Y142)</f>
        <v>24</v>
      </c>
      <c r="AA143" s="124">
        <f>IF($C143&gt;THIN!$F$32,0,Z142)</f>
        <v>25</v>
      </c>
      <c r="AB143" s="124">
        <f>IF($C143&gt;THIN!$F$32,0,AA142)</f>
        <v>26</v>
      </c>
      <c r="AC143" s="124">
        <f>IF($C143&gt;THIN!$F$32,0,AB142)</f>
        <v>1</v>
      </c>
      <c r="AD143" s="124">
        <f>IF($C143&gt;THIN!$F$32,0,AC142)</f>
        <v>2</v>
      </c>
      <c r="AE143" s="124">
        <f>IF($C143&gt;THIN!$F$32,0,AD142)</f>
        <v>3</v>
      </c>
      <c r="AF143" s="124">
        <f>IF($C143&gt;THIN!$F$32,0,AE142)</f>
        <v>4</v>
      </c>
      <c r="AG143" s="124">
        <f>IF($C143&gt;THIN!$F$32,0,AF142)</f>
        <v>5</v>
      </c>
      <c r="AH143" s="124">
        <f>IF($C143&gt;THIN!$F$32,0,AG142)</f>
        <v>6</v>
      </c>
      <c r="AI143" s="124">
        <f>IF($C143&gt;THIN!$F$32,0,AH142)</f>
        <v>7</v>
      </c>
      <c r="AJ143" s="124">
        <f>IF($C143&gt;THIN!$F$32,0,AI142)</f>
        <v>8</v>
      </c>
      <c r="AK143" s="124">
        <f>IF($C143&gt;THIN!$F$32,0,AJ142)</f>
        <v>9</v>
      </c>
      <c r="AL143" s="124">
        <f>IF($C143&gt;THIN!$F$32,0,AK142)</f>
        <v>10</v>
      </c>
      <c r="AM143" s="124">
        <f>IF($C143&gt;THIN!$F$32,0,AL142)</f>
        <v>11</v>
      </c>
      <c r="AN143" s="124">
        <f>IF($C143&gt;THIN!$F$32,0,AM142)</f>
        <v>12</v>
      </c>
      <c r="AO143" s="124">
        <f>IF($C143&gt;THIN!$F$32,0,AN142)</f>
        <v>13</v>
      </c>
      <c r="AP143" s="124">
        <f>IF($C143&gt;THIN!$F$32,0,AO142)</f>
        <v>14</v>
      </c>
      <c r="AQ143" s="124">
        <f>IF($C143&gt;THIN!$F$32,0,AP142)</f>
        <v>15</v>
      </c>
      <c r="AR143" s="124">
        <f>IF($C143&gt;THIN!$F$32,0,AQ142)</f>
        <v>16</v>
      </c>
      <c r="AS143" s="124">
        <f>IF($C143&gt;THIN!$F$32,0,AR142)</f>
        <v>17</v>
      </c>
      <c r="AT143" s="124">
        <f>IF($C143&gt;THIN!$F$32,0,AS142)</f>
        <v>18</v>
      </c>
      <c r="AU143" s="124">
        <f>IF($C143&gt;THIN!$F$32,0,AT142)</f>
        <v>19</v>
      </c>
      <c r="AV143" s="124">
        <f>IF($C143&gt;THIN!$F$32,0,AU142)</f>
        <v>20</v>
      </c>
    </row>
    <row r="144" spans="1:50" ht="12.95" customHeight="1" x14ac:dyDescent="0.2">
      <c r="B144" s="14"/>
      <c r="C144" s="372">
        <v>11</v>
      </c>
      <c r="D144" s="372"/>
      <c r="E144" s="372"/>
      <c r="F144" s="253" t="s">
        <v>492</v>
      </c>
      <c r="G144" s="253" t="s">
        <v>4</v>
      </c>
      <c r="H144" s="124"/>
      <c r="I144" s="124"/>
      <c r="J144" s="124"/>
      <c r="K144" s="124"/>
      <c r="L144" s="124"/>
      <c r="M144" s="124"/>
      <c r="N144" s="124"/>
      <c r="O144" s="124"/>
      <c r="P144" s="124"/>
      <c r="Q144" s="124"/>
      <c r="R144" s="124">
        <f>IF($C144&gt;THIN!$F$32,0,Q143)</f>
        <v>15</v>
      </c>
      <c r="S144" s="124">
        <f>IF($C144&gt;THIN!$F$32,0,R143)</f>
        <v>16</v>
      </c>
      <c r="T144" s="124">
        <f>IF($C144&gt;THIN!$F$32,0,S143)</f>
        <v>17</v>
      </c>
      <c r="U144" s="124">
        <f>IF($C144&gt;THIN!$F$32,0,T143)</f>
        <v>18</v>
      </c>
      <c r="V144" s="124">
        <f>IF($C144&gt;THIN!$F$32,0,U143)</f>
        <v>19</v>
      </c>
      <c r="W144" s="124">
        <f>IF($C144&gt;THIN!$F$32,0,V143)</f>
        <v>20</v>
      </c>
      <c r="X144" s="124">
        <f>IF($C144&gt;THIN!$F$32,0,W143)</f>
        <v>21</v>
      </c>
      <c r="Y144" s="124">
        <f>IF($C144&gt;THIN!$F$32,0,X143)</f>
        <v>22</v>
      </c>
      <c r="Z144" s="124">
        <f>IF($C144&gt;THIN!$F$32,0,Y143)</f>
        <v>23</v>
      </c>
      <c r="AA144" s="124">
        <f>IF($C144&gt;THIN!$F$32,0,Z143)</f>
        <v>24</v>
      </c>
      <c r="AB144" s="124">
        <f>IF($C144&gt;THIN!$F$32,0,AA143)</f>
        <v>25</v>
      </c>
      <c r="AC144" s="124">
        <f>IF($C144&gt;THIN!$F$32,0,AB143)</f>
        <v>26</v>
      </c>
      <c r="AD144" s="124">
        <f>IF($C144&gt;THIN!$F$32,0,AC143)</f>
        <v>1</v>
      </c>
      <c r="AE144" s="124">
        <f>IF($C144&gt;THIN!$F$32,0,AD143)</f>
        <v>2</v>
      </c>
      <c r="AF144" s="124">
        <f>IF($C144&gt;THIN!$F$32,0,AE143)</f>
        <v>3</v>
      </c>
      <c r="AG144" s="124">
        <f>IF($C144&gt;THIN!$F$32,0,AF143)</f>
        <v>4</v>
      </c>
      <c r="AH144" s="124">
        <f>IF($C144&gt;THIN!$F$32,0,AG143)</f>
        <v>5</v>
      </c>
      <c r="AI144" s="124">
        <f>IF($C144&gt;THIN!$F$32,0,AH143)</f>
        <v>6</v>
      </c>
      <c r="AJ144" s="124">
        <f>IF($C144&gt;THIN!$F$32,0,AI143)</f>
        <v>7</v>
      </c>
      <c r="AK144" s="124">
        <f>IF($C144&gt;THIN!$F$32,0,AJ143)</f>
        <v>8</v>
      </c>
      <c r="AL144" s="124">
        <f>IF($C144&gt;THIN!$F$32,0,AK143)</f>
        <v>9</v>
      </c>
      <c r="AM144" s="124">
        <f>IF($C144&gt;THIN!$F$32,0,AL143)</f>
        <v>10</v>
      </c>
      <c r="AN144" s="124">
        <f>IF($C144&gt;THIN!$F$32,0,AM143)</f>
        <v>11</v>
      </c>
      <c r="AO144" s="124">
        <f>IF($C144&gt;THIN!$F$32,0,AN143)</f>
        <v>12</v>
      </c>
      <c r="AP144" s="124">
        <f>IF($C144&gt;THIN!$F$32,0,AO143)</f>
        <v>13</v>
      </c>
      <c r="AQ144" s="124">
        <f>IF($C144&gt;THIN!$F$32,0,AP143)</f>
        <v>14</v>
      </c>
      <c r="AR144" s="124">
        <f>IF($C144&gt;THIN!$F$32,0,AQ143)</f>
        <v>15</v>
      </c>
      <c r="AS144" s="124">
        <f>IF($C144&gt;THIN!$F$32,0,AR143)</f>
        <v>16</v>
      </c>
      <c r="AT144" s="124">
        <f>IF($C144&gt;THIN!$F$32,0,AS143)</f>
        <v>17</v>
      </c>
      <c r="AU144" s="124">
        <f>IF($C144&gt;THIN!$F$32,0,AT143)</f>
        <v>18</v>
      </c>
      <c r="AV144" s="124">
        <f>IF($C144&gt;THIN!$F$32,0,AU143)</f>
        <v>19</v>
      </c>
    </row>
    <row r="145" spans="2:48" ht="12.95" customHeight="1" x14ac:dyDescent="0.2">
      <c r="B145" s="14"/>
      <c r="C145" s="372">
        <v>12</v>
      </c>
      <c r="D145" s="372"/>
      <c r="E145" s="372"/>
      <c r="F145" s="253" t="s">
        <v>492</v>
      </c>
      <c r="G145" s="253" t="s">
        <v>4</v>
      </c>
      <c r="H145" s="124"/>
      <c r="I145" s="124"/>
      <c r="J145" s="124"/>
      <c r="K145" s="124"/>
      <c r="L145" s="124"/>
      <c r="M145" s="124"/>
      <c r="N145" s="124"/>
      <c r="O145" s="124"/>
      <c r="P145" s="124"/>
      <c r="Q145" s="124"/>
      <c r="R145" s="124"/>
      <c r="S145" s="124">
        <f>IF($C145&gt;THIN!$F$32,0,R144)</f>
        <v>15</v>
      </c>
      <c r="T145" s="124">
        <f>IF($C145&gt;THIN!$F$32,0,S144)</f>
        <v>16</v>
      </c>
      <c r="U145" s="124">
        <f>IF($C145&gt;THIN!$F$32,0,T144)</f>
        <v>17</v>
      </c>
      <c r="V145" s="124">
        <f>IF($C145&gt;THIN!$F$32,0,U144)</f>
        <v>18</v>
      </c>
      <c r="W145" s="124">
        <f>IF($C145&gt;THIN!$F$32,0,V144)</f>
        <v>19</v>
      </c>
      <c r="X145" s="124">
        <f>IF($C145&gt;THIN!$F$32,0,W144)</f>
        <v>20</v>
      </c>
      <c r="Y145" s="124">
        <f>IF($C145&gt;THIN!$F$32,0,X144)</f>
        <v>21</v>
      </c>
      <c r="Z145" s="124">
        <f>IF($C145&gt;THIN!$F$32,0,Y144)</f>
        <v>22</v>
      </c>
      <c r="AA145" s="124">
        <f>IF($C145&gt;THIN!$F$32,0,Z144)</f>
        <v>23</v>
      </c>
      <c r="AB145" s="124">
        <f>IF($C145&gt;THIN!$F$32,0,AA144)</f>
        <v>24</v>
      </c>
      <c r="AC145" s="124">
        <f>IF($C145&gt;THIN!$F$32,0,AB144)</f>
        <v>25</v>
      </c>
      <c r="AD145" s="124">
        <f>IF($C145&gt;THIN!$F$32,0,AC144)</f>
        <v>26</v>
      </c>
      <c r="AE145" s="124">
        <f>IF($C145&gt;THIN!$F$32,0,AD144)</f>
        <v>1</v>
      </c>
      <c r="AF145" s="124">
        <f>IF($C145&gt;THIN!$F$32,0,AE144)</f>
        <v>2</v>
      </c>
      <c r="AG145" s="124">
        <f>IF($C145&gt;THIN!$F$32,0,AF144)</f>
        <v>3</v>
      </c>
      <c r="AH145" s="124">
        <f>IF($C145&gt;THIN!$F$32,0,AG144)</f>
        <v>4</v>
      </c>
      <c r="AI145" s="124">
        <f>IF($C145&gt;THIN!$F$32,0,AH144)</f>
        <v>5</v>
      </c>
      <c r="AJ145" s="124">
        <f>IF($C145&gt;THIN!$F$32,0,AI144)</f>
        <v>6</v>
      </c>
      <c r="AK145" s="124">
        <f>IF($C145&gt;THIN!$F$32,0,AJ144)</f>
        <v>7</v>
      </c>
      <c r="AL145" s="124">
        <f>IF($C145&gt;THIN!$F$32,0,AK144)</f>
        <v>8</v>
      </c>
      <c r="AM145" s="124">
        <f>IF($C145&gt;THIN!$F$32,0,AL144)</f>
        <v>9</v>
      </c>
      <c r="AN145" s="124">
        <f>IF($C145&gt;THIN!$F$32,0,AM144)</f>
        <v>10</v>
      </c>
      <c r="AO145" s="124">
        <f>IF($C145&gt;THIN!$F$32,0,AN144)</f>
        <v>11</v>
      </c>
      <c r="AP145" s="124">
        <f>IF($C145&gt;THIN!$F$32,0,AO144)</f>
        <v>12</v>
      </c>
      <c r="AQ145" s="124">
        <f>IF($C145&gt;THIN!$F$32,0,AP144)</f>
        <v>13</v>
      </c>
      <c r="AR145" s="124">
        <f>IF($C145&gt;THIN!$F$32,0,AQ144)</f>
        <v>14</v>
      </c>
      <c r="AS145" s="124">
        <f>IF($C145&gt;THIN!$F$32,0,AR144)</f>
        <v>15</v>
      </c>
      <c r="AT145" s="124">
        <f>IF($C145&gt;THIN!$F$32,0,AS144)</f>
        <v>16</v>
      </c>
      <c r="AU145" s="124">
        <f>IF($C145&gt;THIN!$F$32,0,AT144)</f>
        <v>17</v>
      </c>
      <c r="AV145" s="124">
        <f>IF($C145&gt;THIN!$F$32,0,AU144)</f>
        <v>18</v>
      </c>
    </row>
    <row r="146" spans="2:48" ht="12.95" customHeight="1" x14ac:dyDescent="0.2">
      <c r="B146" s="14"/>
      <c r="C146" s="372">
        <v>13</v>
      </c>
      <c r="D146" s="372"/>
      <c r="E146" s="372"/>
      <c r="F146" s="253" t="s">
        <v>492</v>
      </c>
      <c r="G146" s="253" t="s">
        <v>4</v>
      </c>
      <c r="H146" s="124"/>
      <c r="I146" s="124"/>
      <c r="J146" s="124"/>
      <c r="K146" s="124"/>
      <c r="L146" s="124"/>
      <c r="M146" s="124"/>
      <c r="N146" s="124"/>
      <c r="O146" s="124"/>
      <c r="P146" s="124"/>
      <c r="Q146" s="124"/>
      <c r="R146" s="124"/>
      <c r="S146" s="124"/>
      <c r="T146" s="124">
        <f>IF($C146&gt;THIN!$F$32,0,S145)</f>
        <v>15</v>
      </c>
      <c r="U146" s="124">
        <f>IF($C146&gt;THIN!$F$32,0,T145)</f>
        <v>16</v>
      </c>
      <c r="V146" s="124">
        <f>IF($C146&gt;THIN!$F$32,0,U145)</f>
        <v>17</v>
      </c>
      <c r="W146" s="124">
        <f>IF($C146&gt;THIN!$F$32,0,V145)</f>
        <v>18</v>
      </c>
      <c r="X146" s="124">
        <f>IF($C146&gt;THIN!$F$32,0,W145)</f>
        <v>19</v>
      </c>
      <c r="Y146" s="124">
        <f>IF($C146&gt;THIN!$F$32,0,X145)</f>
        <v>20</v>
      </c>
      <c r="Z146" s="124">
        <f>IF($C146&gt;THIN!$F$32,0,Y145)</f>
        <v>21</v>
      </c>
      <c r="AA146" s="124">
        <f>IF($C146&gt;THIN!$F$32,0,Z145)</f>
        <v>22</v>
      </c>
      <c r="AB146" s="124">
        <f>IF($C146&gt;THIN!$F$32,0,AA145)</f>
        <v>23</v>
      </c>
      <c r="AC146" s="124">
        <f>IF($C146&gt;THIN!$F$32,0,AB145)</f>
        <v>24</v>
      </c>
      <c r="AD146" s="124">
        <f>IF($C146&gt;THIN!$F$32,0,AC145)</f>
        <v>25</v>
      </c>
      <c r="AE146" s="124">
        <f>IF($C146&gt;THIN!$F$32,0,AD145)</f>
        <v>26</v>
      </c>
      <c r="AF146" s="124">
        <f>IF($C146&gt;THIN!$F$32,0,AE145)</f>
        <v>1</v>
      </c>
      <c r="AG146" s="124">
        <f>IF($C146&gt;THIN!$F$32,0,AF145)</f>
        <v>2</v>
      </c>
      <c r="AH146" s="124">
        <f>IF($C146&gt;THIN!$F$32,0,AG145)</f>
        <v>3</v>
      </c>
      <c r="AI146" s="124">
        <f>IF($C146&gt;THIN!$F$32,0,AH145)</f>
        <v>4</v>
      </c>
      <c r="AJ146" s="124">
        <f>IF($C146&gt;THIN!$F$32,0,AI145)</f>
        <v>5</v>
      </c>
      <c r="AK146" s="124">
        <f>IF($C146&gt;THIN!$F$32,0,AJ145)</f>
        <v>6</v>
      </c>
      <c r="AL146" s="124">
        <f>IF($C146&gt;THIN!$F$32,0,AK145)</f>
        <v>7</v>
      </c>
      <c r="AM146" s="124">
        <f>IF($C146&gt;THIN!$F$32,0,AL145)</f>
        <v>8</v>
      </c>
      <c r="AN146" s="124">
        <f>IF($C146&gt;THIN!$F$32,0,AM145)</f>
        <v>9</v>
      </c>
      <c r="AO146" s="124">
        <f>IF($C146&gt;THIN!$F$32,0,AN145)</f>
        <v>10</v>
      </c>
      <c r="AP146" s="124">
        <f>IF($C146&gt;THIN!$F$32,0,AO145)</f>
        <v>11</v>
      </c>
      <c r="AQ146" s="124">
        <f>IF($C146&gt;THIN!$F$32,0,AP145)</f>
        <v>12</v>
      </c>
      <c r="AR146" s="124">
        <f>IF($C146&gt;THIN!$F$32,0,AQ145)</f>
        <v>13</v>
      </c>
      <c r="AS146" s="124">
        <f>IF($C146&gt;THIN!$F$32,0,AR145)</f>
        <v>14</v>
      </c>
      <c r="AT146" s="124">
        <f>IF($C146&gt;THIN!$F$32,0,AS145)</f>
        <v>15</v>
      </c>
      <c r="AU146" s="124">
        <f>IF($C146&gt;THIN!$F$32,0,AT145)</f>
        <v>16</v>
      </c>
      <c r="AV146" s="124">
        <f>IF($C146&gt;THIN!$F$32,0,AU145)</f>
        <v>17</v>
      </c>
    </row>
    <row r="147" spans="2:48" ht="12.95" customHeight="1" x14ac:dyDescent="0.2">
      <c r="B147" s="14"/>
      <c r="C147" s="372">
        <v>14</v>
      </c>
      <c r="D147" s="372"/>
      <c r="E147" s="372"/>
      <c r="F147" s="253" t="s">
        <v>492</v>
      </c>
      <c r="G147" s="253" t="s">
        <v>4</v>
      </c>
      <c r="H147" s="124"/>
      <c r="I147" s="124"/>
      <c r="J147" s="124"/>
      <c r="K147" s="124"/>
      <c r="L147" s="124"/>
      <c r="M147" s="124"/>
      <c r="N147" s="124"/>
      <c r="O147" s="124"/>
      <c r="P147" s="124"/>
      <c r="Q147" s="124"/>
      <c r="R147" s="124"/>
      <c r="S147" s="124"/>
      <c r="T147" s="124"/>
      <c r="U147" s="124">
        <f>IF($C147&gt;THIN!$F$32,0,T146)</f>
        <v>15</v>
      </c>
      <c r="V147" s="124">
        <f>IF($C147&gt;THIN!$F$32,0,U146)</f>
        <v>16</v>
      </c>
      <c r="W147" s="124">
        <f>IF($C147&gt;THIN!$F$32,0,V146)</f>
        <v>17</v>
      </c>
      <c r="X147" s="124">
        <f>IF($C147&gt;THIN!$F$32,0,W146)</f>
        <v>18</v>
      </c>
      <c r="Y147" s="124">
        <f>IF($C147&gt;THIN!$F$32,0,X146)</f>
        <v>19</v>
      </c>
      <c r="Z147" s="124">
        <f>IF($C147&gt;THIN!$F$32,0,Y146)</f>
        <v>20</v>
      </c>
      <c r="AA147" s="124">
        <f>IF($C147&gt;THIN!$F$32,0,Z146)</f>
        <v>21</v>
      </c>
      <c r="AB147" s="124">
        <f>IF($C147&gt;THIN!$F$32,0,AA146)</f>
        <v>22</v>
      </c>
      <c r="AC147" s="124">
        <f>IF($C147&gt;THIN!$F$32,0,AB146)</f>
        <v>23</v>
      </c>
      <c r="AD147" s="124">
        <f>IF($C147&gt;THIN!$F$32,0,AC146)</f>
        <v>24</v>
      </c>
      <c r="AE147" s="124">
        <f>IF($C147&gt;THIN!$F$32,0,AD146)</f>
        <v>25</v>
      </c>
      <c r="AF147" s="124">
        <f>IF($C147&gt;THIN!$F$32,0,AE146)</f>
        <v>26</v>
      </c>
      <c r="AG147" s="124">
        <f>IF($C147&gt;THIN!$F$32,0,AF146)</f>
        <v>1</v>
      </c>
      <c r="AH147" s="124">
        <f>IF($C147&gt;THIN!$F$32,0,AG146)</f>
        <v>2</v>
      </c>
      <c r="AI147" s="124">
        <f>IF($C147&gt;THIN!$F$32,0,AH146)</f>
        <v>3</v>
      </c>
      <c r="AJ147" s="124">
        <f>IF($C147&gt;THIN!$F$32,0,AI146)</f>
        <v>4</v>
      </c>
      <c r="AK147" s="124">
        <f>IF($C147&gt;THIN!$F$32,0,AJ146)</f>
        <v>5</v>
      </c>
      <c r="AL147" s="124">
        <f>IF($C147&gt;THIN!$F$32,0,AK146)</f>
        <v>6</v>
      </c>
      <c r="AM147" s="124">
        <f>IF($C147&gt;THIN!$F$32,0,AL146)</f>
        <v>7</v>
      </c>
      <c r="AN147" s="124">
        <f>IF($C147&gt;THIN!$F$32,0,AM146)</f>
        <v>8</v>
      </c>
      <c r="AO147" s="124">
        <f>IF($C147&gt;THIN!$F$32,0,AN146)</f>
        <v>9</v>
      </c>
      <c r="AP147" s="124">
        <f>IF($C147&gt;THIN!$F$32,0,AO146)</f>
        <v>10</v>
      </c>
      <c r="AQ147" s="124">
        <f>IF($C147&gt;THIN!$F$32,0,AP146)</f>
        <v>11</v>
      </c>
      <c r="AR147" s="124">
        <f>IF($C147&gt;THIN!$F$32,0,AQ146)</f>
        <v>12</v>
      </c>
      <c r="AS147" s="124">
        <f>IF($C147&gt;THIN!$F$32,0,AR146)</f>
        <v>13</v>
      </c>
      <c r="AT147" s="124">
        <f>IF($C147&gt;THIN!$F$32,0,AS146)</f>
        <v>14</v>
      </c>
      <c r="AU147" s="124">
        <f>IF($C147&gt;THIN!$F$32,0,AT146)</f>
        <v>15</v>
      </c>
      <c r="AV147" s="124">
        <f>IF($C147&gt;THIN!$F$32,0,AU146)</f>
        <v>16</v>
      </c>
    </row>
    <row r="148" spans="2:48" ht="12.95" customHeight="1" x14ac:dyDescent="0.2">
      <c r="B148" s="14"/>
      <c r="C148" s="372">
        <v>15</v>
      </c>
      <c r="D148" s="372"/>
      <c r="E148" s="372"/>
      <c r="F148" s="253" t="s">
        <v>492</v>
      </c>
      <c r="G148" s="253" t="s">
        <v>4</v>
      </c>
      <c r="H148" s="124"/>
      <c r="I148" s="124"/>
      <c r="J148" s="124"/>
      <c r="K148" s="124"/>
      <c r="L148" s="124"/>
      <c r="M148" s="124"/>
      <c r="N148" s="124"/>
      <c r="O148" s="124"/>
      <c r="P148" s="124"/>
      <c r="Q148" s="124"/>
      <c r="R148" s="124"/>
      <c r="S148" s="124"/>
      <c r="T148" s="124"/>
      <c r="U148" s="124"/>
      <c r="V148" s="124">
        <f>IF($C148&gt;THIN!$F$32,0,U147)</f>
        <v>15</v>
      </c>
      <c r="W148" s="124">
        <f>IF($C148&gt;THIN!$F$32,0,V147)</f>
        <v>16</v>
      </c>
      <c r="X148" s="124">
        <f>IF($C148&gt;THIN!$F$32,0,W147)</f>
        <v>17</v>
      </c>
      <c r="Y148" s="124">
        <f>IF($C148&gt;THIN!$F$32,0,X147)</f>
        <v>18</v>
      </c>
      <c r="Z148" s="124">
        <f>IF($C148&gt;THIN!$F$32,0,Y147)</f>
        <v>19</v>
      </c>
      <c r="AA148" s="124">
        <f>IF($C148&gt;THIN!$F$32,0,Z147)</f>
        <v>20</v>
      </c>
      <c r="AB148" s="124">
        <f>IF($C148&gt;THIN!$F$32,0,AA147)</f>
        <v>21</v>
      </c>
      <c r="AC148" s="124">
        <f>IF($C148&gt;THIN!$F$32,0,AB147)</f>
        <v>22</v>
      </c>
      <c r="AD148" s="124">
        <f>IF($C148&gt;THIN!$F$32,0,AC147)</f>
        <v>23</v>
      </c>
      <c r="AE148" s="124">
        <f>IF($C148&gt;THIN!$F$32,0,AD147)</f>
        <v>24</v>
      </c>
      <c r="AF148" s="124">
        <f>IF($C148&gt;THIN!$F$32,0,AE147)</f>
        <v>25</v>
      </c>
      <c r="AG148" s="124">
        <f>IF($C148&gt;THIN!$F$32,0,AF147)</f>
        <v>26</v>
      </c>
      <c r="AH148" s="124">
        <f>IF($C148&gt;THIN!$F$32,0,AG147)</f>
        <v>1</v>
      </c>
      <c r="AI148" s="124">
        <f>IF($C148&gt;THIN!$F$32,0,AH147)</f>
        <v>2</v>
      </c>
      <c r="AJ148" s="124">
        <f>IF($C148&gt;THIN!$F$32,0,AI147)</f>
        <v>3</v>
      </c>
      <c r="AK148" s="124">
        <f>IF($C148&gt;THIN!$F$32,0,AJ147)</f>
        <v>4</v>
      </c>
      <c r="AL148" s="124">
        <f>IF($C148&gt;THIN!$F$32,0,AK147)</f>
        <v>5</v>
      </c>
      <c r="AM148" s="124">
        <f>IF($C148&gt;THIN!$F$32,0,AL147)</f>
        <v>6</v>
      </c>
      <c r="AN148" s="124">
        <f>IF($C148&gt;THIN!$F$32,0,AM147)</f>
        <v>7</v>
      </c>
      <c r="AO148" s="124">
        <f>IF($C148&gt;THIN!$F$32,0,AN147)</f>
        <v>8</v>
      </c>
      <c r="AP148" s="124">
        <f>IF($C148&gt;THIN!$F$32,0,AO147)</f>
        <v>9</v>
      </c>
      <c r="AQ148" s="124">
        <f>IF($C148&gt;THIN!$F$32,0,AP147)</f>
        <v>10</v>
      </c>
      <c r="AR148" s="124">
        <f>IF($C148&gt;THIN!$F$32,0,AQ147)</f>
        <v>11</v>
      </c>
      <c r="AS148" s="124">
        <f>IF($C148&gt;THIN!$F$32,0,AR147)</f>
        <v>12</v>
      </c>
      <c r="AT148" s="124">
        <f>IF($C148&gt;THIN!$F$32,0,AS147)</f>
        <v>13</v>
      </c>
      <c r="AU148" s="124">
        <f>IF($C148&gt;THIN!$F$32,0,AT147)</f>
        <v>14</v>
      </c>
      <c r="AV148" s="124">
        <f>IF($C148&gt;THIN!$F$32,0,AU147)</f>
        <v>15</v>
      </c>
    </row>
    <row r="149" spans="2:48" ht="12.95" customHeight="1" x14ac:dyDescent="0.2">
      <c r="B149" s="14"/>
      <c r="C149" s="372">
        <v>16</v>
      </c>
      <c r="D149" s="372"/>
      <c r="E149" s="372"/>
      <c r="F149" s="253" t="s">
        <v>492</v>
      </c>
      <c r="G149" s="253" t="s">
        <v>4</v>
      </c>
      <c r="H149" s="124"/>
      <c r="I149" s="124"/>
      <c r="J149" s="124"/>
      <c r="K149" s="124"/>
      <c r="L149" s="124"/>
      <c r="M149" s="124"/>
      <c r="N149" s="124"/>
      <c r="O149" s="124"/>
      <c r="P149" s="124"/>
      <c r="Q149" s="124"/>
      <c r="R149" s="124"/>
      <c r="S149" s="124"/>
      <c r="T149" s="124"/>
      <c r="U149" s="124"/>
      <c r="V149" s="124"/>
      <c r="W149" s="124">
        <f>IF($C149&gt;THIN!$F$32,0,V148)</f>
        <v>15</v>
      </c>
      <c r="X149" s="124">
        <f>IF($C149&gt;THIN!$F$32,0,W148)</f>
        <v>16</v>
      </c>
      <c r="Y149" s="124">
        <f>IF($C149&gt;THIN!$F$32,0,X148)</f>
        <v>17</v>
      </c>
      <c r="Z149" s="124">
        <f>IF($C149&gt;THIN!$F$32,0,Y148)</f>
        <v>18</v>
      </c>
      <c r="AA149" s="124">
        <f>IF($C149&gt;THIN!$F$32,0,Z148)</f>
        <v>19</v>
      </c>
      <c r="AB149" s="124">
        <f>IF($C149&gt;THIN!$F$32,0,AA148)</f>
        <v>20</v>
      </c>
      <c r="AC149" s="124">
        <f>IF($C149&gt;THIN!$F$32,0,AB148)</f>
        <v>21</v>
      </c>
      <c r="AD149" s="124">
        <f>IF($C149&gt;THIN!$F$32,0,AC148)</f>
        <v>22</v>
      </c>
      <c r="AE149" s="124">
        <f>IF($C149&gt;THIN!$F$32,0,AD148)</f>
        <v>23</v>
      </c>
      <c r="AF149" s="124">
        <f>IF($C149&gt;THIN!$F$32,0,AE148)</f>
        <v>24</v>
      </c>
      <c r="AG149" s="124">
        <f>IF($C149&gt;THIN!$F$32,0,AF148)</f>
        <v>25</v>
      </c>
      <c r="AH149" s="124">
        <f>IF($C149&gt;THIN!$F$32,0,AG148)</f>
        <v>26</v>
      </c>
      <c r="AI149" s="124">
        <f>IF($C149&gt;THIN!$F$32,0,AH148)</f>
        <v>1</v>
      </c>
      <c r="AJ149" s="124">
        <f>IF($C149&gt;THIN!$F$32,0,AI148)</f>
        <v>2</v>
      </c>
      <c r="AK149" s="124">
        <f>IF($C149&gt;THIN!$F$32,0,AJ148)</f>
        <v>3</v>
      </c>
      <c r="AL149" s="124">
        <f>IF($C149&gt;THIN!$F$32,0,AK148)</f>
        <v>4</v>
      </c>
      <c r="AM149" s="124">
        <f>IF($C149&gt;THIN!$F$32,0,AL148)</f>
        <v>5</v>
      </c>
      <c r="AN149" s="124">
        <f>IF($C149&gt;THIN!$F$32,0,AM148)</f>
        <v>6</v>
      </c>
      <c r="AO149" s="124">
        <f>IF($C149&gt;THIN!$F$32,0,AN148)</f>
        <v>7</v>
      </c>
      <c r="AP149" s="124">
        <f>IF($C149&gt;THIN!$F$32,0,AO148)</f>
        <v>8</v>
      </c>
      <c r="AQ149" s="124">
        <f>IF($C149&gt;THIN!$F$32,0,AP148)</f>
        <v>9</v>
      </c>
      <c r="AR149" s="124">
        <f>IF($C149&gt;THIN!$F$32,0,AQ148)</f>
        <v>10</v>
      </c>
      <c r="AS149" s="124">
        <f>IF($C149&gt;THIN!$F$32,0,AR148)</f>
        <v>11</v>
      </c>
      <c r="AT149" s="124">
        <f>IF($C149&gt;THIN!$F$32,0,AS148)</f>
        <v>12</v>
      </c>
      <c r="AU149" s="124">
        <f>IF($C149&gt;THIN!$F$32,0,AT148)</f>
        <v>13</v>
      </c>
      <c r="AV149" s="124">
        <f>IF($C149&gt;THIN!$F$32,0,AU148)</f>
        <v>14</v>
      </c>
    </row>
    <row r="150" spans="2:48" ht="12.95" customHeight="1" x14ac:dyDescent="0.2">
      <c r="B150" s="14"/>
      <c r="C150" s="372">
        <v>17</v>
      </c>
      <c r="D150" s="372"/>
      <c r="E150" s="372"/>
      <c r="F150" s="253" t="s">
        <v>492</v>
      </c>
      <c r="G150" s="253" t="s">
        <v>4</v>
      </c>
      <c r="H150" s="124"/>
      <c r="I150" s="124"/>
      <c r="J150" s="124"/>
      <c r="K150" s="124"/>
      <c r="L150" s="124"/>
      <c r="M150" s="124"/>
      <c r="N150" s="124"/>
      <c r="O150" s="124"/>
      <c r="P150" s="124"/>
      <c r="Q150" s="124"/>
      <c r="R150" s="124"/>
      <c r="S150" s="124"/>
      <c r="T150" s="124"/>
      <c r="U150" s="124"/>
      <c r="V150" s="124"/>
      <c r="W150" s="124"/>
      <c r="X150" s="124">
        <f>IF($C150&gt;THIN!$F$32,0,W149)</f>
        <v>15</v>
      </c>
      <c r="Y150" s="124">
        <f>IF($C150&gt;THIN!$F$32,0,X149)</f>
        <v>16</v>
      </c>
      <c r="Z150" s="124">
        <f>IF($C150&gt;THIN!$F$32,0,Y149)</f>
        <v>17</v>
      </c>
      <c r="AA150" s="124">
        <f>IF($C150&gt;THIN!$F$32,0,Z149)</f>
        <v>18</v>
      </c>
      <c r="AB150" s="124">
        <f>IF($C150&gt;THIN!$F$32,0,AA149)</f>
        <v>19</v>
      </c>
      <c r="AC150" s="124">
        <f>IF($C150&gt;THIN!$F$32,0,AB149)</f>
        <v>20</v>
      </c>
      <c r="AD150" s="124">
        <f>IF($C150&gt;THIN!$F$32,0,AC149)</f>
        <v>21</v>
      </c>
      <c r="AE150" s="124">
        <f>IF($C150&gt;THIN!$F$32,0,AD149)</f>
        <v>22</v>
      </c>
      <c r="AF150" s="124">
        <f>IF($C150&gt;THIN!$F$32,0,AE149)</f>
        <v>23</v>
      </c>
      <c r="AG150" s="124">
        <f>IF($C150&gt;THIN!$F$32,0,AF149)</f>
        <v>24</v>
      </c>
      <c r="AH150" s="124">
        <f>IF($C150&gt;THIN!$F$32,0,AG149)</f>
        <v>25</v>
      </c>
      <c r="AI150" s="124">
        <f>IF($C150&gt;THIN!$F$32,0,AH149)</f>
        <v>26</v>
      </c>
      <c r="AJ150" s="124">
        <f>IF($C150&gt;THIN!$F$32,0,AI149)</f>
        <v>1</v>
      </c>
      <c r="AK150" s="124">
        <f>IF($C150&gt;THIN!$F$32,0,AJ149)</f>
        <v>2</v>
      </c>
      <c r="AL150" s="124">
        <f>IF($C150&gt;THIN!$F$32,0,AK149)</f>
        <v>3</v>
      </c>
      <c r="AM150" s="124">
        <f>IF($C150&gt;THIN!$F$32,0,AL149)</f>
        <v>4</v>
      </c>
      <c r="AN150" s="124">
        <f>IF($C150&gt;THIN!$F$32,0,AM149)</f>
        <v>5</v>
      </c>
      <c r="AO150" s="124">
        <f>IF($C150&gt;THIN!$F$32,0,AN149)</f>
        <v>6</v>
      </c>
      <c r="AP150" s="124">
        <f>IF($C150&gt;THIN!$F$32,0,AO149)</f>
        <v>7</v>
      </c>
      <c r="AQ150" s="124">
        <f>IF($C150&gt;THIN!$F$32,0,AP149)</f>
        <v>8</v>
      </c>
      <c r="AR150" s="124">
        <f>IF($C150&gt;THIN!$F$32,0,AQ149)</f>
        <v>9</v>
      </c>
      <c r="AS150" s="124">
        <f>IF($C150&gt;THIN!$F$32,0,AR149)</f>
        <v>10</v>
      </c>
      <c r="AT150" s="124">
        <f>IF($C150&gt;THIN!$F$32,0,AS149)</f>
        <v>11</v>
      </c>
      <c r="AU150" s="124">
        <f>IF($C150&gt;THIN!$F$32,0,AT149)</f>
        <v>12</v>
      </c>
      <c r="AV150" s="124">
        <f>IF($C150&gt;THIN!$F$32,0,AU149)</f>
        <v>13</v>
      </c>
    </row>
    <row r="151" spans="2:48" ht="12.95" customHeight="1" x14ac:dyDescent="0.2">
      <c r="B151" s="14"/>
      <c r="C151" s="372">
        <v>18</v>
      </c>
      <c r="D151" s="372"/>
      <c r="E151" s="372"/>
      <c r="F151" s="253" t="s">
        <v>492</v>
      </c>
      <c r="G151" s="253" t="s">
        <v>4</v>
      </c>
      <c r="H151" s="124"/>
      <c r="I151" s="124"/>
      <c r="J151" s="124"/>
      <c r="K151" s="124"/>
      <c r="L151" s="124"/>
      <c r="M151" s="124"/>
      <c r="N151" s="124"/>
      <c r="O151" s="124"/>
      <c r="P151" s="124"/>
      <c r="Q151" s="124"/>
      <c r="R151" s="124"/>
      <c r="S151" s="124"/>
      <c r="T151" s="124"/>
      <c r="U151" s="124"/>
      <c r="V151" s="124"/>
      <c r="W151" s="124"/>
      <c r="X151" s="124"/>
      <c r="Y151" s="124">
        <f>IF($C151&gt;THIN!$F$32,0,X150)</f>
        <v>15</v>
      </c>
      <c r="Z151" s="124">
        <f>IF($C151&gt;THIN!$F$32,0,Y150)</f>
        <v>16</v>
      </c>
      <c r="AA151" s="124">
        <f>IF($C151&gt;THIN!$F$32,0,Z150)</f>
        <v>17</v>
      </c>
      <c r="AB151" s="124">
        <f>IF($C151&gt;THIN!$F$32,0,AA150)</f>
        <v>18</v>
      </c>
      <c r="AC151" s="124">
        <f>IF($C151&gt;THIN!$F$32,0,AB150)</f>
        <v>19</v>
      </c>
      <c r="AD151" s="124">
        <f>IF($C151&gt;THIN!$F$32,0,AC150)</f>
        <v>20</v>
      </c>
      <c r="AE151" s="124">
        <f>IF($C151&gt;THIN!$F$32,0,AD150)</f>
        <v>21</v>
      </c>
      <c r="AF151" s="124">
        <f>IF($C151&gt;THIN!$F$32,0,AE150)</f>
        <v>22</v>
      </c>
      <c r="AG151" s="124">
        <f>IF($C151&gt;THIN!$F$32,0,AF150)</f>
        <v>23</v>
      </c>
      <c r="AH151" s="124">
        <f>IF($C151&gt;THIN!$F$32,0,AG150)</f>
        <v>24</v>
      </c>
      <c r="AI151" s="124">
        <f>IF($C151&gt;THIN!$F$32,0,AH150)</f>
        <v>25</v>
      </c>
      <c r="AJ151" s="124">
        <f>IF($C151&gt;THIN!$F$32,0,AI150)</f>
        <v>26</v>
      </c>
      <c r="AK151" s="124">
        <f>IF($C151&gt;THIN!$F$32,0,AJ150)</f>
        <v>1</v>
      </c>
      <c r="AL151" s="124">
        <f>IF($C151&gt;THIN!$F$32,0,AK150)</f>
        <v>2</v>
      </c>
      <c r="AM151" s="124">
        <f>IF($C151&gt;THIN!$F$32,0,AL150)</f>
        <v>3</v>
      </c>
      <c r="AN151" s="124">
        <f>IF($C151&gt;THIN!$F$32,0,AM150)</f>
        <v>4</v>
      </c>
      <c r="AO151" s="124">
        <f>IF($C151&gt;THIN!$F$32,0,AN150)</f>
        <v>5</v>
      </c>
      <c r="AP151" s="124">
        <f>IF($C151&gt;THIN!$F$32,0,AO150)</f>
        <v>6</v>
      </c>
      <c r="AQ151" s="124">
        <f>IF($C151&gt;THIN!$F$32,0,AP150)</f>
        <v>7</v>
      </c>
      <c r="AR151" s="124">
        <f>IF($C151&gt;THIN!$F$32,0,AQ150)</f>
        <v>8</v>
      </c>
      <c r="AS151" s="124">
        <f>IF($C151&gt;THIN!$F$32,0,AR150)</f>
        <v>9</v>
      </c>
      <c r="AT151" s="124">
        <f>IF($C151&gt;THIN!$F$32,0,AS150)</f>
        <v>10</v>
      </c>
      <c r="AU151" s="124">
        <f>IF($C151&gt;THIN!$F$32,0,AT150)</f>
        <v>11</v>
      </c>
      <c r="AV151" s="124">
        <f>IF($C151&gt;THIN!$F$32,0,AU150)</f>
        <v>12</v>
      </c>
    </row>
    <row r="152" spans="2:48" ht="12.95" customHeight="1" x14ac:dyDescent="0.2">
      <c r="B152" s="14"/>
      <c r="C152" s="372">
        <v>19</v>
      </c>
      <c r="D152" s="372"/>
      <c r="E152" s="372"/>
      <c r="F152" s="253" t="s">
        <v>492</v>
      </c>
      <c r="G152" s="253" t="s">
        <v>4</v>
      </c>
      <c r="H152" s="124"/>
      <c r="I152" s="124"/>
      <c r="J152" s="124"/>
      <c r="K152" s="124"/>
      <c r="L152" s="124"/>
      <c r="M152" s="124"/>
      <c r="N152" s="124"/>
      <c r="O152" s="124"/>
      <c r="P152" s="124"/>
      <c r="Q152" s="124"/>
      <c r="R152" s="124"/>
      <c r="S152" s="124"/>
      <c r="T152" s="124"/>
      <c r="U152" s="124"/>
      <c r="V152" s="124"/>
      <c r="W152" s="124"/>
      <c r="X152" s="124"/>
      <c r="Y152" s="124"/>
      <c r="Z152" s="124">
        <f>IF($C152&gt;THIN!$F$32,0,Y151)</f>
        <v>15</v>
      </c>
      <c r="AA152" s="124">
        <f>IF($C152&gt;THIN!$F$32,0,Z151)</f>
        <v>16</v>
      </c>
      <c r="AB152" s="124">
        <f>IF($C152&gt;THIN!$F$32,0,AA151)</f>
        <v>17</v>
      </c>
      <c r="AC152" s="124">
        <f>IF($C152&gt;THIN!$F$32,0,AB151)</f>
        <v>18</v>
      </c>
      <c r="AD152" s="124">
        <f>IF($C152&gt;THIN!$F$32,0,AC151)</f>
        <v>19</v>
      </c>
      <c r="AE152" s="124">
        <f>IF($C152&gt;THIN!$F$32,0,AD151)</f>
        <v>20</v>
      </c>
      <c r="AF152" s="124">
        <f>IF($C152&gt;THIN!$F$32,0,AE151)</f>
        <v>21</v>
      </c>
      <c r="AG152" s="124">
        <f>IF($C152&gt;THIN!$F$32,0,AF151)</f>
        <v>22</v>
      </c>
      <c r="AH152" s="124">
        <f>IF($C152&gt;THIN!$F$32,0,AG151)</f>
        <v>23</v>
      </c>
      <c r="AI152" s="124">
        <f>IF($C152&gt;THIN!$F$32,0,AH151)</f>
        <v>24</v>
      </c>
      <c r="AJ152" s="124">
        <f>IF($C152&gt;THIN!$F$32,0,AI151)</f>
        <v>25</v>
      </c>
      <c r="AK152" s="124">
        <f>IF($C152&gt;THIN!$F$32,0,AJ151)</f>
        <v>26</v>
      </c>
      <c r="AL152" s="124">
        <f>IF($C152&gt;THIN!$F$32,0,AK151)</f>
        <v>1</v>
      </c>
      <c r="AM152" s="124">
        <f>IF($C152&gt;THIN!$F$32,0,AL151)</f>
        <v>2</v>
      </c>
      <c r="AN152" s="124">
        <f>IF($C152&gt;THIN!$F$32,0,AM151)</f>
        <v>3</v>
      </c>
      <c r="AO152" s="124">
        <f>IF($C152&gt;THIN!$F$32,0,AN151)</f>
        <v>4</v>
      </c>
      <c r="AP152" s="124">
        <f>IF($C152&gt;THIN!$F$32,0,AO151)</f>
        <v>5</v>
      </c>
      <c r="AQ152" s="124">
        <f>IF($C152&gt;THIN!$F$32,0,AP151)</f>
        <v>6</v>
      </c>
      <c r="AR152" s="124">
        <f>IF($C152&gt;THIN!$F$32,0,AQ151)</f>
        <v>7</v>
      </c>
      <c r="AS152" s="124">
        <f>IF($C152&gt;THIN!$F$32,0,AR151)</f>
        <v>8</v>
      </c>
      <c r="AT152" s="124">
        <f>IF($C152&gt;THIN!$F$32,0,AS151)</f>
        <v>9</v>
      </c>
      <c r="AU152" s="124">
        <f>IF($C152&gt;THIN!$F$32,0,AT151)</f>
        <v>10</v>
      </c>
      <c r="AV152" s="124">
        <f>IF($C152&gt;THIN!$F$32,0,AU151)</f>
        <v>11</v>
      </c>
    </row>
    <row r="153" spans="2:48" ht="12.95" customHeight="1" x14ac:dyDescent="0.2">
      <c r="B153" s="14"/>
      <c r="C153" s="372">
        <v>20</v>
      </c>
      <c r="D153" s="372"/>
      <c r="E153" s="372"/>
      <c r="F153" s="253" t="s">
        <v>492</v>
      </c>
      <c r="G153" s="253" t="s">
        <v>4</v>
      </c>
      <c r="H153" s="124"/>
      <c r="I153" s="124"/>
      <c r="J153" s="124"/>
      <c r="K153" s="124"/>
      <c r="L153" s="124"/>
      <c r="M153" s="124"/>
      <c r="N153" s="124"/>
      <c r="O153" s="124"/>
      <c r="P153" s="124"/>
      <c r="Q153" s="124"/>
      <c r="R153" s="124"/>
      <c r="S153" s="124"/>
      <c r="T153" s="124"/>
      <c r="U153" s="124"/>
      <c r="V153" s="124"/>
      <c r="W153" s="124"/>
      <c r="X153" s="124"/>
      <c r="Y153" s="124"/>
      <c r="Z153" s="124"/>
      <c r="AA153" s="124">
        <f>IF($C153&gt;THIN!$F$32,0,Z152)</f>
        <v>15</v>
      </c>
      <c r="AB153" s="124">
        <f>IF($C153&gt;THIN!$F$32,0,AA152)</f>
        <v>16</v>
      </c>
      <c r="AC153" s="124">
        <f>IF($C153&gt;THIN!$F$32,0,AB152)</f>
        <v>17</v>
      </c>
      <c r="AD153" s="124">
        <f>IF($C153&gt;THIN!$F$32,0,AC152)</f>
        <v>18</v>
      </c>
      <c r="AE153" s="124">
        <f>IF($C153&gt;THIN!$F$32,0,AD152)</f>
        <v>19</v>
      </c>
      <c r="AF153" s="124">
        <f>IF($C153&gt;THIN!$F$32,0,AE152)</f>
        <v>20</v>
      </c>
      <c r="AG153" s="124">
        <f>IF($C153&gt;THIN!$F$32,0,AF152)</f>
        <v>21</v>
      </c>
      <c r="AH153" s="124">
        <f>IF($C153&gt;THIN!$F$32,0,AG152)</f>
        <v>22</v>
      </c>
      <c r="AI153" s="124">
        <f>IF($C153&gt;THIN!$F$32,0,AH152)</f>
        <v>23</v>
      </c>
      <c r="AJ153" s="124">
        <f>IF($C153&gt;THIN!$F$32,0,AI152)</f>
        <v>24</v>
      </c>
      <c r="AK153" s="124">
        <f>IF($C153&gt;THIN!$F$32,0,AJ152)</f>
        <v>25</v>
      </c>
      <c r="AL153" s="124">
        <f>IF($C153&gt;THIN!$F$32,0,AK152)</f>
        <v>26</v>
      </c>
      <c r="AM153" s="124">
        <f>IF($C153&gt;THIN!$F$32,0,AL152)</f>
        <v>1</v>
      </c>
      <c r="AN153" s="124">
        <f>IF($C153&gt;THIN!$F$32,0,AM152)</f>
        <v>2</v>
      </c>
      <c r="AO153" s="124">
        <f>IF($C153&gt;THIN!$F$32,0,AN152)</f>
        <v>3</v>
      </c>
      <c r="AP153" s="124">
        <f>IF($C153&gt;THIN!$F$32,0,AO152)</f>
        <v>4</v>
      </c>
      <c r="AQ153" s="124">
        <f>IF($C153&gt;THIN!$F$32,0,AP152)</f>
        <v>5</v>
      </c>
      <c r="AR153" s="124">
        <f>IF($C153&gt;THIN!$F$32,0,AQ152)</f>
        <v>6</v>
      </c>
      <c r="AS153" s="124">
        <f>IF($C153&gt;THIN!$F$32,0,AR152)</f>
        <v>7</v>
      </c>
      <c r="AT153" s="124">
        <f>IF($C153&gt;THIN!$F$32,0,AS152)</f>
        <v>8</v>
      </c>
      <c r="AU153" s="124">
        <f>IF($C153&gt;THIN!$F$32,0,AT152)</f>
        <v>9</v>
      </c>
      <c r="AV153" s="124">
        <f>IF($C153&gt;THIN!$F$32,0,AU152)</f>
        <v>10</v>
      </c>
    </row>
    <row r="154" spans="2:48" ht="12.95" customHeight="1" x14ac:dyDescent="0.2">
      <c r="B154" s="14"/>
      <c r="C154" s="372">
        <v>21</v>
      </c>
      <c r="D154" s="372"/>
      <c r="E154" s="372"/>
      <c r="F154" s="253" t="s">
        <v>492</v>
      </c>
      <c r="G154" s="253" t="s">
        <v>4</v>
      </c>
      <c r="H154" s="124"/>
      <c r="I154" s="124"/>
      <c r="J154" s="124"/>
      <c r="K154" s="124"/>
      <c r="L154" s="124"/>
      <c r="M154" s="124"/>
      <c r="N154" s="124"/>
      <c r="O154" s="124"/>
      <c r="P154" s="124"/>
      <c r="Q154" s="124"/>
      <c r="R154" s="124"/>
      <c r="S154" s="124"/>
      <c r="T154" s="124"/>
      <c r="U154" s="124"/>
      <c r="V154" s="124"/>
      <c r="W154" s="124"/>
      <c r="X154" s="124"/>
      <c r="Y154" s="124"/>
      <c r="Z154" s="124"/>
      <c r="AA154" s="124"/>
      <c r="AB154" s="124">
        <f>IF($C154&gt;THIN!$F$32,0,AA153)</f>
        <v>15</v>
      </c>
      <c r="AC154" s="124">
        <f>IF($C154&gt;THIN!$F$32,0,AB153)</f>
        <v>16</v>
      </c>
      <c r="AD154" s="124">
        <f>IF($C154&gt;THIN!$F$32,0,AC153)</f>
        <v>17</v>
      </c>
      <c r="AE154" s="124">
        <f>IF($C154&gt;THIN!$F$32,0,AD153)</f>
        <v>18</v>
      </c>
      <c r="AF154" s="124">
        <f>IF($C154&gt;THIN!$F$32,0,AE153)</f>
        <v>19</v>
      </c>
      <c r="AG154" s="124">
        <f>IF($C154&gt;THIN!$F$32,0,AF153)</f>
        <v>20</v>
      </c>
      <c r="AH154" s="124">
        <f>IF($C154&gt;THIN!$F$32,0,AG153)</f>
        <v>21</v>
      </c>
      <c r="AI154" s="124">
        <f>IF($C154&gt;THIN!$F$32,0,AH153)</f>
        <v>22</v>
      </c>
      <c r="AJ154" s="124">
        <f>IF($C154&gt;THIN!$F$32,0,AI153)</f>
        <v>23</v>
      </c>
      <c r="AK154" s="124">
        <f>IF($C154&gt;THIN!$F$32,0,AJ153)</f>
        <v>24</v>
      </c>
      <c r="AL154" s="124">
        <f>IF($C154&gt;THIN!$F$32,0,AK153)</f>
        <v>25</v>
      </c>
      <c r="AM154" s="124">
        <f>IF($C154&gt;THIN!$F$32,0,AL153)</f>
        <v>26</v>
      </c>
      <c r="AN154" s="124">
        <f>IF($C154&gt;THIN!$F$32,0,AM153)</f>
        <v>1</v>
      </c>
      <c r="AO154" s="124">
        <f>IF($C154&gt;THIN!$F$32,0,AN153)</f>
        <v>2</v>
      </c>
      <c r="AP154" s="124">
        <f>IF($C154&gt;THIN!$F$32,0,AO153)</f>
        <v>3</v>
      </c>
      <c r="AQ154" s="124">
        <f>IF($C154&gt;THIN!$F$32,0,AP153)</f>
        <v>4</v>
      </c>
      <c r="AR154" s="124">
        <f>IF($C154&gt;THIN!$F$32,0,AQ153)</f>
        <v>5</v>
      </c>
      <c r="AS154" s="124">
        <f>IF($C154&gt;THIN!$F$32,0,AR153)</f>
        <v>6</v>
      </c>
      <c r="AT154" s="124">
        <f>IF($C154&gt;THIN!$F$32,0,AS153)</f>
        <v>7</v>
      </c>
      <c r="AU154" s="124">
        <f>IF($C154&gt;THIN!$F$32,0,AT153)</f>
        <v>8</v>
      </c>
      <c r="AV154" s="124">
        <f>IF($C154&gt;THIN!$F$32,0,AU153)</f>
        <v>9</v>
      </c>
    </row>
    <row r="155" spans="2:48" ht="12.95" customHeight="1" x14ac:dyDescent="0.2">
      <c r="B155" s="14"/>
      <c r="C155" s="372">
        <v>22</v>
      </c>
      <c r="D155" s="372"/>
      <c r="E155" s="372"/>
      <c r="F155" s="253" t="s">
        <v>492</v>
      </c>
      <c r="G155" s="253" t="s">
        <v>4</v>
      </c>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f>IF($C155&gt;THIN!$F$32,0,AB154)</f>
        <v>15</v>
      </c>
      <c r="AD155" s="124">
        <f>IF($C155&gt;THIN!$F$32,0,AC154)</f>
        <v>16</v>
      </c>
      <c r="AE155" s="124">
        <f>IF($C155&gt;THIN!$F$32,0,AD154)</f>
        <v>17</v>
      </c>
      <c r="AF155" s="124">
        <f>IF($C155&gt;THIN!$F$32,0,AE154)</f>
        <v>18</v>
      </c>
      <c r="AG155" s="124">
        <f>IF($C155&gt;THIN!$F$32,0,AF154)</f>
        <v>19</v>
      </c>
      <c r="AH155" s="124">
        <f>IF($C155&gt;THIN!$F$32,0,AG154)</f>
        <v>20</v>
      </c>
      <c r="AI155" s="124">
        <f>IF($C155&gt;THIN!$F$32,0,AH154)</f>
        <v>21</v>
      </c>
      <c r="AJ155" s="124">
        <f>IF($C155&gt;THIN!$F$32,0,AI154)</f>
        <v>22</v>
      </c>
      <c r="AK155" s="124">
        <f>IF($C155&gt;THIN!$F$32,0,AJ154)</f>
        <v>23</v>
      </c>
      <c r="AL155" s="124">
        <f>IF($C155&gt;THIN!$F$32,0,AK154)</f>
        <v>24</v>
      </c>
      <c r="AM155" s="124">
        <f>IF($C155&gt;THIN!$F$32,0,AL154)</f>
        <v>25</v>
      </c>
      <c r="AN155" s="124">
        <f>IF($C155&gt;THIN!$F$32,0,AM154)</f>
        <v>26</v>
      </c>
      <c r="AO155" s="124">
        <f>IF($C155&gt;THIN!$F$32,0,AN154)</f>
        <v>1</v>
      </c>
      <c r="AP155" s="124">
        <f>IF($C155&gt;THIN!$F$32,0,AO154)</f>
        <v>2</v>
      </c>
      <c r="AQ155" s="124">
        <f>IF($C155&gt;THIN!$F$32,0,AP154)</f>
        <v>3</v>
      </c>
      <c r="AR155" s="124">
        <f>IF($C155&gt;THIN!$F$32,0,AQ154)</f>
        <v>4</v>
      </c>
      <c r="AS155" s="124">
        <f>IF($C155&gt;THIN!$F$32,0,AR154)</f>
        <v>5</v>
      </c>
      <c r="AT155" s="124">
        <f>IF($C155&gt;THIN!$F$32,0,AS154)</f>
        <v>6</v>
      </c>
      <c r="AU155" s="124">
        <f>IF($C155&gt;THIN!$F$32,0,AT154)</f>
        <v>7</v>
      </c>
      <c r="AV155" s="124">
        <f>IF($C155&gt;THIN!$F$32,0,AU154)</f>
        <v>8</v>
      </c>
    </row>
    <row r="156" spans="2:48" ht="12.95" customHeight="1" x14ac:dyDescent="0.2">
      <c r="B156" s="14"/>
      <c r="C156" s="372">
        <v>23</v>
      </c>
      <c r="D156" s="372"/>
      <c r="E156" s="372"/>
      <c r="F156" s="253" t="s">
        <v>492</v>
      </c>
      <c r="G156" s="253" t="s">
        <v>4</v>
      </c>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f>IF($C156&gt;THIN!$F$32,0,AC155)</f>
        <v>15</v>
      </c>
      <c r="AE156" s="124">
        <f>IF($C156&gt;THIN!$F$32,0,AD155)</f>
        <v>16</v>
      </c>
      <c r="AF156" s="124">
        <f>IF($C156&gt;THIN!$F$32,0,AE155)</f>
        <v>17</v>
      </c>
      <c r="AG156" s="124">
        <f>IF($C156&gt;THIN!$F$32,0,AF155)</f>
        <v>18</v>
      </c>
      <c r="AH156" s="124">
        <f>IF($C156&gt;THIN!$F$32,0,AG155)</f>
        <v>19</v>
      </c>
      <c r="AI156" s="124">
        <f>IF($C156&gt;THIN!$F$32,0,AH155)</f>
        <v>20</v>
      </c>
      <c r="AJ156" s="124">
        <f>IF($C156&gt;THIN!$F$32,0,AI155)</f>
        <v>21</v>
      </c>
      <c r="AK156" s="124">
        <f>IF($C156&gt;THIN!$F$32,0,AJ155)</f>
        <v>22</v>
      </c>
      <c r="AL156" s="124">
        <f>IF($C156&gt;THIN!$F$32,0,AK155)</f>
        <v>23</v>
      </c>
      <c r="AM156" s="124">
        <f>IF($C156&gt;THIN!$F$32,0,AL155)</f>
        <v>24</v>
      </c>
      <c r="AN156" s="124">
        <f>IF($C156&gt;THIN!$F$32,0,AM155)</f>
        <v>25</v>
      </c>
      <c r="AO156" s="124">
        <f>IF($C156&gt;THIN!$F$32,0,AN155)</f>
        <v>26</v>
      </c>
      <c r="AP156" s="124">
        <f>IF($C156&gt;THIN!$F$32,0,AO155)</f>
        <v>1</v>
      </c>
      <c r="AQ156" s="124">
        <f>IF($C156&gt;THIN!$F$32,0,AP155)</f>
        <v>2</v>
      </c>
      <c r="AR156" s="124">
        <f>IF($C156&gt;THIN!$F$32,0,AQ155)</f>
        <v>3</v>
      </c>
      <c r="AS156" s="124">
        <f>IF($C156&gt;THIN!$F$32,0,AR155)</f>
        <v>4</v>
      </c>
      <c r="AT156" s="124">
        <f>IF($C156&gt;THIN!$F$32,0,AS155)</f>
        <v>5</v>
      </c>
      <c r="AU156" s="124">
        <f>IF($C156&gt;THIN!$F$32,0,AT155)</f>
        <v>6</v>
      </c>
      <c r="AV156" s="124">
        <f>IF($C156&gt;THIN!$F$32,0,AU155)</f>
        <v>7</v>
      </c>
    </row>
    <row r="157" spans="2:48" ht="12.95" customHeight="1" x14ac:dyDescent="0.2">
      <c r="B157" s="14"/>
      <c r="C157" s="372">
        <v>24</v>
      </c>
      <c r="D157" s="372"/>
      <c r="E157" s="372"/>
      <c r="F157" s="253" t="s">
        <v>492</v>
      </c>
      <c r="G157" s="253" t="s">
        <v>4</v>
      </c>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c r="AD157" s="124"/>
      <c r="AE157" s="124">
        <f>IF($C157&gt;THIN!$F$32,0,AD156)</f>
        <v>15</v>
      </c>
      <c r="AF157" s="124">
        <f>IF($C157&gt;THIN!$F$32,0,AE156)</f>
        <v>16</v>
      </c>
      <c r="AG157" s="124">
        <f>IF($C157&gt;THIN!$F$32,0,AF156)</f>
        <v>17</v>
      </c>
      <c r="AH157" s="124">
        <f>IF($C157&gt;THIN!$F$32,0,AG156)</f>
        <v>18</v>
      </c>
      <c r="AI157" s="124">
        <f>IF($C157&gt;THIN!$F$32,0,AH156)</f>
        <v>19</v>
      </c>
      <c r="AJ157" s="124">
        <f>IF($C157&gt;THIN!$F$32,0,AI156)</f>
        <v>20</v>
      </c>
      <c r="AK157" s="124">
        <f>IF($C157&gt;THIN!$F$32,0,AJ156)</f>
        <v>21</v>
      </c>
      <c r="AL157" s="124">
        <f>IF($C157&gt;THIN!$F$32,0,AK156)</f>
        <v>22</v>
      </c>
      <c r="AM157" s="124">
        <f>IF($C157&gt;THIN!$F$32,0,AL156)</f>
        <v>23</v>
      </c>
      <c r="AN157" s="124">
        <f>IF($C157&gt;THIN!$F$32,0,AM156)</f>
        <v>24</v>
      </c>
      <c r="AO157" s="124">
        <f>IF($C157&gt;THIN!$F$32,0,AN156)</f>
        <v>25</v>
      </c>
      <c r="AP157" s="124">
        <f>IF($C157&gt;THIN!$F$32,0,AO156)</f>
        <v>26</v>
      </c>
      <c r="AQ157" s="124">
        <f>IF($C157&gt;THIN!$F$32,0,AP156)</f>
        <v>1</v>
      </c>
      <c r="AR157" s="124">
        <f>IF($C157&gt;THIN!$F$32,0,AQ156)</f>
        <v>2</v>
      </c>
      <c r="AS157" s="124">
        <f>IF($C157&gt;THIN!$F$32,0,AR156)</f>
        <v>3</v>
      </c>
      <c r="AT157" s="124">
        <f>IF($C157&gt;THIN!$F$32,0,AS156)</f>
        <v>4</v>
      </c>
      <c r="AU157" s="124">
        <f>IF($C157&gt;THIN!$F$32,0,AT156)</f>
        <v>5</v>
      </c>
      <c r="AV157" s="124">
        <f>IF($C157&gt;THIN!$F$32,0,AU156)</f>
        <v>6</v>
      </c>
    </row>
    <row r="158" spans="2:48" ht="12.95" customHeight="1" x14ac:dyDescent="0.2">
      <c r="B158" s="14"/>
      <c r="C158" s="372">
        <v>25</v>
      </c>
      <c r="D158" s="372"/>
      <c r="E158" s="372"/>
      <c r="F158" s="253" t="s">
        <v>492</v>
      </c>
      <c r="G158" s="253" t="s">
        <v>4</v>
      </c>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f>IF($C158&gt;THIN!$F$32,0,AE157)</f>
        <v>15</v>
      </c>
      <c r="AG158" s="124">
        <f>IF($C158&gt;THIN!$F$32,0,AF157)</f>
        <v>16</v>
      </c>
      <c r="AH158" s="124">
        <f>IF($C158&gt;THIN!$F$32,0,AG157)</f>
        <v>17</v>
      </c>
      <c r="AI158" s="124">
        <f>IF($C158&gt;THIN!$F$32,0,AH157)</f>
        <v>18</v>
      </c>
      <c r="AJ158" s="124">
        <f>IF($C158&gt;THIN!$F$32,0,AI157)</f>
        <v>19</v>
      </c>
      <c r="AK158" s="124">
        <f>IF($C158&gt;THIN!$F$32,0,AJ157)</f>
        <v>20</v>
      </c>
      <c r="AL158" s="124">
        <f>IF($C158&gt;THIN!$F$32,0,AK157)</f>
        <v>21</v>
      </c>
      <c r="AM158" s="124">
        <f>IF($C158&gt;THIN!$F$32,0,AL157)</f>
        <v>22</v>
      </c>
      <c r="AN158" s="124">
        <f>IF($C158&gt;THIN!$F$32,0,AM157)</f>
        <v>23</v>
      </c>
      <c r="AO158" s="124">
        <f>IF($C158&gt;THIN!$F$32,0,AN157)</f>
        <v>24</v>
      </c>
      <c r="AP158" s="124">
        <f>IF($C158&gt;THIN!$F$32,0,AO157)</f>
        <v>25</v>
      </c>
      <c r="AQ158" s="124">
        <f>IF($C158&gt;THIN!$F$32,0,AP157)</f>
        <v>26</v>
      </c>
      <c r="AR158" s="124">
        <f>IF($C158&gt;THIN!$F$32,0,AQ157)</f>
        <v>1</v>
      </c>
      <c r="AS158" s="124">
        <f>IF($C158&gt;THIN!$F$32,0,AR157)</f>
        <v>2</v>
      </c>
      <c r="AT158" s="124">
        <f>IF($C158&gt;THIN!$F$32,0,AS157)</f>
        <v>3</v>
      </c>
      <c r="AU158" s="124">
        <f>IF($C158&gt;THIN!$F$32,0,AT157)</f>
        <v>4</v>
      </c>
      <c r="AV158" s="124">
        <f>IF($C158&gt;THIN!$F$32,0,AU157)</f>
        <v>5</v>
      </c>
    </row>
    <row r="159" spans="2:48" ht="12.95" customHeight="1" x14ac:dyDescent="0.2">
      <c r="B159" s="14"/>
      <c r="C159" s="372">
        <v>26</v>
      </c>
      <c r="D159" s="372"/>
      <c r="E159" s="372"/>
      <c r="F159" s="253" t="s">
        <v>492</v>
      </c>
      <c r="G159" s="253" t="s">
        <v>4</v>
      </c>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f>IF($C159&gt;THIN!$F$32,0,AF158)</f>
        <v>15</v>
      </c>
      <c r="AH159" s="124">
        <f>IF($C159&gt;THIN!$F$32,0,AG158)</f>
        <v>16</v>
      </c>
      <c r="AI159" s="124">
        <f>IF($C159&gt;THIN!$F$32,0,AH158)</f>
        <v>17</v>
      </c>
      <c r="AJ159" s="124">
        <f>IF($C159&gt;THIN!$F$32,0,AI158)</f>
        <v>18</v>
      </c>
      <c r="AK159" s="124">
        <f>IF($C159&gt;THIN!$F$32,0,AJ158)</f>
        <v>19</v>
      </c>
      <c r="AL159" s="124">
        <f>IF($C159&gt;THIN!$F$32,0,AK158)</f>
        <v>20</v>
      </c>
      <c r="AM159" s="124">
        <f>IF($C159&gt;THIN!$F$32,0,AL158)</f>
        <v>21</v>
      </c>
      <c r="AN159" s="124">
        <f>IF($C159&gt;THIN!$F$32,0,AM158)</f>
        <v>22</v>
      </c>
      <c r="AO159" s="124">
        <f>IF($C159&gt;THIN!$F$32,0,AN158)</f>
        <v>23</v>
      </c>
      <c r="AP159" s="124">
        <f>IF($C159&gt;THIN!$F$32,0,AO158)</f>
        <v>24</v>
      </c>
      <c r="AQ159" s="124">
        <f>IF($C159&gt;THIN!$F$32,0,AP158)</f>
        <v>25</v>
      </c>
      <c r="AR159" s="124">
        <f>IF($C159&gt;THIN!$F$32,0,AQ158)</f>
        <v>26</v>
      </c>
      <c r="AS159" s="124">
        <f>IF($C159&gt;THIN!$F$32,0,AR158)</f>
        <v>1</v>
      </c>
      <c r="AT159" s="124">
        <f>IF($C159&gt;THIN!$F$32,0,AS158)</f>
        <v>2</v>
      </c>
      <c r="AU159" s="124">
        <f>IF($C159&gt;THIN!$F$32,0,AT158)</f>
        <v>3</v>
      </c>
      <c r="AV159" s="124">
        <f>IF($C159&gt;THIN!$F$32,0,AU158)</f>
        <v>4</v>
      </c>
    </row>
    <row r="160" spans="2:48" ht="12.95" customHeight="1" x14ac:dyDescent="0.2">
      <c r="B160" s="14"/>
      <c r="C160" s="372">
        <v>27</v>
      </c>
      <c r="D160" s="372"/>
      <c r="E160" s="372"/>
      <c r="F160" s="253" t="s">
        <v>492</v>
      </c>
      <c r="G160" s="253" t="s">
        <v>4</v>
      </c>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f>IF($C160&gt;THIN!$F$32,0,AG159)</f>
        <v>0</v>
      </c>
      <c r="AI160" s="124">
        <f>IF($C160&gt;THIN!$F$32,0,AH159)</f>
        <v>0</v>
      </c>
      <c r="AJ160" s="124">
        <f>IF($C160&gt;THIN!$F$32,0,AI159)</f>
        <v>0</v>
      </c>
      <c r="AK160" s="124">
        <f>IF($C160&gt;THIN!$F$32,0,AJ159)</f>
        <v>0</v>
      </c>
      <c r="AL160" s="124">
        <f>IF($C160&gt;THIN!$F$32,0,AK159)</f>
        <v>0</v>
      </c>
      <c r="AM160" s="124">
        <f>IF($C160&gt;THIN!$F$32,0,AL159)</f>
        <v>0</v>
      </c>
      <c r="AN160" s="124">
        <f>IF($C160&gt;THIN!$F$32,0,AM159)</f>
        <v>0</v>
      </c>
      <c r="AO160" s="124">
        <f>IF($C160&gt;THIN!$F$32,0,AN159)</f>
        <v>0</v>
      </c>
      <c r="AP160" s="124">
        <f>IF($C160&gt;THIN!$F$32,0,AO159)</f>
        <v>0</v>
      </c>
      <c r="AQ160" s="124">
        <f>IF($C160&gt;THIN!$F$32,0,AP159)</f>
        <v>0</v>
      </c>
      <c r="AR160" s="124">
        <f>IF($C160&gt;THIN!$F$32,0,AQ159)</f>
        <v>0</v>
      </c>
      <c r="AS160" s="124">
        <f>IF($C160&gt;THIN!$F$32,0,AR159)</f>
        <v>0</v>
      </c>
      <c r="AT160" s="124">
        <f>IF($C160&gt;THIN!$F$32,0,AS159)</f>
        <v>0</v>
      </c>
      <c r="AU160" s="124">
        <f>IF($C160&gt;THIN!$F$32,0,AT159)</f>
        <v>0</v>
      </c>
      <c r="AV160" s="124">
        <f>IF($C160&gt;THIN!$F$32,0,AU159)</f>
        <v>0</v>
      </c>
    </row>
    <row r="161" spans="2:48" ht="12.95" customHeight="1" x14ac:dyDescent="0.2">
      <c r="B161" s="14"/>
      <c r="C161" s="372">
        <v>28</v>
      </c>
      <c r="D161" s="372"/>
      <c r="E161" s="372"/>
      <c r="F161" s="253" t="s">
        <v>492</v>
      </c>
      <c r="G161" s="253" t="s">
        <v>4</v>
      </c>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f>IF($C161&gt;THIN!$F$32,0,AH160)</f>
        <v>0</v>
      </c>
      <c r="AJ161" s="124">
        <f>IF($C161&gt;THIN!$F$32,0,AI160)</f>
        <v>0</v>
      </c>
      <c r="AK161" s="124">
        <f>IF($C161&gt;THIN!$F$32,0,AJ160)</f>
        <v>0</v>
      </c>
      <c r="AL161" s="124">
        <f>IF($C161&gt;THIN!$F$32,0,AK160)</f>
        <v>0</v>
      </c>
      <c r="AM161" s="124">
        <f>IF($C161&gt;THIN!$F$32,0,AL160)</f>
        <v>0</v>
      </c>
      <c r="AN161" s="124">
        <f>IF($C161&gt;THIN!$F$32,0,AM160)</f>
        <v>0</v>
      </c>
      <c r="AO161" s="124">
        <f>IF($C161&gt;THIN!$F$32,0,AN160)</f>
        <v>0</v>
      </c>
      <c r="AP161" s="124">
        <f>IF($C161&gt;THIN!$F$32,0,AO160)</f>
        <v>0</v>
      </c>
      <c r="AQ161" s="124">
        <f>IF($C161&gt;THIN!$F$32,0,AP160)</f>
        <v>0</v>
      </c>
      <c r="AR161" s="124">
        <f>IF($C161&gt;THIN!$F$32,0,AQ160)</f>
        <v>0</v>
      </c>
      <c r="AS161" s="124">
        <f>IF($C161&gt;THIN!$F$32,0,AR160)</f>
        <v>0</v>
      </c>
      <c r="AT161" s="124">
        <f>IF($C161&gt;THIN!$F$32,0,AS160)</f>
        <v>0</v>
      </c>
      <c r="AU161" s="124">
        <f>IF($C161&gt;THIN!$F$32,0,AT160)</f>
        <v>0</v>
      </c>
      <c r="AV161" s="124">
        <f>IF($C161&gt;THIN!$F$32,0,AU160)</f>
        <v>0</v>
      </c>
    </row>
    <row r="162" spans="2:48" ht="12.95" customHeight="1" x14ac:dyDescent="0.2">
      <c r="B162" s="14"/>
      <c r="C162" s="372">
        <v>29</v>
      </c>
      <c r="D162" s="372"/>
      <c r="E162" s="372"/>
      <c r="F162" s="253" t="s">
        <v>492</v>
      </c>
      <c r="G162" s="253" t="s">
        <v>4</v>
      </c>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f>IF($C162&gt;THIN!$F$32,0,AI161)</f>
        <v>0</v>
      </c>
      <c r="AK162" s="124">
        <f>IF($C162&gt;THIN!$F$32,0,AJ161)</f>
        <v>0</v>
      </c>
      <c r="AL162" s="124">
        <f>IF($C162&gt;THIN!$F$32,0,AK161)</f>
        <v>0</v>
      </c>
      <c r="AM162" s="124">
        <f>IF($C162&gt;THIN!$F$32,0,AL161)</f>
        <v>0</v>
      </c>
      <c r="AN162" s="124">
        <f>IF($C162&gt;THIN!$F$32,0,AM161)</f>
        <v>0</v>
      </c>
      <c r="AO162" s="124">
        <f>IF($C162&gt;THIN!$F$32,0,AN161)</f>
        <v>0</v>
      </c>
      <c r="AP162" s="124">
        <f>IF($C162&gt;THIN!$F$32,0,AO161)</f>
        <v>0</v>
      </c>
      <c r="AQ162" s="124">
        <f>IF($C162&gt;THIN!$F$32,0,AP161)</f>
        <v>0</v>
      </c>
      <c r="AR162" s="124">
        <f>IF($C162&gt;THIN!$F$32,0,AQ161)</f>
        <v>0</v>
      </c>
      <c r="AS162" s="124">
        <f>IF($C162&gt;THIN!$F$32,0,AR161)</f>
        <v>0</v>
      </c>
      <c r="AT162" s="124">
        <f>IF($C162&gt;THIN!$F$32,0,AS161)</f>
        <v>0</v>
      </c>
      <c r="AU162" s="124">
        <f>IF($C162&gt;THIN!$F$32,0,AT161)</f>
        <v>0</v>
      </c>
      <c r="AV162" s="124">
        <f>IF($C162&gt;THIN!$F$32,0,AU161)</f>
        <v>0</v>
      </c>
    </row>
    <row r="163" spans="2:48" ht="12.95" customHeight="1" x14ac:dyDescent="0.2">
      <c r="B163" s="14"/>
      <c r="C163" s="372">
        <v>30</v>
      </c>
      <c r="D163" s="372"/>
      <c r="E163" s="372"/>
      <c r="F163" s="253" t="s">
        <v>492</v>
      </c>
      <c r="G163" s="253" t="s">
        <v>4</v>
      </c>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f>IF($C163&gt;THIN!$F$32,0,AJ162)</f>
        <v>0</v>
      </c>
      <c r="AL163" s="124">
        <f>IF($C163&gt;THIN!$F$32,0,AK162)</f>
        <v>0</v>
      </c>
      <c r="AM163" s="124">
        <f>IF($C163&gt;THIN!$F$32,0,AL162)</f>
        <v>0</v>
      </c>
      <c r="AN163" s="124">
        <f>IF($C163&gt;THIN!$F$32,0,AM162)</f>
        <v>0</v>
      </c>
      <c r="AO163" s="124">
        <f>IF($C163&gt;THIN!$F$32,0,AN162)</f>
        <v>0</v>
      </c>
      <c r="AP163" s="124">
        <f>IF($C163&gt;THIN!$F$32,0,AO162)</f>
        <v>0</v>
      </c>
      <c r="AQ163" s="124">
        <f>IF($C163&gt;THIN!$F$32,0,AP162)</f>
        <v>0</v>
      </c>
      <c r="AR163" s="124">
        <f>IF($C163&gt;THIN!$F$32,0,AQ162)</f>
        <v>0</v>
      </c>
      <c r="AS163" s="124">
        <f>IF($C163&gt;THIN!$F$32,0,AR162)</f>
        <v>0</v>
      </c>
      <c r="AT163" s="124">
        <f>IF($C163&gt;THIN!$F$32,0,AS162)</f>
        <v>0</v>
      </c>
      <c r="AU163" s="124">
        <f>IF($C163&gt;THIN!$F$32,0,AT162)</f>
        <v>0</v>
      </c>
      <c r="AV163" s="124">
        <f>IF($C163&gt;THIN!$F$32,0,AU162)</f>
        <v>0</v>
      </c>
    </row>
    <row r="164" spans="2:48" ht="12.95" customHeight="1" x14ac:dyDescent="0.2">
      <c r="B164" s="14"/>
      <c r="C164" s="372">
        <v>31</v>
      </c>
      <c r="D164" s="372"/>
      <c r="E164" s="372"/>
      <c r="F164" s="253" t="s">
        <v>492</v>
      </c>
      <c r="G164" s="253" t="s">
        <v>4</v>
      </c>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f>IF($C164&gt;THIN!$F$32,0,AK163)</f>
        <v>0</v>
      </c>
      <c r="AM164" s="124">
        <f>IF($C164&gt;THIN!$F$32,0,AL163)</f>
        <v>0</v>
      </c>
      <c r="AN164" s="124">
        <f>IF($C164&gt;THIN!$F$32,0,AM163)</f>
        <v>0</v>
      </c>
      <c r="AO164" s="124">
        <f>IF($C164&gt;THIN!$F$32,0,AN163)</f>
        <v>0</v>
      </c>
      <c r="AP164" s="124">
        <f>IF($C164&gt;THIN!$F$32,0,AO163)</f>
        <v>0</v>
      </c>
      <c r="AQ164" s="124">
        <f>IF($C164&gt;THIN!$F$32,0,AP163)</f>
        <v>0</v>
      </c>
      <c r="AR164" s="124">
        <f>IF($C164&gt;THIN!$F$32,0,AQ163)</f>
        <v>0</v>
      </c>
      <c r="AS164" s="124">
        <f>IF($C164&gt;THIN!$F$32,0,AR163)</f>
        <v>0</v>
      </c>
      <c r="AT164" s="124">
        <f>IF($C164&gt;THIN!$F$32,0,AS163)</f>
        <v>0</v>
      </c>
      <c r="AU164" s="124">
        <f>IF($C164&gt;THIN!$F$32,0,AT163)</f>
        <v>0</v>
      </c>
      <c r="AV164" s="124">
        <f>IF($C164&gt;THIN!$F$32,0,AU163)</f>
        <v>0</v>
      </c>
    </row>
    <row r="165" spans="2:48" ht="12.95" customHeight="1" x14ac:dyDescent="0.2">
      <c r="B165" s="14"/>
      <c r="C165" s="372">
        <v>32</v>
      </c>
      <c r="D165" s="372"/>
      <c r="E165" s="372"/>
      <c r="F165" s="253" t="s">
        <v>492</v>
      </c>
      <c r="G165" s="253" t="s">
        <v>4</v>
      </c>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f>IF($C165&gt;THIN!$F$32,0,AL164)</f>
        <v>0</v>
      </c>
      <c r="AN165" s="124">
        <f>IF($C165&gt;THIN!$F$32,0,AM164)</f>
        <v>0</v>
      </c>
      <c r="AO165" s="124">
        <f>IF($C165&gt;THIN!$F$32,0,AN164)</f>
        <v>0</v>
      </c>
      <c r="AP165" s="124">
        <f>IF($C165&gt;THIN!$F$32,0,AO164)</f>
        <v>0</v>
      </c>
      <c r="AQ165" s="124">
        <f>IF($C165&gt;THIN!$F$32,0,AP164)</f>
        <v>0</v>
      </c>
      <c r="AR165" s="124">
        <f>IF($C165&gt;THIN!$F$32,0,AQ164)</f>
        <v>0</v>
      </c>
      <c r="AS165" s="124">
        <f>IF($C165&gt;THIN!$F$32,0,AR164)</f>
        <v>0</v>
      </c>
      <c r="AT165" s="124">
        <f>IF($C165&gt;THIN!$F$32,0,AS164)</f>
        <v>0</v>
      </c>
      <c r="AU165" s="124">
        <f>IF($C165&gt;THIN!$F$32,0,AT164)</f>
        <v>0</v>
      </c>
      <c r="AV165" s="124">
        <f>IF($C165&gt;THIN!$F$32,0,AU164)</f>
        <v>0</v>
      </c>
    </row>
    <row r="166" spans="2:48" ht="12.95" customHeight="1" x14ac:dyDescent="0.2">
      <c r="B166" s="14"/>
      <c r="C166" s="372">
        <v>33</v>
      </c>
      <c r="D166" s="372"/>
      <c r="E166" s="372"/>
      <c r="F166" s="253" t="s">
        <v>492</v>
      </c>
      <c r="G166" s="253" t="s">
        <v>4</v>
      </c>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f>IF($C166&gt;THIN!$F$32,0,AM165)</f>
        <v>0</v>
      </c>
      <c r="AO166" s="124">
        <f>IF($C166&gt;THIN!$F$32,0,AN165)</f>
        <v>0</v>
      </c>
      <c r="AP166" s="124">
        <f>IF($C166&gt;THIN!$F$32,0,AO165)</f>
        <v>0</v>
      </c>
      <c r="AQ166" s="124">
        <f>IF($C166&gt;THIN!$F$32,0,AP165)</f>
        <v>0</v>
      </c>
      <c r="AR166" s="124">
        <f>IF($C166&gt;THIN!$F$32,0,AQ165)</f>
        <v>0</v>
      </c>
      <c r="AS166" s="124">
        <f>IF($C166&gt;THIN!$F$32,0,AR165)</f>
        <v>0</v>
      </c>
      <c r="AT166" s="124">
        <f>IF($C166&gt;THIN!$F$32,0,AS165)</f>
        <v>0</v>
      </c>
      <c r="AU166" s="124">
        <f>IF($C166&gt;THIN!$F$32,0,AT165)</f>
        <v>0</v>
      </c>
      <c r="AV166" s="124">
        <f>IF($C166&gt;THIN!$F$32,0,AU165)</f>
        <v>0</v>
      </c>
    </row>
    <row r="167" spans="2:48" ht="12.95" customHeight="1" x14ac:dyDescent="0.2">
      <c r="B167" s="14"/>
      <c r="C167" s="372">
        <v>34</v>
      </c>
      <c r="D167" s="372"/>
      <c r="E167" s="372"/>
      <c r="F167" s="253" t="s">
        <v>492</v>
      </c>
      <c r="G167" s="253" t="s">
        <v>4</v>
      </c>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f>IF($C167&gt;THIN!$F$32,0,AN166)</f>
        <v>0</v>
      </c>
      <c r="AP167" s="124">
        <f>IF($C167&gt;THIN!$F$32,0,AO166)</f>
        <v>0</v>
      </c>
      <c r="AQ167" s="124">
        <f>IF($C167&gt;THIN!$F$32,0,AP166)</f>
        <v>0</v>
      </c>
      <c r="AR167" s="124">
        <f>IF($C167&gt;THIN!$F$32,0,AQ166)</f>
        <v>0</v>
      </c>
      <c r="AS167" s="124">
        <f>IF($C167&gt;THIN!$F$32,0,AR166)</f>
        <v>0</v>
      </c>
      <c r="AT167" s="124">
        <f>IF($C167&gt;THIN!$F$32,0,AS166)</f>
        <v>0</v>
      </c>
      <c r="AU167" s="124">
        <f>IF($C167&gt;THIN!$F$32,0,AT166)</f>
        <v>0</v>
      </c>
      <c r="AV167" s="124">
        <f>IF($C167&gt;THIN!$F$32,0,AU166)</f>
        <v>0</v>
      </c>
    </row>
    <row r="168" spans="2:48" ht="12.95" customHeight="1" x14ac:dyDescent="0.2">
      <c r="B168" s="14"/>
      <c r="C168" s="372">
        <v>35</v>
      </c>
      <c r="D168" s="372"/>
      <c r="E168" s="372"/>
      <c r="F168" s="253" t="s">
        <v>492</v>
      </c>
      <c r="G168" s="253" t="s">
        <v>4</v>
      </c>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f>IF($C168&gt;THIN!$F$32,0,AO167)</f>
        <v>0</v>
      </c>
      <c r="AQ168" s="124">
        <f>IF($C168&gt;THIN!$F$32,0,AP167)</f>
        <v>0</v>
      </c>
      <c r="AR168" s="124">
        <f>IF($C168&gt;THIN!$F$32,0,AQ167)</f>
        <v>0</v>
      </c>
      <c r="AS168" s="124">
        <f>IF($C168&gt;THIN!$F$32,0,AR167)</f>
        <v>0</v>
      </c>
      <c r="AT168" s="124">
        <f>IF($C168&gt;THIN!$F$32,0,AS167)</f>
        <v>0</v>
      </c>
      <c r="AU168" s="124">
        <f>IF($C168&gt;THIN!$F$32,0,AT167)</f>
        <v>0</v>
      </c>
      <c r="AV168" s="124">
        <f>IF($C168&gt;THIN!$F$32,0,AU167)</f>
        <v>0</v>
      </c>
    </row>
    <row r="169" spans="2:48" ht="12.95" customHeight="1" x14ac:dyDescent="0.2">
      <c r="B169" s="14"/>
      <c r="C169" s="372">
        <v>36</v>
      </c>
      <c r="D169" s="372"/>
      <c r="E169" s="372"/>
      <c r="F169" s="253" t="s">
        <v>492</v>
      </c>
      <c r="G169" s="253" t="s">
        <v>4</v>
      </c>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f>IF($C169&gt;THIN!$F$32,0,AP168)</f>
        <v>0</v>
      </c>
      <c r="AR169" s="124">
        <f>IF($C169&gt;THIN!$F$32,0,AQ168)</f>
        <v>0</v>
      </c>
      <c r="AS169" s="124">
        <f>IF($C169&gt;THIN!$F$32,0,AR168)</f>
        <v>0</v>
      </c>
      <c r="AT169" s="124">
        <f>IF($C169&gt;THIN!$F$32,0,AS168)</f>
        <v>0</v>
      </c>
      <c r="AU169" s="124">
        <f>IF($C169&gt;THIN!$F$32,0,AT168)</f>
        <v>0</v>
      </c>
      <c r="AV169" s="124">
        <f>IF($C169&gt;THIN!$F$32,0,AU168)</f>
        <v>0</v>
      </c>
    </row>
    <row r="170" spans="2:48" ht="12.95" customHeight="1" x14ac:dyDescent="0.2">
      <c r="B170" s="14"/>
      <c r="C170" s="372">
        <v>37</v>
      </c>
      <c r="D170" s="372"/>
      <c r="E170" s="372"/>
      <c r="F170" s="253" t="s">
        <v>492</v>
      </c>
      <c r="G170" s="253" t="s">
        <v>4</v>
      </c>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f>IF($C170&gt;THIN!$F$32,0,AQ169)</f>
        <v>0</v>
      </c>
      <c r="AS170" s="124">
        <f>IF($C170&gt;THIN!$F$32,0,AR169)</f>
        <v>0</v>
      </c>
      <c r="AT170" s="124">
        <f>IF($C170&gt;THIN!$F$32,0,AS169)</f>
        <v>0</v>
      </c>
      <c r="AU170" s="124">
        <f>IF($C170&gt;THIN!$F$32,0,AT169)</f>
        <v>0</v>
      </c>
      <c r="AV170" s="124">
        <f>IF($C170&gt;THIN!$F$32,0,AU169)</f>
        <v>0</v>
      </c>
    </row>
    <row r="171" spans="2:48" ht="12.95" customHeight="1" x14ac:dyDescent="0.2">
      <c r="B171" s="14"/>
      <c r="C171" s="372">
        <v>38</v>
      </c>
      <c r="D171" s="372"/>
      <c r="E171" s="372"/>
      <c r="F171" s="253" t="s">
        <v>492</v>
      </c>
      <c r="G171" s="253" t="s">
        <v>4</v>
      </c>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f>IF($C171&gt;THIN!$F$32,0,AR170)</f>
        <v>0</v>
      </c>
      <c r="AT171" s="124">
        <f>IF($C171&gt;THIN!$F$32,0,AS170)</f>
        <v>0</v>
      </c>
      <c r="AU171" s="124">
        <f>IF($C171&gt;THIN!$F$32,0,AT170)</f>
        <v>0</v>
      </c>
      <c r="AV171" s="124">
        <f>IF($C171&gt;THIN!$F$32,0,AU170)</f>
        <v>0</v>
      </c>
    </row>
    <row r="172" spans="2:48" ht="12.95" customHeight="1" x14ac:dyDescent="0.2">
      <c r="B172" s="14"/>
      <c r="C172" s="372">
        <v>39</v>
      </c>
      <c r="D172" s="372"/>
      <c r="E172" s="372"/>
      <c r="F172" s="253" t="s">
        <v>492</v>
      </c>
      <c r="G172" s="253" t="s">
        <v>4</v>
      </c>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f>IF($C172&gt;THIN!$F$32,0,AS171)</f>
        <v>0</v>
      </c>
      <c r="AU172" s="124">
        <f>IF($C172&gt;THIN!$F$32,0,AT171)</f>
        <v>0</v>
      </c>
      <c r="AV172" s="124">
        <f>IF($C172&gt;THIN!$F$32,0,AU171)</f>
        <v>0</v>
      </c>
    </row>
    <row r="173" spans="2:48" ht="12.95" customHeight="1" x14ac:dyDescent="0.2">
      <c r="B173" s="14"/>
      <c r="C173" s="372">
        <v>40</v>
      </c>
      <c r="D173" s="372"/>
      <c r="E173" s="372"/>
      <c r="F173" s="253" t="s">
        <v>492</v>
      </c>
      <c r="G173" s="253" t="s">
        <v>4</v>
      </c>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f>IF($C173&gt;THIN!$F$32,0,AT172)</f>
        <v>0</v>
      </c>
      <c r="AV173" s="124">
        <f>IF($C173&gt;THIN!$F$32,0,AU172)</f>
        <v>0</v>
      </c>
    </row>
    <row r="174" spans="2:48" ht="12.95" customHeight="1" x14ac:dyDescent="0.2">
      <c r="B174" s="14" t="s">
        <v>912</v>
      </c>
      <c r="H174" s="171"/>
      <c r="I174" s="171"/>
      <c r="J174" s="171"/>
      <c r="K174" s="171"/>
      <c r="L174" s="171"/>
      <c r="M174" s="171"/>
      <c r="N174" s="171"/>
      <c r="O174" s="171"/>
      <c r="P174" s="171"/>
      <c r="Q174" s="171"/>
      <c r="R174" s="171"/>
      <c r="S174" s="171"/>
      <c r="T174" s="171"/>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row>
    <row r="175" spans="2:48" ht="12.95" customHeight="1" x14ac:dyDescent="0.2">
      <c r="B175" s="14"/>
      <c r="C175" s="372">
        <v>1</v>
      </c>
      <c r="D175" s="372"/>
      <c r="E175" s="372"/>
      <c r="F175" s="253" t="s">
        <v>492</v>
      </c>
      <c r="G175" s="253" t="s">
        <v>395</v>
      </c>
      <c r="H175" s="277">
        <f t="shared" ref="H175:AV175" si="71">HLOOKUP(H134,t_growth,4)</f>
        <v>17.4296431713258</v>
      </c>
      <c r="I175" s="277">
        <f t="shared" si="71"/>
        <v>19.810566711342741</v>
      </c>
      <c r="J175" s="277">
        <f t="shared" si="71"/>
        <v>22.267445799447479</v>
      </c>
      <c r="K175" s="277">
        <f t="shared" si="71"/>
        <v>24.785131416603353</v>
      </c>
      <c r="L175" s="277">
        <f t="shared" si="71"/>
        <v>27.349339112214277</v>
      </c>
      <c r="M175" s="277">
        <f t="shared" si="71"/>
        <v>29.946730051786854</v>
      </c>
      <c r="N175" s="277">
        <f t="shared" si="71"/>
        <v>32.564957457117195</v>
      </c>
      <c r="O175" s="277">
        <f t="shared" si="71"/>
        <v>35.192685692036868</v>
      </c>
      <c r="P175" s="277">
        <f t="shared" si="71"/>
        <v>37.819587993197999</v>
      </c>
      <c r="Q175" s="277">
        <f t="shared" si="71"/>
        <v>40.436327790332221</v>
      </c>
      <c r="R175" s="277">
        <f t="shared" si="71"/>
        <v>43.034527673896086</v>
      </c>
      <c r="S175" s="277">
        <f t="shared" si="71"/>
        <v>45.606729324439719</v>
      </c>
      <c r="T175" s="277">
        <f t="shared" si="71"/>
        <v>1.3801503036642727E-2</v>
      </c>
      <c r="U175" s="277">
        <f t="shared" si="71"/>
        <v>0.10250810373022921</v>
      </c>
      <c r="V175" s="277">
        <f t="shared" si="71"/>
        <v>0.32140060564134304</v>
      </c>
      <c r="W175" s="277">
        <f t="shared" si="71"/>
        <v>0.70819088008020181</v>
      </c>
      <c r="X175" s="277">
        <f t="shared" si="71"/>
        <v>1.2865903014343147</v>
      </c>
      <c r="Y175" s="277">
        <f t="shared" si="71"/>
        <v>2.0692648651289542</v>
      </c>
      <c r="Z175" s="277">
        <f t="shared" si="71"/>
        <v>3.0602740346849182</v>
      </c>
      <c r="AA175" s="277">
        <f t="shared" si="71"/>
        <v>4.2570757029793187</v>
      </c>
      <c r="AB175" s="277">
        <f t="shared" si="71"/>
        <v>5.6521671458405169</v>
      </c>
      <c r="AC175" s="277">
        <f t="shared" si="71"/>
        <v>7.2344211823897746</v>
      </c>
      <c r="AD175" s="277">
        <f t="shared" si="71"/>
        <v>8.9901676693851371</v>
      </c>
      <c r="AE175" s="277">
        <f t="shared" si="71"/>
        <v>10.904062717666822</v>
      </c>
      <c r="AF175" s="277">
        <f t="shared" si="71"/>
        <v>12.959781431811036</v>
      </c>
      <c r="AG175" s="277">
        <f t="shared" si="71"/>
        <v>15.140564371508987</v>
      </c>
      <c r="AH175" s="277">
        <f t="shared" si="71"/>
        <v>17.4296431713258</v>
      </c>
      <c r="AI175" s="277">
        <f t="shared" si="71"/>
        <v>19.810566711342741</v>
      </c>
      <c r="AJ175" s="277">
        <f t="shared" si="71"/>
        <v>22.267445799447479</v>
      </c>
      <c r="AK175" s="277">
        <f t="shared" si="71"/>
        <v>24.785131416603353</v>
      </c>
      <c r="AL175" s="277">
        <f t="shared" si="71"/>
        <v>27.349339112214277</v>
      </c>
      <c r="AM175" s="277">
        <f t="shared" si="71"/>
        <v>29.946730051786854</v>
      </c>
      <c r="AN175" s="277">
        <f t="shared" si="71"/>
        <v>32.564957457117195</v>
      </c>
      <c r="AO175" s="277">
        <f t="shared" si="71"/>
        <v>35.192685692036868</v>
      </c>
      <c r="AP175" s="277">
        <f t="shared" si="71"/>
        <v>37.819587993197999</v>
      </c>
      <c r="AQ175" s="277">
        <f t="shared" si="71"/>
        <v>40.436327790332221</v>
      </c>
      <c r="AR175" s="277">
        <f t="shared" si="71"/>
        <v>43.034527673896086</v>
      </c>
      <c r="AS175" s="277">
        <f t="shared" si="71"/>
        <v>45.606729324439719</v>
      </c>
      <c r="AT175" s="277">
        <f t="shared" si="71"/>
        <v>1.3801503036642727E-2</v>
      </c>
      <c r="AU175" s="277">
        <f t="shared" si="71"/>
        <v>0.10250810373022921</v>
      </c>
      <c r="AV175" s="277">
        <f t="shared" si="71"/>
        <v>0.32140060564134304</v>
      </c>
    </row>
    <row r="176" spans="2:48" ht="12.95" customHeight="1" x14ac:dyDescent="0.2">
      <c r="B176" s="14"/>
      <c r="C176" s="372">
        <v>2</v>
      </c>
      <c r="D176" s="372"/>
      <c r="E176" s="372"/>
      <c r="F176" s="253" t="s">
        <v>492</v>
      </c>
      <c r="G176" s="253" t="s">
        <v>395</v>
      </c>
      <c r="H176" s="277"/>
      <c r="I176" s="277">
        <f t="shared" ref="I176:AV176" si="72">HLOOKUP(I135,t_growth,4)</f>
        <v>17.4296431713258</v>
      </c>
      <c r="J176" s="277">
        <f t="shared" si="72"/>
        <v>19.810566711342741</v>
      </c>
      <c r="K176" s="277">
        <f t="shared" si="72"/>
        <v>22.267445799447479</v>
      </c>
      <c r="L176" s="277">
        <f t="shared" si="72"/>
        <v>24.785131416603353</v>
      </c>
      <c r="M176" s="277">
        <f t="shared" si="72"/>
        <v>27.349339112214277</v>
      </c>
      <c r="N176" s="277">
        <f t="shared" si="72"/>
        <v>29.946730051786854</v>
      </c>
      <c r="O176" s="277">
        <f t="shared" si="72"/>
        <v>32.564957457117195</v>
      </c>
      <c r="P176" s="277">
        <f t="shared" si="72"/>
        <v>35.192685692036868</v>
      </c>
      <c r="Q176" s="277">
        <f t="shared" si="72"/>
        <v>37.819587993197999</v>
      </c>
      <c r="R176" s="277">
        <f t="shared" si="72"/>
        <v>40.436327790332221</v>
      </c>
      <c r="S176" s="277">
        <f t="shared" si="72"/>
        <v>43.034527673896086</v>
      </c>
      <c r="T176" s="277">
        <f t="shared" si="72"/>
        <v>45.606729324439719</v>
      </c>
      <c r="U176" s="277">
        <f t="shared" si="72"/>
        <v>1.3801503036642727E-2</v>
      </c>
      <c r="V176" s="277">
        <f t="shared" si="72"/>
        <v>0.10250810373022921</v>
      </c>
      <c r="W176" s="277">
        <f t="shared" si="72"/>
        <v>0.32140060564134304</v>
      </c>
      <c r="X176" s="277">
        <f t="shared" si="72"/>
        <v>0.70819088008020181</v>
      </c>
      <c r="Y176" s="277">
        <f t="shared" si="72"/>
        <v>1.2865903014343147</v>
      </c>
      <c r="Z176" s="277">
        <f t="shared" si="72"/>
        <v>2.0692648651289542</v>
      </c>
      <c r="AA176" s="277">
        <f t="shared" si="72"/>
        <v>3.0602740346849182</v>
      </c>
      <c r="AB176" s="277">
        <f t="shared" si="72"/>
        <v>4.2570757029793187</v>
      </c>
      <c r="AC176" s="277">
        <f t="shared" si="72"/>
        <v>5.6521671458405169</v>
      </c>
      <c r="AD176" s="277">
        <f t="shared" si="72"/>
        <v>7.2344211823897746</v>
      </c>
      <c r="AE176" s="277">
        <f t="shared" si="72"/>
        <v>8.9901676693851371</v>
      </c>
      <c r="AF176" s="277">
        <f t="shared" si="72"/>
        <v>10.904062717666822</v>
      </c>
      <c r="AG176" s="277">
        <f t="shared" si="72"/>
        <v>12.959781431811036</v>
      </c>
      <c r="AH176" s="277">
        <f t="shared" si="72"/>
        <v>15.140564371508987</v>
      </c>
      <c r="AI176" s="277">
        <f t="shared" si="72"/>
        <v>17.4296431713258</v>
      </c>
      <c r="AJ176" s="277">
        <f t="shared" si="72"/>
        <v>19.810566711342741</v>
      </c>
      <c r="AK176" s="277">
        <f t="shared" si="72"/>
        <v>22.267445799447479</v>
      </c>
      <c r="AL176" s="277">
        <f t="shared" si="72"/>
        <v>24.785131416603353</v>
      </c>
      <c r="AM176" s="277">
        <f t="shared" si="72"/>
        <v>27.349339112214277</v>
      </c>
      <c r="AN176" s="277">
        <f t="shared" si="72"/>
        <v>29.946730051786854</v>
      </c>
      <c r="AO176" s="277">
        <f t="shared" si="72"/>
        <v>32.564957457117195</v>
      </c>
      <c r="AP176" s="277">
        <f t="shared" si="72"/>
        <v>35.192685692036868</v>
      </c>
      <c r="AQ176" s="277">
        <f t="shared" si="72"/>
        <v>37.819587993197999</v>
      </c>
      <c r="AR176" s="277">
        <f t="shared" si="72"/>
        <v>40.436327790332221</v>
      </c>
      <c r="AS176" s="277">
        <f t="shared" si="72"/>
        <v>43.034527673896086</v>
      </c>
      <c r="AT176" s="277">
        <f t="shared" si="72"/>
        <v>45.606729324439719</v>
      </c>
      <c r="AU176" s="277">
        <f t="shared" si="72"/>
        <v>1.3801503036642727E-2</v>
      </c>
      <c r="AV176" s="277">
        <f t="shared" si="72"/>
        <v>0.10250810373022921</v>
      </c>
    </row>
    <row r="177" spans="2:48" ht="12.95" customHeight="1" x14ac:dyDescent="0.2">
      <c r="B177" s="14"/>
      <c r="C177" s="372">
        <v>3</v>
      </c>
      <c r="D177" s="372"/>
      <c r="E177" s="372"/>
      <c r="F177" s="253" t="s">
        <v>492</v>
      </c>
      <c r="G177" s="253" t="s">
        <v>395</v>
      </c>
      <c r="H177" s="277"/>
      <c r="I177" s="277"/>
      <c r="J177" s="277">
        <f t="shared" ref="J177:AV177" si="73">HLOOKUP(J136,t_growth,4)</f>
        <v>17.4296431713258</v>
      </c>
      <c r="K177" s="277">
        <f t="shared" si="73"/>
        <v>19.810566711342741</v>
      </c>
      <c r="L177" s="277">
        <f t="shared" si="73"/>
        <v>22.267445799447479</v>
      </c>
      <c r="M177" s="277">
        <f t="shared" si="73"/>
        <v>24.785131416603353</v>
      </c>
      <c r="N177" s="277">
        <f t="shared" si="73"/>
        <v>27.349339112214277</v>
      </c>
      <c r="O177" s="277">
        <f t="shared" si="73"/>
        <v>29.946730051786854</v>
      </c>
      <c r="P177" s="277">
        <f t="shared" si="73"/>
        <v>32.564957457117195</v>
      </c>
      <c r="Q177" s="277">
        <f t="shared" si="73"/>
        <v>35.192685692036868</v>
      </c>
      <c r="R177" s="277">
        <f t="shared" si="73"/>
        <v>37.819587993197999</v>
      </c>
      <c r="S177" s="277">
        <f t="shared" si="73"/>
        <v>40.436327790332221</v>
      </c>
      <c r="T177" s="277">
        <f t="shared" si="73"/>
        <v>43.034527673896086</v>
      </c>
      <c r="U177" s="277">
        <f t="shared" si="73"/>
        <v>45.606729324439719</v>
      </c>
      <c r="V177" s="277">
        <f t="shared" si="73"/>
        <v>1.3801503036642727E-2</v>
      </c>
      <c r="W177" s="277">
        <f t="shared" si="73"/>
        <v>0.10250810373022921</v>
      </c>
      <c r="X177" s="277">
        <f t="shared" si="73"/>
        <v>0.32140060564134304</v>
      </c>
      <c r="Y177" s="277">
        <f t="shared" si="73"/>
        <v>0.70819088008020181</v>
      </c>
      <c r="Z177" s="277">
        <f t="shared" si="73"/>
        <v>1.2865903014343147</v>
      </c>
      <c r="AA177" s="277">
        <f t="shared" si="73"/>
        <v>2.0692648651289542</v>
      </c>
      <c r="AB177" s="277">
        <f t="shared" si="73"/>
        <v>3.0602740346849182</v>
      </c>
      <c r="AC177" s="277">
        <f t="shared" si="73"/>
        <v>4.2570757029793187</v>
      </c>
      <c r="AD177" s="277">
        <f t="shared" si="73"/>
        <v>5.6521671458405169</v>
      </c>
      <c r="AE177" s="277">
        <f t="shared" si="73"/>
        <v>7.2344211823897746</v>
      </c>
      <c r="AF177" s="277">
        <f t="shared" si="73"/>
        <v>8.9901676693851371</v>
      </c>
      <c r="AG177" s="277">
        <f t="shared" si="73"/>
        <v>10.904062717666822</v>
      </c>
      <c r="AH177" s="277">
        <f t="shared" si="73"/>
        <v>12.959781431811036</v>
      </c>
      <c r="AI177" s="277">
        <f t="shared" si="73"/>
        <v>15.140564371508987</v>
      </c>
      <c r="AJ177" s="277">
        <f t="shared" si="73"/>
        <v>17.4296431713258</v>
      </c>
      <c r="AK177" s="277">
        <f t="shared" si="73"/>
        <v>19.810566711342741</v>
      </c>
      <c r="AL177" s="277">
        <f t="shared" si="73"/>
        <v>22.267445799447479</v>
      </c>
      <c r="AM177" s="277">
        <f t="shared" si="73"/>
        <v>24.785131416603353</v>
      </c>
      <c r="AN177" s="277">
        <f t="shared" si="73"/>
        <v>27.349339112214277</v>
      </c>
      <c r="AO177" s="277">
        <f t="shared" si="73"/>
        <v>29.946730051786854</v>
      </c>
      <c r="AP177" s="277">
        <f t="shared" si="73"/>
        <v>32.564957457117195</v>
      </c>
      <c r="AQ177" s="277">
        <f t="shared" si="73"/>
        <v>35.192685692036868</v>
      </c>
      <c r="AR177" s="277">
        <f t="shared" si="73"/>
        <v>37.819587993197999</v>
      </c>
      <c r="AS177" s="277">
        <f t="shared" si="73"/>
        <v>40.436327790332221</v>
      </c>
      <c r="AT177" s="277">
        <f t="shared" si="73"/>
        <v>43.034527673896086</v>
      </c>
      <c r="AU177" s="277">
        <f t="shared" si="73"/>
        <v>45.606729324439719</v>
      </c>
      <c r="AV177" s="277">
        <f t="shared" si="73"/>
        <v>1.3801503036642727E-2</v>
      </c>
    </row>
    <row r="178" spans="2:48" ht="12.95" customHeight="1" x14ac:dyDescent="0.2">
      <c r="B178" s="14"/>
      <c r="C178" s="372">
        <v>4</v>
      </c>
      <c r="D178" s="372"/>
      <c r="E178" s="372"/>
      <c r="F178" s="253" t="s">
        <v>492</v>
      </c>
      <c r="G178" s="253" t="s">
        <v>395</v>
      </c>
      <c r="H178" s="277"/>
      <c r="I178" s="277"/>
      <c r="J178" s="277"/>
      <c r="K178" s="277">
        <f t="shared" ref="K178:AV178" si="74">HLOOKUP(K137,t_growth,4)</f>
        <v>17.4296431713258</v>
      </c>
      <c r="L178" s="277">
        <f t="shared" si="74"/>
        <v>19.810566711342741</v>
      </c>
      <c r="M178" s="277">
        <f t="shared" si="74"/>
        <v>22.267445799447479</v>
      </c>
      <c r="N178" s="277">
        <f t="shared" si="74"/>
        <v>24.785131416603353</v>
      </c>
      <c r="O178" s="277">
        <f t="shared" si="74"/>
        <v>27.349339112214277</v>
      </c>
      <c r="P178" s="277">
        <f t="shared" si="74"/>
        <v>29.946730051786854</v>
      </c>
      <c r="Q178" s="277">
        <f t="shared" si="74"/>
        <v>32.564957457117195</v>
      </c>
      <c r="R178" s="277">
        <f t="shared" si="74"/>
        <v>35.192685692036868</v>
      </c>
      <c r="S178" s="277">
        <f t="shared" si="74"/>
        <v>37.819587993197999</v>
      </c>
      <c r="T178" s="277">
        <f t="shared" si="74"/>
        <v>40.436327790332221</v>
      </c>
      <c r="U178" s="277">
        <f t="shared" si="74"/>
        <v>43.034527673896086</v>
      </c>
      <c r="V178" s="277">
        <f t="shared" si="74"/>
        <v>45.606729324439719</v>
      </c>
      <c r="W178" s="277">
        <f t="shared" si="74"/>
        <v>1.3801503036642727E-2</v>
      </c>
      <c r="X178" s="277">
        <f t="shared" si="74"/>
        <v>0.10250810373022921</v>
      </c>
      <c r="Y178" s="277">
        <f t="shared" si="74"/>
        <v>0.32140060564134304</v>
      </c>
      <c r="Z178" s="277">
        <f t="shared" si="74"/>
        <v>0.70819088008020181</v>
      </c>
      <c r="AA178" s="277">
        <f t="shared" si="74"/>
        <v>1.2865903014343147</v>
      </c>
      <c r="AB178" s="277">
        <f t="shared" si="74"/>
        <v>2.0692648651289542</v>
      </c>
      <c r="AC178" s="277">
        <f t="shared" si="74"/>
        <v>3.0602740346849182</v>
      </c>
      <c r="AD178" s="277">
        <f t="shared" si="74"/>
        <v>4.2570757029793187</v>
      </c>
      <c r="AE178" s="277">
        <f t="shared" si="74"/>
        <v>5.6521671458405169</v>
      </c>
      <c r="AF178" s="277">
        <f t="shared" si="74"/>
        <v>7.2344211823897746</v>
      </c>
      <c r="AG178" s="277">
        <f t="shared" si="74"/>
        <v>8.9901676693851371</v>
      </c>
      <c r="AH178" s="277">
        <f t="shared" si="74"/>
        <v>10.904062717666822</v>
      </c>
      <c r="AI178" s="277">
        <f t="shared" si="74"/>
        <v>12.959781431811036</v>
      </c>
      <c r="AJ178" s="277">
        <f t="shared" si="74"/>
        <v>15.140564371508987</v>
      </c>
      <c r="AK178" s="277">
        <f t="shared" si="74"/>
        <v>17.4296431713258</v>
      </c>
      <c r="AL178" s="277">
        <f t="shared" si="74"/>
        <v>19.810566711342741</v>
      </c>
      <c r="AM178" s="277">
        <f t="shared" si="74"/>
        <v>22.267445799447479</v>
      </c>
      <c r="AN178" s="277">
        <f t="shared" si="74"/>
        <v>24.785131416603353</v>
      </c>
      <c r="AO178" s="277">
        <f t="shared" si="74"/>
        <v>27.349339112214277</v>
      </c>
      <c r="AP178" s="277">
        <f t="shared" si="74"/>
        <v>29.946730051786854</v>
      </c>
      <c r="AQ178" s="277">
        <f t="shared" si="74"/>
        <v>32.564957457117195</v>
      </c>
      <c r="AR178" s="277">
        <f t="shared" si="74"/>
        <v>35.192685692036868</v>
      </c>
      <c r="AS178" s="277">
        <f t="shared" si="74"/>
        <v>37.819587993197999</v>
      </c>
      <c r="AT178" s="277">
        <f t="shared" si="74"/>
        <v>40.436327790332221</v>
      </c>
      <c r="AU178" s="277">
        <f t="shared" si="74"/>
        <v>43.034527673896086</v>
      </c>
      <c r="AV178" s="277">
        <f t="shared" si="74"/>
        <v>45.606729324439719</v>
      </c>
    </row>
    <row r="179" spans="2:48" ht="12.95" customHeight="1" x14ac:dyDescent="0.2">
      <c r="B179" s="14"/>
      <c r="C179" s="372">
        <v>5</v>
      </c>
      <c r="D179" s="372"/>
      <c r="E179" s="372"/>
      <c r="F179" s="253" t="s">
        <v>492</v>
      </c>
      <c r="G179" s="253" t="s">
        <v>395</v>
      </c>
      <c r="H179" s="277"/>
      <c r="I179" s="277"/>
      <c r="J179" s="277"/>
      <c r="K179" s="277"/>
      <c r="L179" s="277">
        <f t="shared" ref="L179:AV179" si="75">HLOOKUP(L138,t_growth,4)</f>
        <v>17.4296431713258</v>
      </c>
      <c r="M179" s="277">
        <f t="shared" si="75"/>
        <v>19.810566711342741</v>
      </c>
      <c r="N179" s="277">
        <f t="shared" si="75"/>
        <v>22.267445799447479</v>
      </c>
      <c r="O179" s="277">
        <f t="shared" si="75"/>
        <v>24.785131416603353</v>
      </c>
      <c r="P179" s="277">
        <f t="shared" si="75"/>
        <v>27.349339112214277</v>
      </c>
      <c r="Q179" s="277">
        <f t="shared" si="75"/>
        <v>29.946730051786854</v>
      </c>
      <c r="R179" s="277">
        <f t="shared" si="75"/>
        <v>32.564957457117195</v>
      </c>
      <c r="S179" s="277">
        <f t="shared" si="75"/>
        <v>35.192685692036868</v>
      </c>
      <c r="T179" s="277">
        <f t="shared" si="75"/>
        <v>37.819587993197999</v>
      </c>
      <c r="U179" s="277">
        <f t="shared" si="75"/>
        <v>40.436327790332221</v>
      </c>
      <c r="V179" s="277">
        <f t="shared" si="75"/>
        <v>43.034527673896086</v>
      </c>
      <c r="W179" s="277">
        <f t="shared" si="75"/>
        <v>45.606729324439719</v>
      </c>
      <c r="X179" s="277">
        <f t="shared" si="75"/>
        <v>1.3801503036642727E-2</v>
      </c>
      <c r="Y179" s="277">
        <f t="shared" si="75"/>
        <v>0.10250810373022921</v>
      </c>
      <c r="Z179" s="277">
        <f t="shared" si="75"/>
        <v>0.32140060564134304</v>
      </c>
      <c r="AA179" s="277">
        <f t="shared" si="75"/>
        <v>0.70819088008020181</v>
      </c>
      <c r="AB179" s="277">
        <f t="shared" si="75"/>
        <v>1.2865903014343147</v>
      </c>
      <c r="AC179" s="277">
        <f t="shared" si="75"/>
        <v>2.0692648651289542</v>
      </c>
      <c r="AD179" s="277">
        <f t="shared" si="75"/>
        <v>3.0602740346849182</v>
      </c>
      <c r="AE179" s="277">
        <f t="shared" si="75"/>
        <v>4.2570757029793187</v>
      </c>
      <c r="AF179" s="277">
        <f t="shared" si="75"/>
        <v>5.6521671458405169</v>
      </c>
      <c r="AG179" s="277">
        <f t="shared" si="75"/>
        <v>7.2344211823897746</v>
      </c>
      <c r="AH179" s="277">
        <f t="shared" si="75"/>
        <v>8.9901676693851371</v>
      </c>
      <c r="AI179" s="277">
        <f t="shared" si="75"/>
        <v>10.904062717666822</v>
      </c>
      <c r="AJ179" s="277">
        <f t="shared" si="75"/>
        <v>12.959781431811036</v>
      </c>
      <c r="AK179" s="277">
        <f t="shared" si="75"/>
        <v>15.140564371508987</v>
      </c>
      <c r="AL179" s="277">
        <f t="shared" si="75"/>
        <v>17.4296431713258</v>
      </c>
      <c r="AM179" s="277">
        <f t="shared" si="75"/>
        <v>19.810566711342741</v>
      </c>
      <c r="AN179" s="277">
        <f t="shared" si="75"/>
        <v>22.267445799447479</v>
      </c>
      <c r="AO179" s="277">
        <f t="shared" si="75"/>
        <v>24.785131416603353</v>
      </c>
      <c r="AP179" s="277">
        <f t="shared" si="75"/>
        <v>27.349339112214277</v>
      </c>
      <c r="AQ179" s="277">
        <f t="shared" si="75"/>
        <v>29.946730051786854</v>
      </c>
      <c r="AR179" s="277">
        <f t="shared" si="75"/>
        <v>32.564957457117195</v>
      </c>
      <c r="AS179" s="277">
        <f t="shared" si="75"/>
        <v>35.192685692036868</v>
      </c>
      <c r="AT179" s="277">
        <f t="shared" si="75"/>
        <v>37.819587993197999</v>
      </c>
      <c r="AU179" s="277">
        <f t="shared" si="75"/>
        <v>40.436327790332221</v>
      </c>
      <c r="AV179" s="277">
        <f t="shared" si="75"/>
        <v>43.034527673896086</v>
      </c>
    </row>
    <row r="180" spans="2:48" ht="12.95" customHeight="1" x14ac:dyDescent="0.2">
      <c r="B180" s="14"/>
      <c r="C180" s="372">
        <v>6</v>
      </c>
      <c r="D180" s="372"/>
      <c r="E180" s="372"/>
      <c r="F180" s="253" t="s">
        <v>492</v>
      </c>
      <c r="G180" s="253" t="s">
        <v>395</v>
      </c>
      <c r="H180" s="277"/>
      <c r="I180" s="277"/>
      <c r="J180" s="277"/>
      <c r="K180" s="277"/>
      <c r="L180" s="277"/>
      <c r="M180" s="277">
        <f t="shared" ref="M180:AV180" si="76">HLOOKUP(M139,t_growth,4)</f>
        <v>17.4296431713258</v>
      </c>
      <c r="N180" s="277">
        <f t="shared" si="76"/>
        <v>19.810566711342741</v>
      </c>
      <c r="O180" s="277">
        <f t="shared" si="76"/>
        <v>22.267445799447479</v>
      </c>
      <c r="P180" s="277">
        <f t="shared" si="76"/>
        <v>24.785131416603353</v>
      </c>
      <c r="Q180" s="277">
        <f t="shared" si="76"/>
        <v>27.349339112214277</v>
      </c>
      <c r="R180" s="277">
        <f t="shared" si="76"/>
        <v>29.946730051786854</v>
      </c>
      <c r="S180" s="277">
        <f t="shared" si="76"/>
        <v>32.564957457117195</v>
      </c>
      <c r="T180" s="277">
        <f t="shared" si="76"/>
        <v>35.192685692036868</v>
      </c>
      <c r="U180" s="277">
        <f t="shared" si="76"/>
        <v>37.819587993197999</v>
      </c>
      <c r="V180" s="277">
        <f t="shared" si="76"/>
        <v>40.436327790332221</v>
      </c>
      <c r="W180" s="277">
        <f t="shared" si="76"/>
        <v>43.034527673896086</v>
      </c>
      <c r="X180" s="277">
        <f t="shared" si="76"/>
        <v>45.606729324439719</v>
      </c>
      <c r="Y180" s="277">
        <f t="shared" si="76"/>
        <v>1.3801503036642727E-2</v>
      </c>
      <c r="Z180" s="277">
        <f t="shared" si="76"/>
        <v>0.10250810373022921</v>
      </c>
      <c r="AA180" s="277">
        <f t="shared" si="76"/>
        <v>0.32140060564134304</v>
      </c>
      <c r="AB180" s="277">
        <f t="shared" si="76"/>
        <v>0.70819088008020181</v>
      </c>
      <c r="AC180" s="277">
        <f t="shared" si="76"/>
        <v>1.2865903014343147</v>
      </c>
      <c r="AD180" s="277">
        <f t="shared" si="76"/>
        <v>2.0692648651289542</v>
      </c>
      <c r="AE180" s="277">
        <f t="shared" si="76"/>
        <v>3.0602740346849182</v>
      </c>
      <c r="AF180" s="277">
        <f t="shared" si="76"/>
        <v>4.2570757029793187</v>
      </c>
      <c r="AG180" s="277">
        <f t="shared" si="76"/>
        <v>5.6521671458405169</v>
      </c>
      <c r="AH180" s="277">
        <f t="shared" si="76"/>
        <v>7.2344211823897746</v>
      </c>
      <c r="AI180" s="277">
        <f t="shared" si="76"/>
        <v>8.9901676693851371</v>
      </c>
      <c r="AJ180" s="277">
        <f t="shared" si="76"/>
        <v>10.904062717666822</v>
      </c>
      <c r="AK180" s="277">
        <f t="shared" si="76"/>
        <v>12.959781431811036</v>
      </c>
      <c r="AL180" s="277">
        <f t="shared" si="76"/>
        <v>15.140564371508987</v>
      </c>
      <c r="AM180" s="277">
        <f t="shared" si="76"/>
        <v>17.4296431713258</v>
      </c>
      <c r="AN180" s="277">
        <f t="shared" si="76"/>
        <v>19.810566711342741</v>
      </c>
      <c r="AO180" s="277">
        <f t="shared" si="76"/>
        <v>22.267445799447479</v>
      </c>
      <c r="AP180" s="277">
        <f t="shared" si="76"/>
        <v>24.785131416603353</v>
      </c>
      <c r="AQ180" s="277">
        <f t="shared" si="76"/>
        <v>27.349339112214277</v>
      </c>
      <c r="AR180" s="277">
        <f t="shared" si="76"/>
        <v>29.946730051786854</v>
      </c>
      <c r="AS180" s="277">
        <f t="shared" si="76"/>
        <v>32.564957457117195</v>
      </c>
      <c r="AT180" s="277">
        <f t="shared" si="76"/>
        <v>35.192685692036868</v>
      </c>
      <c r="AU180" s="277">
        <f t="shared" si="76"/>
        <v>37.819587993197999</v>
      </c>
      <c r="AV180" s="277">
        <f t="shared" si="76"/>
        <v>40.436327790332221</v>
      </c>
    </row>
    <row r="181" spans="2:48" ht="12.95" customHeight="1" x14ac:dyDescent="0.2">
      <c r="B181" s="14"/>
      <c r="C181" s="372">
        <v>7</v>
      </c>
      <c r="D181" s="372"/>
      <c r="E181" s="372"/>
      <c r="F181" s="253" t="s">
        <v>492</v>
      </c>
      <c r="G181" s="253" t="s">
        <v>395</v>
      </c>
      <c r="H181" s="277"/>
      <c r="I181" s="277"/>
      <c r="J181" s="277"/>
      <c r="K181" s="277"/>
      <c r="L181" s="277"/>
      <c r="M181" s="277"/>
      <c r="N181" s="277">
        <f t="shared" ref="N181:AV181" si="77">HLOOKUP(N140,t_growth,4)</f>
        <v>17.4296431713258</v>
      </c>
      <c r="O181" s="277">
        <f t="shared" si="77"/>
        <v>19.810566711342741</v>
      </c>
      <c r="P181" s="277">
        <f t="shared" si="77"/>
        <v>22.267445799447479</v>
      </c>
      <c r="Q181" s="277">
        <f t="shared" si="77"/>
        <v>24.785131416603353</v>
      </c>
      <c r="R181" s="277">
        <f t="shared" si="77"/>
        <v>27.349339112214277</v>
      </c>
      <c r="S181" s="277">
        <f t="shared" si="77"/>
        <v>29.946730051786854</v>
      </c>
      <c r="T181" s="277">
        <f t="shared" si="77"/>
        <v>32.564957457117195</v>
      </c>
      <c r="U181" s="277">
        <f t="shared" si="77"/>
        <v>35.192685692036868</v>
      </c>
      <c r="V181" s="277">
        <f t="shared" si="77"/>
        <v>37.819587993197999</v>
      </c>
      <c r="W181" s="277">
        <f t="shared" si="77"/>
        <v>40.436327790332221</v>
      </c>
      <c r="X181" s="277">
        <f t="shared" si="77"/>
        <v>43.034527673896086</v>
      </c>
      <c r="Y181" s="277">
        <f t="shared" si="77"/>
        <v>45.606729324439719</v>
      </c>
      <c r="Z181" s="277">
        <f t="shared" si="77"/>
        <v>1.3801503036642727E-2</v>
      </c>
      <c r="AA181" s="277">
        <f t="shared" si="77"/>
        <v>0.10250810373022921</v>
      </c>
      <c r="AB181" s="277">
        <f t="shared" si="77"/>
        <v>0.32140060564134304</v>
      </c>
      <c r="AC181" s="277">
        <f t="shared" si="77"/>
        <v>0.70819088008020181</v>
      </c>
      <c r="AD181" s="277">
        <f t="shared" si="77"/>
        <v>1.2865903014343147</v>
      </c>
      <c r="AE181" s="277">
        <f t="shared" si="77"/>
        <v>2.0692648651289542</v>
      </c>
      <c r="AF181" s="277">
        <f t="shared" si="77"/>
        <v>3.0602740346849182</v>
      </c>
      <c r="AG181" s="277">
        <f t="shared" si="77"/>
        <v>4.2570757029793187</v>
      </c>
      <c r="AH181" s="277">
        <f t="shared" si="77"/>
        <v>5.6521671458405169</v>
      </c>
      <c r="AI181" s="277">
        <f t="shared" si="77"/>
        <v>7.2344211823897746</v>
      </c>
      <c r="AJ181" s="277">
        <f t="shared" si="77"/>
        <v>8.9901676693851371</v>
      </c>
      <c r="AK181" s="277">
        <f t="shared" si="77"/>
        <v>10.904062717666822</v>
      </c>
      <c r="AL181" s="277">
        <f t="shared" si="77"/>
        <v>12.959781431811036</v>
      </c>
      <c r="AM181" s="277">
        <f t="shared" si="77"/>
        <v>15.140564371508987</v>
      </c>
      <c r="AN181" s="277">
        <f t="shared" si="77"/>
        <v>17.4296431713258</v>
      </c>
      <c r="AO181" s="277">
        <f t="shared" si="77"/>
        <v>19.810566711342741</v>
      </c>
      <c r="AP181" s="277">
        <f t="shared" si="77"/>
        <v>22.267445799447479</v>
      </c>
      <c r="AQ181" s="277">
        <f t="shared" si="77"/>
        <v>24.785131416603353</v>
      </c>
      <c r="AR181" s="277">
        <f t="shared" si="77"/>
        <v>27.349339112214277</v>
      </c>
      <c r="AS181" s="277">
        <f t="shared" si="77"/>
        <v>29.946730051786854</v>
      </c>
      <c r="AT181" s="277">
        <f t="shared" si="77"/>
        <v>32.564957457117195</v>
      </c>
      <c r="AU181" s="277">
        <f t="shared" si="77"/>
        <v>35.192685692036868</v>
      </c>
      <c r="AV181" s="277">
        <f t="shared" si="77"/>
        <v>37.819587993197999</v>
      </c>
    </row>
    <row r="182" spans="2:48" ht="12.95" customHeight="1" x14ac:dyDescent="0.2">
      <c r="B182" s="14"/>
      <c r="C182" s="372">
        <v>8</v>
      </c>
      <c r="D182" s="372"/>
      <c r="E182" s="372"/>
      <c r="F182" s="253" t="s">
        <v>492</v>
      </c>
      <c r="G182" s="253" t="s">
        <v>395</v>
      </c>
      <c r="H182" s="277"/>
      <c r="I182" s="277"/>
      <c r="J182" s="277"/>
      <c r="K182" s="277"/>
      <c r="L182" s="277"/>
      <c r="M182" s="277"/>
      <c r="N182" s="277"/>
      <c r="O182" s="277">
        <f t="shared" ref="O182:AV182" si="78">HLOOKUP(O141,t_growth,4)</f>
        <v>17.4296431713258</v>
      </c>
      <c r="P182" s="277">
        <f t="shared" si="78"/>
        <v>19.810566711342741</v>
      </c>
      <c r="Q182" s="277">
        <f t="shared" si="78"/>
        <v>22.267445799447479</v>
      </c>
      <c r="R182" s="277">
        <f t="shared" si="78"/>
        <v>24.785131416603353</v>
      </c>
      <c r="S182" s="277">
        <f t="shared" si="78"/>
        <v>27.349339112214277</v>
      </c>
      <c r="T182" s="277">
        <f t="shared" si="78"/>
        <v>29.946730051786854</v>
      </c>
      <c r="U182" s="277">
        <f t="shared" si="78"/>
        <v>32.564957457117195</v>
      </c>
      <c r="V182" s="277">
        <f t="shared" si="78"/>
        <v>35.192685692036868</v>
      </c>
      <c r="W182" s="277">
        <f t="shared" si="78"/>
        <v>37.819587993197999</v>
      </c>
      <c r="X182" s="277">
        <f t="shared" si="78"/>
        <v>40.436327790332221</v>
      </c>
      <c r="Y182" s="277">
        <f t="shared" si="78"/>
        <v>43.034527673896086</v>
      </c>
      <c r="Z182" s="277">
        <f t="shared" si="78"/>
        <v>45.606729324439719</v>
      </c>
      <c r="AA182" s="277">
        <f t="shared" si="78"/>
        <v>1.3801503036642727E-2</v>
      </c>
      <c r="AB182" s="277">
        <f t="shared" si="78"/>
        <v>0.10250810373022921</v>
      </c>
      <c r="AC182" s="277">
        <f t="shared" si="78"/>
        <v>0.32140060564134304</v>
      </c>
      <c r="AD182" s="277">
        <f t="shared" si="78"/>
        <v>0.70819088008020181</v>
      </c>
      <c r="AE182" s="277">
        <f t="shared" si="78"/>
        <v>1.2865903014343147</v>
      </c>
      <c r="AF182" s="277">
        <f t="shared" si="78"/>
        <v>2.0692648651289542</v>
      </c>
      <c r="AG182" s="277">
        <f t="shared" si="78"/>
        <v>3.0602740346849182</v>
      </c>
      <c r="AH182" s="277">
        <f t="shared" si="78"/>
        <v>4.2570757029793187</v>
      </c>
      <c r="AI182" s="277">
        <f t="shared" si="78"/>
        <v>5.6521671458405169</v>
      </c>
      <c r="AJ182" s="277">
        <f t="shared" si="78"/>
        <v>7.2344211823897746</v>
      </c>
      <c r="AK182" s="277">
        <f t="shared" si="78"/>
        <v>8.9901676693851371</v>
      </c>
      <c r="AL182" s="277">
        <f t="shared" si="78"/>
        <v>10.904062717666822</v>
      </c>
      <c r="AM182" s="277">
        <f t="shared" si="78"/>
        <v>12.959781431811036</v>
      </c>
      <c r="AN182" s="277">
        <f t="shared" si="78"/>
        <v>15.140564371508987</v>
      </c>
      <c r="AO182" s="277">
        <f t="shared" si="78"/>
        <v>17.4296431713258</v>
      </c>
      <c r="AP182" s="277">
        <f t="shared" si="78"/>
        <v>19.810566711342741</v>
      </c>
      <c r="AQ182" s="277">
        <f t="shared" si="78"/>
        <v>22.267445799447479</v>
      </c>
      <c r="AR182" s="277">
        <f t="shared" si="78"/>
        <v>24.785131416603353</v>
      </c>
      <c r="AS182" s="277">
        <f t="shared" si="78"/>
        <v>27.349339112214277</v>
      </c>
      <c r="AT182" s="277">
        <f t="shared" si="78"/>
        <v>29.946730051786854</v>
      </c>
      <c r="AU182" s="277">
        <f t="shared" si="78"/>
        <v>32.564957457117195</v>
      </c>
      <c r="AV182" s="277">
        <f t="shared" si="78"/>
        <v>35.192685692036868</v>
      </c>
    </row>
    <row r="183" spans="2:48" ht="12.95" customHeight="1" x14ac:dyDescent="0.2">
      <c r="B183" s="14"/>
      <c r="C183" s="372">
        <v>9</v>
      </c>
      <c r="D183" s="372"/>
      <c r="E183" s="372"/>
      <c r="F183" s="253" t="s">
        <v>492</v>
      </c>
      <c r="G183" s="253" t="s">
        <v>395</v>
      </c>
      <c r="H183" s="277"/>
      <c r="I183" s="277"/>
      <c r="J183" s="277"/>
      <c r="K183" s="277"/>
      <c r="L183" s="277"/>
      <c r="M183" s="277"/>
      <c r="N183" s="277"/>
      <c r="O183" s="277"/>
      <c r="P183" s="277">
        <f t="shared" ref="P183:AV183" si="79">HLOOKUP(P142,t_growth,4)</f>
        <v>17.4296431713258</v>
      </c>
      <c r="Q183" s="277">
        <f t="shared" si="79"/>
        <v>19.810566711342741</v>
      </c>
      <c r="R183" s="277">
        <f t="shared" si="79"/>
        <v>22.267445799447479</v>
      </c>
      <c r="S183" s="277">
        <f t="shared" si="79"/>
        <v>24.785131416603353</v>
      </c>
      <c r="T183" s="277">
        <f t="shared" si="79"/>
        <v>27.349339112214277</v>
      </c>
      <c r="U183" s="277">
        <f t="shared" si="79"/>
        <v>29.946730051786854</v>
      </c>
      <c r="V183" s="277">
        <f t="shared" si="79"/>
        <v>32.564957457117195</v>
      </c>
      <c r="W183" s="277">
        <f t="shared" si="79"/>
        <v>35.192685692036868</v>
      </c>
      <c r="X183" s="277">
        <f t="shared" si="79"/>
        <v>37.819587993197999</v>
      </c>
      <c r="Y183" s="277">
        <f t="shared" si="79"/>
        <v>40.436327790332221</v>
      </c>
      <c r="Z183" s="277">
        <f t="shared" si="79"/>
        <v>43.034527673896086</v>
      </c>
      <c r="AA183" s="277">
        <f t="shared" si="79"/>
        <v>45.606729324439719</v>
      </c>
      <c r="AB183" s="277">
        <f t="shared" si="79"/>
        <v>1.3801503036642727E-2</v>
      </c>
      <c r="AC183" s="277">
        <f t="shared" si="79"/>
        <v>0.10250810373022921</v>
      </c>
      <c r="AD183" s="277">
        <f t="shared" si="79"/>
        <v>0.32140060564134304</v>
      </c>
      <c r="AE183" s="277">
        <f t="shared" si="79"/>
        <v>0.70819088008020181</v>
      </c>
      <c r="AF183" s="277">
        <f t="shared" si="79"/>
        <v>1.2865903014343147</v>
      </c>
      <c r="AG183" s="277">
        <f t="shared" si="79"/>
        <v>2.0692648651289542</v>
      </c>
      <c r="AH183" s="277">
        <f t="shared" si="79"/>
        <v>3.0602740346849182</v>
      </c>
      <c r="AI183" s="277">
        <f t="shared" si="79"/>
        <v>4.2570757029793187</v>
      </c>
      <c r="AJ183" s="277">
        <f t="shared" si="79"/>
        <v>5.6521671458405169</v>
      </c>
      <c r="AK183" s="277">
        <f t="shared" si="79"/>
        <v>7.2344211823897746</v>
      </c>
      <c r="AL183" s="277">
        <f t="shared" si="79"/>
        <v>8.9901676693851371</v>
      </c>
      <c r="AM183" s="277">
        <f t="shared" si="79"/>
        <v>10.904062717666822</v>
      </c>
      <c r="AN183" s="277">
        <f t="shared" si="79"/>
        <v>12.959781431811036</v>
      </c>
      <c r="AO183" s="277">
        <f t="shared" si="79"/>
        <v>15.140564371508987</v>
      </c>
      <c r="AP183" s="277">
        <f t="shared" si="79"/>
        <v>17.4296431713258</v>
      </c>
      <c r="AQ183" s="277">
        <f t="shared" si="79"/>
        <v>19.810566711342741</v>
      </c>
      <c r="AR183" s="277">
        <f t="shared" si="79"/>
        <v>22.267445799447479</v>
      </c>
      <c r="AS183" s="277">
        <f t="shared" si="79"/>
        <v>24.785131416603353</v>
      </c>
      <c r="AT183" s="277">
        <f t="shared" si="79"/>
        <v>27.349339112214277</v>
      </c>
      <c r="AU183" s="277">
        <f t="shared" si="79"/>
        <v>29.946730051786854</v>
      </c>
      <c r="AV183" s="277">
        <f t="shared" si="79"/>
        <v>32.564957457117195</v>
      </c>
    </row>
    <row r="184" spans="2:48" ht="12.95" customHeight="1" x14ac:dyDescent="0.2">
      <c r="B184" s="14"/>
      <c r="C184" s="372">
        <v>10</v>
      </c>
      <c r="D184" s="372"/>
      <c r="E184" s="372"/>
      <c r="F184" s="253" t="s">
        <v>492</v>
      </c>
      <c r="G184" s="253" t="s">
        <v>395</v>
      </c>
      <c r="H184" s="277"/>
      <c r="I184" s="277"/>
      <c r="J184" s="277"/>
      <c r="K184" s="277"/>
      <c r="L184" s="277"/>
      <c r="M184" s="277"/>
      <c r="N184" s="277"/>
      <c r="O184" s="277"/>
      <c r="P184" s="277"/>
      <c r="Q184" s="277">
        <f t="shared" ref="Q184:AV184" si="80">HLOOKUP(Q143,t_growth,4)</f>
        <v>17.4296431713258</v>
      </c>
      <c r="R184" s="277">
        <f t="shared" si="80"/>
        <v>19.810566711342741</v>
      </c>
      <c r="S184" s="277">
        <f t="shared" si="80"/>
        <v>22.267445799447479</v>
      </c>
      <c r="T184" s="277">
        <f t="shared" si="80"/>
        <v>24.785131416603353</v>
      </c>
      <c r="U184" s="277">
        <f t="shared" si="80"/>
        <v>27.349339112214277</v>
      </c>
      <c r="V184" s="277">
        <f t="shared" si="80"/>
        <v>29.946730051786854</v>
      </c>
      <c r="W184" s="277">
        <f t="shared" si="80"/>
        <v>32.564957457117195</v>
      </c>
      <c r="X184" s="277">
        <f t="shared" si="80"/>
        <v>35.192685692036868</v>
      </c>
      <c r="Y184" s="277">
        <f t="shared" si="80"/>
        <v>37.819587993197999</v>
      </c>
      <c r="Z184" s="277">
        <f t="shared" si="80"/>
        <v>40.436327790332221</v>
      </c>
      <c r="AA184" s="277">
        <f t="shared" si="80"/>
        <v>43.034527673896086</v>
      </c>
      <c r="AB184" s="277">
        <f t="shared" si="80"/>
        <v>45.606729324439719</v>
      </c>
      <c r="AC184" s="277">
        <f t="shared" si="80"/>
        <v>1.3801503036642727E-2</v>
      </c>
      <c r="AD184" s="277">
        <f t="shared" si="80"/>
        <v>0.10250810373022921</v>
      </c>
      <c r="AE184" s="277">
        <f t="shared" si="80"/>
        <v>0.32140060564134304</v>
      </c>
      <c r="AF184" s="277">
        <f t="shared" si="80"/>
        <v>0.70819088008020181</v>
      </c>
      <c r="AG184" s="277">
        <f t="shared" si="80"/>
        <v>1.2865903014343147</v>
      </c>
      <c r="AH184" s="277">
        <f t="shared" si="80"/>
        <v>2.0692648651289542</v>
      </c>
      <c r="AI184" s="277">
        <f t="shared" si="80"/>
        <v>3.0602740346849182</v>
      </c>
      <c r="AJ184" s="277">
        <f t="shared" si="80"/>
        <v>4.2570757029793187</v>
      </c>
      <c r="AK184" s="277">
        <f t="shared" si="80"/>
        <v>5.6521671458405169</v>
      </c>
      <c r="AL184" s="277">
        <f t="shared" si="80"/>
        <v>7.2344211823897746</v>
      </c>
      <c r="AM184" s="277">
        <f t="shared" si="80"/>
        <v>8.9901676693851371</v>
      </c>
      <c r="AN184" s="277">
        <f t="shared" si="80"/>
        <v>10.904062717666822</v>
      </c>
      <c r="AO184" s="277">
        <f t="shared" si="80"/>
        <v>12.959781431811036</v>
      </c>
      <c r="AP184" s="277">
        <f t="shared" si="80"/>
        <v>15.140564371508987</v>
      </c>
      <c r="AQ184" s="277">
        <f t="shared" si="80"/>
        <v>17.4296431713258</v>
      </c>
      <c r="AR184" s="277">
        <f t="shared" si="80"/>
        <v>19.810566711342741</v>
      </c>
      <c r="AS184" s="277">
        <f t="shared" si="80"/>
        <v>22.267445799447479</v>
      </c>
      <c r="AT184" s="277">
        <f t="shared" si="80"/>
        <v>24.785131416603353</v>
      </c>
      <c r="AU184" s="277">
        <f t="shared" si="80"/>
        <v>27.349339112214277</v>
      </c>
      <c r="AV184" s="277">
        <f t="shared" si="80"/>
        <v>29.946730051786854</v>
      </c>
    </row>
    <row r="185" spans="2:48" ht="12.95" customHeight="1" x14ac:dyDescent="0.2">
      <c r="B185" s="14"/>
      <c r="C185" s="372">
        <v>11</v>
      </c>
      <c r="D185" s="372"/>
      <c r="E185" s="372"/>
      <c r="F185" s="253" t="s">
        <v>492</v>
      </c>
      <c r="G185" s="253" t="s">
        <v>395</v>
      </c>
      <c r="H185" s="277"/>
      <c r="I185" s="277"/>
      <c r="J185" s="277"/>
      <c r="K185" s="277"/>
      <c r="L185" s="277"/>
      <c r="M185" s="277"/>
      <c r="N185" s="277"/>
      <c r="O185" s="277"/>
      <c r="P185" s="277"/>
      <c r="Q185" s="277"/>
      <c r="R185" s="277">
        <f t="shared" ref="R185:AV185" si="81">HLOOKUP(R144,t_growth,4)</f>
        <v>17.4296431713258</v>
      </c>
      <c r="S185" s="277">
        <f t="shared" si="81"/>
        <v>19.810566711342741</v>
      </c>
      <c r="T185" s="277">
        <f t="shared" si="81"/>
        <v>22.267445799447479</v>
      </c>
      <c r="U185" s="277">
        <f t="shared" si="81"/>
        <v>24.785131416603353</v>
      </c>
      <c r="V185" s="277">
        <f t="shared" si="81"/>
        <v>27.349339112214277</v>
      </c>
      <c r="W185" s="277">
        <f t="shared" si="81"/>
        <v>29.946730051786854</v>
      </c>
      <c r="X185" s="277">
        <f t="shared" si="81"/>
        <v>32.564957457117195</v>
      </c>
      <c r="Y185" s="277">
        <f t="shared" si="81"/>
        <v>35.192685692036868</v>
      </c>
      <c r="Z185" s="277">
        <f t="shared" si="81"/>
        <v>37.819587993197999</v>
      </c>
      <c r="AA185" s="277">
        <f t="shared" si="81"/>
        <v>40.436327790332221</v>
      </c>
      <c r="AB185" s="277">
        <f t="shared" si="81"/>
        <v>43.034527673896086</v>
      </c>
      <c r="AC185" s="277">
        <f t="shared" si="81"/>
        <v>45.606729324439719</v>
      </c>
      <c r="AD185" s="277">
        <f t="shared" si="81"/>
        <v>1.3801503036642727E-2</v>
      </c>
      <c r="AE185" s="277">
        <f t="shared" si="81"/>
        <v>0.10250810373022921</v>
      </c>
      <c r="AF185" s="277">
        <f t="shared" si="81"/>
        <v>0.32140060564134304</v>
      </c>
      <c r="AG185" s="277">
        <f t="shared" si="81"/>
        <v>0.70819088008020181</v>
      </c>
      <c r="AH185" s="277">
        <f t="shared" si="81"/>
        <v>1.2865903014343147</v>
      </c>
      <c r="AI185" s="277">
        <f t="shared" si="81"/>
        <v>2.0692648651289542</v>
      </c>
      <c r="AJ185" s="277">
        <f t="shared" si="81"/>
        <v>3.0602740346849182</v>
      </c>
      <c r="AK185" s="277">
        <f t="shared" si="81"/>
        <v>4.2570757029793187</v>
      </c>
      <c r="AL185" s="277">
        <f t="shared" si="81"/>
        <v>5.6521671458405169</v>
      </c>
      <c r="AM185" s="277">
        <f t="shared" si="81"/>
        <v>7.2344211823897746</v>
      </c>
      <c r="AN185" s="277">
        <f t="shared" si="81"/>
        <v>8.9901676693851371</v>
      </c>
      <c r="AO185" s="277">
        <f t="shared" si="81"/>
        <v>10.904062717666822</v>
      </c>
      <c r="AP185" s="277">
        <f t="shared" si="81"/>
        <v>12.959781431811036</v>
      </c>
      <c r="AQ185" s="277">
        <f t="shared" si="81"/>
        <v>15.140564371508987</v>
      </c>
      <c r="AR185" s="277">
        <f t="shared" si="81"/>
        <v>17.4296431713258</v>
      </c>
      <c r="AS185" s="277">
        <f t="shared" si="81"/>
        <v>19.810566711342741</v>
      </c>
      <c r="AT185" s="277">
        <f t="shared" si="81"/>
        <v>22.267445799447479</v>
      </c>
      <c r="AU185" s="277">
        <f t="shared" si="81"/>
        <v>24.785131416603353</v>
      </c>
      <c r="AV185" s="277">
        <f t="shared" si="81"/>
        <v>27.349339112214277</v>
      </c>
    </row>
    <row r="186" spans="2:48" ht="12.95" customHeight="1" x14ac:dyDescent="0.2">
      <c r="B186" s="14"/>
      <c r="C186" s="372">
        <v>12</v>
      </c>
      <c r="D186" s="372"/>
      <c r="E186" s="372"/>
      <c r="F186" s="253" t="s">
        <v>492</v>
      </c>
      <c r="G186" s="253" t="s">
        <v>395</v>
      </c>
      <c r="H186" s="277"/>
      <c r="I186" s="277"/>
      <c r="J186" s="277"/>
      <c r="K186" s="277"/>
      <c r="L186" s="277"/>
      <c r="M186" s="277"/>
      <c r="N186" s="277"/>
      <c r="O186" s="277"/>
      <c r="P186" s="277"/>
      <c r="Q186" s="277"/>
      <c r="R186" s="277"/>
      <c r="S186" s="277">
        <f t="shared" ref="S186:AV186" si="82">HLOOKUP(S145,t_growth,4)</f>
        <v>17.4296431713258</v>
      </c>
      <c r="T186" s="277">
        <f t="shared" si="82"/>
        <v>19.810566711342741</v>
      </c>
      <c r="U186" s="277">
        <f t="shared" si="82"/>
        <v>22.267445799447479</v>
      </c>
      <c r="V186" s="277">
        <f t="shared" si="82"/>
        <v>24.785131416603353</v>
      </c>
      <c r="W186" s="277">
        <f t="shared" si="82"/>
        <v>27.349339112214277</v>
      </c>
      <c r="X186" s="277">
        <f t="shared" si="82"/>
        <v>29.946730051786854</v>
      </c>
      <c r="Y186" s="277">
        <f t="shared" si="82"/>
        <v>32.564957457117195</v>
      </c>
      <c r="Z186" s="277">
        <f t="shared" si="82"/>
        <v>35.192685692036868</v>
      </c>
      <c r="AA186" s="277">
        <f t="shared" si="82"/>
        <v>37.819587993197999</v>
      </c>
      <c r="AB186" s="277">
        <f t="shared" si="82"/>
        <v>40.436327790332221</v>
      </c>
      <c r="AC186" s="277">
        <f t="shared" si="82"/>
        <v>43.034527673896086</v>
      </c>
      <c r="AD186" s="277">
        <f t="shared" si="82"/>
        <v>45.606729324439719</v>
      </c>
      <c r="AE186" s="277">
        <f t="shared" si="82"/>
        <v>1.3801503036642727E-2</v>
      </c>
      <c r="AF186" s="277">
        <f t="shared" si="82"/>
        <v>0.10250810373022921</v>
      </c>
      <c r="AG186" s="277">
        <f t="shared" si="82"/>
        <v>0.32140060564134304</v>
      </c>
      <c r="AH186" s="277">
        <f t="shared" si="82"/>
        <v>0.70819088008020181</v>
      </c>
      <c r="AI186" s="277">
        <f t="shared" si="82"/>
        <v>1.2865903014343147</v>
      </c>
      <c r="AJ186" s="277">
        <f t="shared" si="82"/>
        <v>2.0692648651289542</v>
      </c>
      <c r="AK186" s="277">
        <f t="shared" si="82"/>
        <v>3.0602740346849182</v>
      </c>
      <c r="AL186" s="277">
        <f t="shared" si="82"/>
        <v>4.2570757029793187</v>
      </c>
      <c r="AM186" s="277">
        <f t="shared" si="82"/>
        <v>5.6521671458405169</v>
      </c>
      <c r="AN186" s="277">
        <f t="shared" si="82"/>
        <v>7.2344211823897746</v>
      </c>
      <c r="AO186" s="277">
        <f t="shared" si="82"/>
        <v>8.9901676693851371</v>
      </c>
      <c r="AP186" s="277">
        <f t="shared" si="82"/>
        <v>10.904062717666822</v>
      </c>
      <c r="AQ186" s="277">
        <f t="shared" si="82"/>
        <v>12.959781431811036</v>
      </c>
      <c r="AR186" s="277">
        <f t="shared" si="82"/>
        <v>15.140564371508987</v>
      </c>
      <c r="AS186" s="277">
        <f t="shared" si="82"/>
        <v>17.4296431713258</v>
      </c>
      <c r="AT186" s="277">
        <f t="shared" si="82"/>
        <v>19.810566711342741</v>
      </c>
      <c r="AU186" s="277">
        <f t="shared" si="82"/>
        <v>22.267445799447479</v>
      </c>
      <c r="AV186" s="277">
        <f t="shared" si="82"/>
        <v>24.785131416603353</v>
      </c>
    </row>
    <row r="187" spans="2:48" ht="12.95" customHeight="1" x14ac:dyDescent="0.2">
      <c r="B187" s="14"/>
      <c r="C187" s="372">
        <v>13</v>
      </c>
      <c r="D187" s="372"/>
      <c r="E187" s="372"/>
      <c r="F187" s="253" t="s">
        <v>492</v>
      </c>
      <c r="G187" s="253" t="s">
        <v>395</v>
      </c>
      <c r="H187" s="277"/>
      <c r="I187" s="277"/>
      <c r="J187" s="277"/>
      <c r="K187" s="277"/>
      <c r="L187" s="277"/>
      <c r="M187" s="277"/>
      <c r="N187" s="277"/>
      <c r="O187" s="277"/>
      <c r="P187" s="277"/>
      <c r="Q187" s="277"/>
      <c r="R187" s="277"/>
      <c r="S187" s="277"/>
      <c r="T187" s="277">
        <f t="shared" ref="T187:AV187" si="83">HLOOKUP(T146,t_growth,4)</f>
        <v>17.4296431713258</v>
      </c>
      <c r="U187" s="277">
        <f t="shared" si="83"/>
        <v>19.810566711342741</v>
      </c>
      <c r="V187" s="277">
        <f t="shared" si="83"/>
        <v>22.267445799447479</v>
      </c>
      <c r="W187" s="277">
        <f t="shared" si="83"/>
        <v>24.785131416603353</v>
      </c>
      <c r="X187" s="277">
        <f t="shared" si="83"/>
        <v>27.349339112214277</v>
      </c>
      <c r="Y187" s="277">
        <f t="shared" si="83"/>
        <v>29.946730051786854</v>
      </c>
      <c r="Z187" s="277">
        <f t="shared" si="83"/>
        <v>32.564957457117195</v>
      </c>
      <c r="AA187" s="277">
        <f t="shared" si="83"/>
        <v>35.192685692036868</v>
      </c>
      <c r="AB187" s="277">
        <f t="shared" si="83"/>
        <v>37.819587993197999</v>
      </c>
      <c r="AC187" s="277">
        <f t="shared" si="83"/>
        <v>40.436327790332221</v>
      </c>
      <c r="AD187" s="277">
        <f t="shared" si="83"/>
        <v>43.034527673896086</v>
      </c>
      <c r="AE187" s="277">
        <f t="shared" si="83"/>
        <v>45.606729324439719</v>
      </c>
      <c r="AF187" s="277">
        <f t="shared" si="83"/>
        <v>1.3801503036642727E-2</v>
      </c>
      <c r="AG187" s="277">
        <f t="shared" si="83"/>
        <v>0.10250810373022921</v>
      </c>
      <c r="AH187" s="277">
        <f t="shared" si="83"/>
        <v>0.32140060564134304</v>
      </c>
      <c r="AI187" s="277">
        <f t="shared" si="83"/>
        <v>0.70819088008020181</v>
      </c>
      <c r="AJ187" s="277">
        <f t="shared" si="83"/>
        <v>1.2865903014343147</v>
      </c>
      <c r="AK187" s="277">
        <f t="shared" si="83"/>
        <v>2.0692648651289542</v>
      </c>
      <c r="AL187" s="277">
        <f t="shared" si="83"/>
        <v>3.0602740346849182</v>
      </c>
      <c r="AM187" s="277">
        <f t="shared" si="83"/>
        <v>4.2570757029793187</v>
      </c>
      <c r="AN187" s="277">
        <f t="shared" si="83"/>
        <v>5.6521671458405169</v>
      </c>
      <c r="AO187" s="277">
        <f t="shared" si="83"/>
        <v>7.2344211823897746</v>
      </c>
      <c r="AP187" s="277">
        <f t="shared" si="83"/>
        <v>8.9901676693851371</v>
      </c>
      <c r="AQ187" s="277">
        <f t="shared" si="83"/>
        <v>10.904062717666822</v>
      </c>
      <c r="AR187" s="277">
        <f t="shared" si="83"/>
        <v>12.959781431811036</v>
      </c>
      <c r="AS187" s="277">
        <f t="shared" si="83"/>
        <v>15.140564371508987</v>
      </c>
      <c r="AT187" s="277">
        <f t="shared" si="83"/>
        <v>17.4296431713258</v>
      </c>
      <c r="AU187" s="277">
        <f t="shared" si="83"/>
        <v>19.810566711342741</v>
      </c>
      <c r="AV187" s="277">
        <f t="shared" si="83"/>
        <v>22.267445799447479</v>
      </c>
    </row>
    <row r="188" spans="2:48" ht="12.95" customHeight="1" x14ac:dyDescent="0.2">
      <c r="B188" s="14"/>
      <c r="C188" s="372">
        <v>14</v>
      </c>
      <c r="D188" s="372"/>
      <c r="E188" s="372"/>
      <c r="F188" s="253" t="s">
        <v>492</v>
      </c>
      <c r="G188" s="253" t="s">
        <v>395</v>
      </c>
      <c r="H188" s="277"/>
      <c r="I188" s="277"/>
      <c r="J188" s="277"/>
      <c r="K188" s="277"/>
      <c r="L188" s="277"/>
      <c r="M188" s="277"/>
      <c r="N188" s="277"/>
      <c r="O188" s="277"/>
      <c r="P188" s="277"/>
      <c r="Q188" s="277"/>
      <c r="R188" s="277"/>
      <c r="S188" s="277"/>
      <c r="T188" s="277"/>
      <c r="U188" s="277">
        <f t="shared" ref="U188:AV188" si="84">HLOOKUP(U147,t_growth,4)</f>
        <v>17.4296431713258</v>
      </c>
      <c r="V188" s="277">
        <f t="shared" si="84"/>
        <v>19.810566711342741</v>
      </c>
      <c r="W188" s="277">
        <f t="shared" si="84"/>
        <v>22.267445799447479</v>
      </c>
      <c r="X188" s="277">
        <f t="shared" si="84"/>
        <v>24.785131416603353</v>
      </c>
      <c r="Y188" s="277">
        <f t="shared" si="84"/>
        <v>27.349339112214277</v>
      </c>
      <c r="Z188" s="277">
        <f t="shared" si="84"/>
        <v>29.946730051786854</v>
      </c>
      <c r="AA188" s="277">
        <f t="shared" si="84"/>
        <v>32.564957457117195</v>
      </c>
      <c r="AB188" s="277">
        <f t="shared" si="84"/>
        <v>35.192685692036868</v>
      </c>
      <c r="AC188" s="277">
        <f t="shared" si="84"/>
        <v>37.819587993197999</v>
      </c>
      <c r="AD188" s="277">
        <f t="shared" si="84"/>
        <v>40.436327790332221</v>
      </c>
      <c r="AE188" s="277">
        <f t="shared" si="84"/>
        <v>43.034527673896086</v>
      </c>
      <c r="AF188" s="277">
        <f t="shared" si="84"/>
        <v>45.606729324439719</v>
      </c>
      <c r="AG188" s="277">
        <f t="shared" si="84"/>
        <v>1.3801503036642727E-2</v>
      </c>
      <c r="AH188" s="277">
        <f t="shared" si="84"/>
        <v>0.10250810373022921</v>
      </c>
      <c r="AI188" s="277">
        <f t="shared" si="84"/>
        <v>0.32140060564134304</v>
      </c>
      <c r="AJ188" s="277">
        <f t="shared" si="84"/>
        <v>0.70819088008020181</v>
      </c>
      <c r="AK188" s="277">
        <f t="shared" si="84"/>
        <v>1.2865903014343147</v>
      </c>
      <c r="AL188" s="277">
        <f t="shared" si="84"/>
        <v>2.0692648651289542</v>
      </c>
      <c r="AM188" s="277">
        <f t="shared" si="84"/>
        <v>3.0602740346849182</v>
      </c>
      <c r="AN188" s="277">
        <f t="shared" si="84"/>
        <v>4.2570757029793187</v>
      </c>
      <c r="AO188" s="277">
        <f t="shared" si="84"/>
        <v>5.6521671458405169</v>
      </c>
      <c r="AP188" s="277">
        <f t="shared" si="84"/>
        <v>7.2344211823897746</v>
      </c>
      <c r="AQ188" s="277">
        <f t="shared" si="84"/>
        <v>8.9901676693851371</v>
      </c>
      <c r="AR188" s="277">
        <f t="shared" si="84"/>
        <v>10.904062717666822</v>
      </c>
      <c r="AS188" s="277">
        <f t="shared" si="84"/>
        <v>12.959781431811036</v>
      </c>
      <c r="AT188" s="277">
        <f t="shared" si="84"/>
        <v>15.140564371508987</v>
      </c>
      <c r="AU188" s="277">
        <f t="shared" si="84"/>
        <v>17.4296431713258</v>
      </c>
      <c r="AV188" s="277">
        <f t="shared" si="84"/>
        <v>19.810566711342741</v>
      </c>
    </row>
    <row r="189" spans="2:48" ht="12.95" customHeight="1" x14ac:dyDescent="0.2">
      <c r="B189" s="14"/>
      <c r="C189" s="372">
        <v>15</v>
      </c>
      <c r="D189" s="372"/>
      <c r="E189" s="372"/>
      <c r="F189" s="253" t="s">
        <v>492</v>
      </c>
      <c r="G189" s="253" t="s">
        <v>395</v>
      </c>
      <c r="H189" s="277"/>
      <c r="I189" s="277"/>
      <c r="J189" s="277"/>
      <c r="K189" s="277"/>
      <c r="L189" s="277"/>
      <c r="M189" s="277"/>
      <c r="N189" s="277"/>
      <c r="O189" s="277"/>
      <c r="P189" s="277"/>
      <c r="Q189" s="277"/>
      <c r="R189" s="277"/>
      <c r="S189" s="277"/>
      <c r="T189" s="277"/>
      <c r="U189" s="277"/>
      <c r="V189" s="277">
        <f t="shared" ref="V189:AV189" si="85">HLOOKUP(V148,t_growth,4)</f>
        <v>17.4296431713258</v>
      </c>
      <c r="W189" s="277">
        <f t="shared" si="85"/>
        <v>19.810566711342741</v>
      </c>
      <c r="X189" s="277">
        <f t="shared" si="85"/>
        <v>22.267445799447479</v>
      </c>
      <c r="Y189" s="277">
        <f t="shared" si="85"/>
        <v>24.785131416603353</v>
      </c>
      <c r="Z189" s="277">
        <f t="shared" si="85"/>
        <v>27.349339112214277</v>
      </c>
      <c r="AA189" s="277">
        <f t="shared" si="85"/>
        <v>29.946730051786854</v>
      </c>
      <c r="AB189" s="277">
        <f t="shared" si="85"/>
        <v>32.564957457117195</v>
      </c>
      <c r="AC189" s="277">
        <f t="shared" si="85"/>
        <v>35.192685692036868</v>
      </c>
      <c r="AD189" s="277">
        <f t="shared" si="85"/>
        <v>37.819587993197999</v>
      </c>
      <c r="AE189" s="277">
        <f t="shared" si="85"/>
        <v>40.436327790332221</v>
      </c>
      <c r="AF189" s="277">
        <f t="shared" si="85"/>
        <v>43.034527673896086</v>
      </c>
      <c r="AG189" s="277">
        <f t="shared" si="85"/>
        <v>45.606729324439719</v>
      </c>
      <c r="AH189" s="277">
        <f t="shared" si="85"/>
        <v>1.3801503036642727E-2</v>
      </c>
      <c r="AI189" s="277">
        <f t="shared" si="85"/>
        <v>0.10250810373022921</v>
      </c>
      <c r="AJ189" s="277">
        <f t="shared" si="85"/>
        <v>0.32140060564134304</v>
      </c>
      <c r="AK189" s="277">
        <f t="shared" si="85"/>
        <v>0.70819088008020181</v>
      </c>
      <c r="AL189" s="277">
        <f t="shared" si="85"/>
        <v>1.2865903014343147</v>
      </c>
      <c r="AM189" s="277">
        <f t="shared" si="85"/>
        <v>2.0692648651289542</v>
      </c>
      <c r="AN189" s="277">
        <f t="shared" si="85"/>
        <v>3.0602740346849182</v>
      </c>
      <c r="AO189" s="277">
        <f t="shared" si="85"/>
        <v>4.2570757029793187</v>
      </c>
      <c r="AP189" s="277">
        <f t="shared" si="85"/>
        <v>5.6521671458405169</v>
      </c>
      <c r="AQ189" s="277">
        <f t="shared" si="85"/>
        <v>7.2344211823897746</v>
      </c>
      <c r="AR189" s="277">
        <f t="shared" si="85"/>
        <v>8.9901676693851371</v>
      </c>
      <c r="AS189" s="277">
        <f t="shared" si="85"/>
        <v>10.904062717666822</v>
      </c>
      <c r="AT189" s="277">
        <f t="shared" si="85"/>
        <v>12.959781431811036</v>
      </c>
      <c r="AU189" s="277">
        <f t="shared" si="85"/>
        <v>15.140564371508987</v>
      </c>
      <c r="AV189" s="277">
        <f t="shared" si="85"/>
        <v>17.4296431713258</v>
      </c>
    </row>
    <row r="190" spans="2:48" ht="12.95" customHeight="1" x14ac:dyDescent="0.2">
      <c r="B190" s="14"/>
      <c r="C190" s="372">
        <v>16</v>
      </c>
      <c r="D190" s="372"/>
      <c r="E190" s="372"/>
      <c r="F190" s="253" t="s">
        <v>492</v>
      </c>
      <c r="G190" s="253" t="s">
        <v>395</v>
      </c>
      <c r="H190" s="277"/>
      <c r="I190" s="277"/>
      <c r="J190" s="277"/>
      <c r="K190" s="277"/>
      <c r="L190" s="277"/>
      <c r="M190" s="277"/>
      <c r="N190" s="277"/>
      <c r="O190" s="277"/>
      <c r="P190" s="277"/>
      <c r="Q190" s="277"/>
      <c r="R190" s="277"/>
      <c r="S190" s="277"/>
      <c r="T190" s="277"/>
      <c r="U190" s="277"/>
      <c r="V190" s="277"/>
      <c r="W190" s="277">
        <f t="shared" ref="W190:AV190" si="86">HLOOKUP(W149,t_growth,4)</f>
        <v>17.4296431713258</v>
      </c>
      <c r="X190" s="277">
        <f t="shared" si="86"/>
        <v>19.810566711342741</v>
      </c>
      <c r="Y190" s="277">
        <f t="shared" si="86"/>
        <v>22.267445799447479</v>
      </c>
      <c r="Z190" s="277">
        <f t="shared" si="86"/>
        <v>24.785131416603353</v>
      </c>
      <c r="AA190" s="277">
        <f t="shared" si="86"/>
        <v>27.349339112214277</v>
      </c>
      <c r="AB190" s="277">
        <f t="shared" si="86"/>
        <v>29.946730051786854</v>
      </c>
      <c r="AC190" s="277">
        <f t="shared" si="86"/>
        <v>32.564957457117195</v>
      </c>
      <c r="AD190" s="277">
        <f t="shared" si="86"/>
        <v>35.192685692036868</v>
      </c>
      <c r="AE190" s="277">
        <f t="shared" si="86"/>
        <v>37.819587993197999</v>
      </c>
      <c r="AF190" s="277">
        <f t="shared" si="86"/>
        <v>40.436327790332221</v>
      </c>
      <c r="AG190" s="277">
        <f t="shared" si="86"/>
        <v>43.034527673896086</v>
      </c>
      <c r="AH190" s="277">
        <f t="shared" si="86"/>
        <v>45.606729324439719</v>
      </c>
      <c r="AI190" s="277">
        <f t="shared" si="86"/>
        <v>1.3801503036642727E-2</v>
      </c>
      <c r="AJ190" s="277">
        <f t="shared" si="86"/>
        <v>0.10250810373022921</v>
      </c>
      <c r="AK190" s="277">
        <f t="shared" si="86"/>
        <v>0.32140060564134304</v>
      </c>
      <c r="AL190" s="277">
        <f t="shared" si="86"/>
        <v>0.70819088008020181</v>
      </c>
      <c r="AM190" s="277">
        <f t="shared" si="86"/>
        <v>1.2865903014343147</v>
      </c>
      <c r="AN190" s="277">
        <f t="shared" si="86"/>
        <v>2.0692648651289542</v>
      </c>
      <c r="AO190" s="277">
        <f t="shared" si="86"/>
        <v>3.0602740346849182</v>
      </c>
      <c r="AP190" s="277">
        <f t="shared" si="86"/>
        <v>4.2570757029793187</v>
      </c>
      <c r="AQ190" s="277">
        <f t="shared" si="86"/>
        <v>5.6521671458405169</v>
      </c>
      <c r="AR190" s="277">
        <f t="shared" si="86"/>
        <v>7.2344211823897746</v>
      </c>
      <c r="AS190" s="277">
        <f t="shared" si="86"/>
        <v>8.9901676693851371</v>
      </c>
      <c r="AT190" s="277">
        <f t="shared" si="86"/>
        <v>10.904062717666822</v>
      </c>
      <c r="AU190" s="277">
        <f t="shared" si="86"/>
        <v>12.959781431811036</v>
      </c>
      <c r="AV190" s="277">
        <f t="shared" si="86"/>
        <v>15.140564371508987</v>
      </c>
    </row>
    <row r="191" spans="2:48" ht="12.95" customHeight="1" x14ac:dyDescent="0.2">
      <c r="B191" s="14"/>
      <c r="C191" s="372">
        <v>17</v>
      </c>
      <c r="D191" s="372"/>
      <c r="E191" s="372"/>
      <c r="F191" s="253" t="s">
        <v>492</v>
      </c>
      <c r="G191" s="253" t="s">
        <v>395</v>
      </c>
      <c r="H191" s="277"/>
      <c r="I191" s="277"/>
      <c r="J191" s="277"/>
      <c r="K191" s="277"/>
      <c r="L191" s="277"/>
      <c r="M191" s="277"/>
      <c r="N191" s="277"/>
      <c r="O191" s="277"/>
      <c r="P191" s="277"/>
      <c r="Q191" s="277"/>
      <c r="R191" s="277"/>
      <c r="S191" s="277"/>
      <c r="T191" s="277"/>
      <c r="U191" s="277"/>
      <c r="V191" s="277"/>
      <c r="W191" s="277"/>
      <c r="X191" s="277">
        <f t="shared" ref="X191:AV191" si="87">HLOOKUP(X150,t_growth,4)</f>
        <v>17.4296431713258</v>
      </c>
      <c r="Y191" s="277">
        <f t="shared" si="87"/>
        <v>19.810566711342741</v>
      </c>
      <c r="Z191" s="277">
        <f t="shared" si="87"/>
        <v>22.267445799447479</v>
      </c>
      <c r="AA191" s="277">
        <f t="shared" si="87"/>
        <v>24.785131416603353</v>
      </c>
      <c r="AB191" s="277">
        <f t="shared" si="87"/>
        <v>27.349339112214277</v>
      </c>
      <c r="AC191" s="277">
        <f t="shared" si="87"/>
        <v>29.946730051786854</v>
      </c>
      <c r="AD191" s="277">
        <f t="shared" si="87"/>
        <v>32.564957457117195</v>
      </c>
      <c r="AE191" s="277">
        <f t="shared" si="87"/>
        <v>35.192685692036868</v>
      </c>
      <c r="AF191" s="277">
        <f t="shared" si="87"/>
        <v>37.819587993197999</v>
      </c>
      <c r="AG191" s="277">
        <f t="shared" si="87"/>
        <v>40.436327790332221</v>
      </c>
      <c r="AH191" s="277">
        <f t="shared" si="87"/>
        <v>43.034527673896086</v>
      </c>
      <c r="AI191" s="277">
        <f t="shared" si="87"/>
        <v>45.606729324439719</v>
      </c>
      <c r="AJ191" s="277">
        <f t="shared" si="87"/>
        <v>1.3801503036642727E-2</v>
      </c>
      <c r="AK191" s="277">
        <f t="shared" si="87"/>
        <v>0.10250810373022921</v>
      </c>
      <c r="AL191" s="277">
        <f t="shared" si="87"/>
        <v>0.32140060564134304</v>
      </c>
      <c r="AM191" s="277">
        <f t="shared" si="87"/>
        <v>0.70819088008020181</v>
      </c>
      <c r="AN191" s="277">
        <f t="shared" si="87"/>
        <v>1.2865903014343147</v>
      </c>
      <c r="AO191" s="277">
        <f t="shared" si="87"/>
        <v>2.0692648651289542</v>
      </c>
      <c r="AP191" s="277">
        <f t="shared" si="87"/>
        <v>3.0602740346849182</v>
      </c>
      <c r="AQ191" s="277">
        <f t="shared" si="87"/>
        <v>4.2570757029793187</v>
      </c>
      <c r="AR191" s="277">
        <f t="shared" si="87"/>
        <v>5.6521671458405169</v>
      </c>
      <c r="AS191" s="277">
        <f t="shared" si="87"/>
        <v>7.2344211823897746</v>
      </c>
      <c r="AT191" s="277">
        <f t="shared" si="87"/>
        <v>8.9901676693851371</v>
      </c>
      <c r="AU191" s="277">
        <f t="shared" si="87"/>
        <v>10.904062717666822</v>
      </c>
      <c r="AV191" s="277">
        <f t="shared" si="87"/>
        <v>12.959781431811036</v>
      </c>
    </row>
    <row r="192" spans="2:48" ht="12.95" customHeight="1" x14ac:dyDescent="0.2">
      <c r="B192" s="14"/>
      <c r="C192" s="372">
        <v>18</v>
      </c>
      <c r="D192" s="372"/>
      <c r="E192" s="372"/>
      <c r="F192" s="253" t="s">
        <v>492</v>
      </c>
      <c r="G192" s="253" t="s">
        <v>395</v>
      </c>
      <c r="H192" s="277"/>
      <c r="I192" s="277"/>
      <c r="J192" s="277"/>
      <c r="K192" s="277"/>
      <c r="L192" s="277"/>
      <c r="M192" s="277"/>
      <c r="N192" s="277"/>
      <c r="O192" s="277"/>
      <c r="P192" s="277"/>
      <c r="Q192" s="277"/>
      <c r="R192" s="277"/>
      <c r="S192" s="277"/>
      <c r="T192" s="277"/>
      <c r="U192" s="277"/>
      <c r="V192" s="277"/>
      <c r="W192" s="277"/>
      <c r="X192" s="277"/>
      <c r="Y192" s="277">
        <f t="shared" ref="Y192:AV192" si="88">HLOOKUP(Y151,t_growth,4)</f>
        <v>17.4296431713258</v>
      </c>
      <c r="Z192" s="277">
        <f t="shared" si="88"/>
        <v>19.810566711342741</v>
      </c>
      <c r="AA192" s="277">
        <f t="shared" si="88"/>
        <v>22.267445799447479</v>
      </c>
      <c r="AB192" s="277">
        <f t="shared" si="88"/>
        <v>24.785131416603353</v>
      </c>
      <c r="AC192" s="277">
        <f t="shared" si="88"/>
        <v>27.349339112214277</v>
      </c>
      <c r="AD192" s="277">
        <f t="shared" si="88"/>
        <v>29.946730051786854</v>
      </c>
      <c r="AE192" s="277">
        <f t="shared" si="88"/>
        <v>32.564957457117195</v>
      </c>
      <c r="AF192" s="277">
        <f t="shared" si="88"/>
        <v>35.192685692036868</v>
      </c>
      <c r="AG192" s="277">
        <f t="shared" si="88"/>
        <v>37.819587993197999</v>
      </c>
      <c r="AH192" s="277">
        <f t="shared" si="88"/>
        <v>40.436327790332221</v>
      </c>
      <c r="AI192" s="277">
        <f t="shared" si="88"/>
        <v>43.034527673896086</v>
      </c>
      <c r="AJ192" s="277">
        <f t="shared" si="88"/>
        <v>45.606729324439719</v>
      </c>
      <c r="AK192" s="277">
        <f t="shared" si="88"/>
        <v>1.3801503036642727E-2</v>
      </c>
      <c r="AL192" s="277">
        <f t="shared" si="88"/>
        <v>0.10250810373022921</v>
      </c>
      <c r="AM192" s="277">
        <f t="shared" si="88"/>
        <v>0.32140060564134304</v>
      </c>
      <c r="AN192" s="277">
        <f t="shared" si="88"/>
        <v>0.70819088008020181</v>
      </c>
      <c r="AO192" s="277">
        <f t="shared" si="88"/>
        <v>1.2865903014343147</v>
      </c>
      <c r="AP192" s="277">
        <f t="shared" si="88"/>
        <v>2.0692648651289542</v>
      </c>
      <c r="AQ192" s="277">
        <f t="shared" si="88"/>
        <v>3.0602740346849182</v>
      </c>
      <c r="AR192" s="277">
        <f t="shared" si="88"/>
        <v>4.2570757029793187</v>
      </c>
      <c r="AS192" s="277">
        <f t="shared" si="88"/>
        <v>5.6521671458405169</v>
      </c>
      <c r="AT192" s="277">
        <f t="shared" si="88"/>
        <v>7.2344211823897746</v>
      </c>
      <c r="AU192" s="277">
        <f t="shared" si="88"/>
        <v>8.9901676693851371</v>
      </c>
      <c r="AV192" s="277">
        <f t="shared" si="88"/>
        <v>10.904062717666822</v>
      </c>
    </row>
    <row r="193" spans="2:48" ht="12.95" customHeight="1" x14ac:dyDescent="0.2">
      <c r="B193" s="14"/>
      <c r="C193" s="372">
        <v>19</v>
      </c>
      <c r="D193" s="372"/>
      <c r="E193" s="372"/>
      <c r="F193" s="253" t="s">
        <v>492</v>
      </c>
      <c r="G193" s="253" t="s">
        <v>395</v>
      </c>
      <c r="H193" s="277"/>
      <c r="I193" s="277"/>
      <c r="J193" s="277"/>
      <c r="K193" s="277"/>
      <c r="L193" s="277"/>
      <c r="M193" s="277"/>
      <c r="N193" s="277"/>
      <c r="O193" s="277"/>
      <c r="P193" s="277"/>
      <c r="Q193" s="277"/>
      <c r="R193" s="277"/>
      <c r="S193" s="277"/>
      <c r="T193" s="277"/>
      <c r="U193" s="277"/>
      <c r="V193" s="277"/>
      <c r="W193" s="277"/>
      <c r="X193" s="277"/>
      <c r="Y193" s="277"/>
      <c r="Z193" s="277">
        <f t="shared" ref="Z193:AV193" si="89">HLOOKUP(Z152,t_growth,4)</f>
        <v>17.4296431713258</v>
      </c>
      <c r="AA193" s="277">
        <f t="shared" si="89"/>
        <v>19.810566711342741</v>
      </c>
      <c r="AB193" s="277">
        <f t="shared" si="89"/>
        <v>22.267445799447479</v>
      </c>
      <c r="AC193" s="277">
        <f t="shared" si="89"/>
        <v>24.785131416603353</v>
      </c>
      <c r="AD193" s="277">
        <f t="shared" si="89"/>
        <v>27.349339112214277</v>
      </c>
      <c r="AE193" s="277">
        <f t="shared" si="89"/>
        <v>29.946730051786854</v>
      </c>
      <c r="AF193" s="277">
        <f t="shared" si="89"/>
        <v>32.564957457117195</v>
      </c>
      <c r="AG193" s="277">
        <f t="shared" si="89"/>
        <v>35.192685692036868</v>
      </c>
      <c r="AH193" s="277">
        <f t="shared" si="89"/>
        <v>37.819587993197999</v>
      </c>
      <c r="AI193" s="277">
        <f t="shared" si="89"/>
        <v>40.436327790332221</v>
      </c>
      <c r="AJ193" s="277">
        <f t="shared" si="89"/>
        <v>43.034527673896086</v>
      </c>
      <c r="AK193" s="277">
        <f t="shared" si="89"/>
        <v>45.606729324439719</v>
      </c>
      <c r="AL193" s="277">
        <f t="shared" si="89"/>
        <v>1.3801503036642727E-2</v>
      </c>
      <c r="AM193" s="277">
        <f t="shared" si="89"/>
        <v>0.10250810373022921</v>
      </c>
      <c r="AN193" s="277">
        <f t="shared" si="89"/>
        <v>0.32140060564134304</v>
      </c>
      <c r="AO193" s="277">
        <f t="shared" si="89"/>
        <v>0.70819088008020181</v>
      </c>
      <c r="AP193" s="277">
        <f t="shared" si="89"/>
        <v>1.2865903014343147</v>
      </c>
      <c r="AQ193" s="277">
        <f t="shared" si="89"/>
        <v>2.0692648651289542</v>
      </c>
      <c r="AR193" s="277">
        <f t="shared" si="89"/>
        <v>3.0602740346849182</v>
      </c>
      <c r="AS193" s="277">
        <f t="shared" si="89"/>
        <v>4.2570757029793187</v>
      </c>
      <c r="AT193" s="277">
        <f t="shared" si="89"/>
        <v>5.6521671458405169</v>
      </c>
      <c r="AU193" s="277">
        <f t="shared" si="89"/>
        <v>7.2344211823897746</v>
      </c>
      <c r="AV193" s="277">
        <f t="shared" si="89"/>
        <v>8.9901676693851371</v>
      </c>
    </row>
    <row r="194" spans="2:48" ht="12.95" customHeight="1" x14ac:dyDescent="0.2">
      <c r="B194" s="14"/>
      <c r="C194" s="372">
        <v>20</v>
      </c>
      <c r="D194" s="372"/>
      <c r="E194" s="372"/>
      <c r="F194" s="253" t="s">
        <v>492</v>
      </c>
      <c r="G194" s="253" t="s">
        <v>395</v>
      </c>
      <c r="H194" s="277"/>
      <c r="I194" s="277"/>
      <c r="J194" s="277"/>
      <c r="K194" s="277"/>
      <c r="L194" s="277"/>
      <c r="M194" s="277"/>
      <c r="N194" s="277"/>
      <c r="O194" s="277"/>
      <c r="P194" s="277"/>
      <c r="Q194" s="277"/>
      <c r="R194" s="277"/>
      <c r="S194" s="277"/>
      <c r="T194" s="277"/>
      <c r="U194" s="277"/>
      <c r="V194" s="277"/>
      <c r="W194" s="277"/>
      <c r="X194" s="277"/>
      <c r="Y194" s="277"/>
      <c r="Z194" s="277"/>
      <c r="AA194" s="277">
        <f t="shared" ref="AA194:AV194" si="90">HLOOKUP(AA153,t_growth,4)</f>
        <v>17.4296431713258</v>
      </c>
      <c r="AB194" s="277">
        <f t="shared" si="90"/>
        <v>19.810566711342741</v>
      </c>
      <c r="AC194" s="277">
        <f t="shared" si="90"/>
        <v>22.267445799447479</v>
      </c>
      <c r="AD194" s="277">
        <f t="shared" si="90"/>
        <v>24.785131416603353</v>
      </c>
      <c r="AE194" s="277">
        <f t="shared" si="90"/>
        <v>27.349339112214277</v>
      </c>
      <c r="AF194" s="277">
        <f t="shared" si="90"/>
        <v>29.946730051786854</v>
      </c>
      <c r="AG194" s="277">
        <f t="shared" si="90"/>
        <v>32.564957457117195</v>
      </c>
      <c r="AH194" s="277">
        <f t="shared" si="90"/>
        <v>35.192685692036868</v>
      </c>
      <c r="AI194" s="277">
        <f t="shared" si="90"/>
        <v>37.819587993197999</v>
      </c>
      <c r="AJ194" s="277">
        <f t="shared" si="90"/>
        <v>40.436327790332221</v>
      </c>
      <c r="AK194" s="277">
        <f t="shared" si="90"/>
        <v>43.034527673896086</v>
      </c>
      <c r="AL194" s="277">
        <f t="shared" si="90"/>
        <v>45.606729324439719</v>
      </c>
      <c r="AM194" s="277">
        <f t="shared" si="90"/>
        <v>1.3801503036642727E-2</v>
      </c>
      <c r="AN194" s="277">
        <f t="shared" si="90"/>
        <v>0.10250810373022921</v>
      </c>
      <c r="AO194" s="277">
        <f t="shared" si="90"/>
        <v>0.32140060564134304</v>
      </c>
      <c r="AP194" s="277">
        <f t="shared" si="90"/>
        <v>0.70819088008020181</v>
      </c>
      <c r="AQ194" s="277">
        <f t="shared" si="90"/>
        <v>1.2865903014343147</v>
      </c>
      <c r="AR194" s="277">
        <f t="shared" si="90"/>
        <v>2.0692648651289542</v>
      </c>
      <c r="AS194" s="277">
        <f t="shared" si="90"/>
        <v>3.0602740346849182</v>
      </c>
      <c r="AT194" s="277">
        <f t="shared" si="90"/>
        <v>4.2570757029793187</v>
      </c>
      <c r="AU194" s="277">
        <f t="shared" si="90"/>
        <v>5.6521671458405169</v>
      </c>
      <c r="AV194" s="277">
        <f t="shared" si="90"/>
        <v>7.2344211823897746</v>
      </c>
    </row>
    <row r="195" spans="2:48" ht="12.95" customHeight="1" x14ac:dyDescent="0.2">
      <c r="B195" s="14"/>
      <c r="C195" s="372">
        <v>21</v>
      </c>
      <c r="D195" s="372"/>
      <c r="E195" s="372"/>
      <c r="F195" s="253" t="s">
        <v>492</v>
      </c>
      <c r="G195" s="253" t="s">
        <v>395</v>
      </c>
      <c r="H195" s="277"/>
      <c r="I195" s="277"/>
      <c r="J195" s="277"/>
      <c r="K195" s="277"/>
      <c r="L195" s="277"/>
      <c r="M195" s="277"/>
      <c r="N195" s="277"/>
      <c r="O195" s="277"/>
      <c r="P195" s="277"/>
      <c r="Q195" s="277"/>
      <c r="R195" s="277"/>
      <c r="S195" s="277"/>
      <c r="T195" s="277"/>
      <c r="U195" s="277"/>
      <c r="V195" s="277"/>
      <c r="W195" s="277"/>
      <c r="X195" s="277"/>
      <c r="Y195" s="277"/>
      <c r="Z195" s="277"/>
      <c r="AA195" s="277"/>
      <c r="AB195" s="277">
        <f t="shared" ref="AB195:AV195" si="91">HLOOKUP(AB154,t_growth,4)</f>
        <v>17.4296431713258</v>
      </c>
      <c r="AC195" s="277">
        <f t="shared" si="91"/>
        <v>19.810566711342741</v>
      </c>
      <c r="AD195" s="277">
        <f t="shared" si="91"/>
        <v>22.267445799447479</v>
      </c>
      <c r="AE195" s="277">
        <f t="shared" si="91"/>
        <v>24.785131416603353</v>
      </c>
      <c r="AF195" s="277">
        <f t="shared" si="91"/>
        <v>27.349339112214277</v>
      </c>
      <c r="AG195" s="277">
        <f t="shared" si="91"/>
        <v>29.946730051786854</v>
      </c>
      <c r="AH195" s="277">
        <f t="shared" si="91"/>
        <v>32.564957457117195</v>
      </c>
      <c r="AI195" s="277">
        <f t="shared" si="91"/>
        <v>35.192685692036868</v>
      </c>
      <c r="AJ195" s="277">
        <f t="shared" si="91"/>
        <v>37.819587993197999</v>
      </c>
      <c r="AK195" s="277">
        <f t="shared" si="91"/>
        <v>40.436327790332221</v>
      </c>
      <c r="AL195" s="277">
        <f t="shared" si="91"/>
        <v>43.034527673896086</v>
      </c>
      <c r="AM195" s="277">
        <f t="shared" si="91"/>
        <v>45.606729324439719</v>
      </c>
      <c r="AN195" s="277">
        <f t="shared" si="91"/>
        <v>1.3801503036642727E-2</v>
      </c>
      <c r="AO195" s="277">
        <f t="shared" si="91"/>
        <v>0.10250810373022921</v>
      </c>
      <c r="AP195" s="277">
        <f t="shared" si="91"/>
        <v>0.32140060564134304</v>
      </c>
      <c r="AQ195" s="277">
        <f t="shared" si="91"/>
        <v>0.70819088008020181</v>
      </c>
      <c r="AR195" s="277">
        <f t="shared" si="91"/>
        <v>1.2865903014343147</v>
      </c>
      <c r="AS195" s="277">
        <f t="shared" si="91"/>
        <v>2.0692648651289542</v>
      </c>
      <c r="AT195" s="277">
        <f t="shared" si="91"/>
        <v>3.0602740346849182</v>
      </c>
      <c r="AU195" s="277">
        <f t="shared" si="91"/>
        <v>4.2570757029793187</v>
      </c>
      <c r="AV195" s="277">
        <f t="shared" si="91"/>
        <v>5.6521671458405169</v>
      </c>
    </row>
    <row r="196" spans="2:48" ht="12.95" customHeight="1" x14ac:dyDescent="0.2">
      <c r="B196" s="14"/>
      <c r="C196" s="372">
        <v>22</v>
      </c>
      <c r="D196" s="372"/>
      <c r="E196" s="372"/>
      <c r="F196" s="253" t="s">
        <v>492</v>
      </c>
      <c r="G196" s="253" t="s">
        <v>395</v>
      </c>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f t="shared" ref="AC196:AV196" si="92">HLOOKUP(AC155,t_growth,4)</f>
        <v>17.4296431713258</v>
      </c>
      <c r="AD196" s="277">
        <f t="shared" si="92"/>
        <v>19.810566711342741</v>
      </c>
      <c r="AE196" s="277">
        <f t="shared" si="92"/>
        <v>22.267445799447479</v>
      </c>
      <c r="AF196" s="277">
        <f t="shared" si="92"/>
        <v>24.785131416603353</v>
      </c>
      <c r="AG196" s="277">
        <f t="shared" si="92"/>
        <v>27.349339112214277</v>
      </c>
      <c r="AH196" s="277">
        <f t="shared" si="92"/>
        <v>29.946730051786854</v>
      </c>
      <c r="AI196" s="277">
        <f t="shared" si="92"/>
        <v>32.564957457117195</v>
      </c>
      <c r="AJ196" s="277">
        <f t="shared" si="92"/>
        <v>35.192685692036868</v>
      </c>
      <c r="AK196" s="277">
        <f t="shared" si="92"/>
        <v>37.819587993197999</v>
      </c>
      <c r="AL196" s="277">
        <f t="shared" si="92"/>
        <v>40.436327790332221</v>
      </c>
      <c r="AM196" s="277">
        <f t="shared" si="92"/>
        <v>43.034527673896086</v>
      </c>
      <c r="AN196" s="277">
        <f t="shared" si="92"/>
        <v>45.606729324439719</v>
      </c>
      <c r="AO196" s="277">
        <f t="shared" si="92"/>
        <v>1.3801503036642727E-2</v>
      </c>
      <c r="AP196" s="277">
        <f t="shared" si="92"/>
        <v>0.10250810373022921</v>
      </c>
      <c r="AQ196" s="277">
        <f t="shared" si="92"/>
        <v>0.32140060564134304</v>
      </c>
      <c r="AR196" s="277">
        <f t="shared" si="92"/>
        <v>0.70819088008020181</v>
      </c>
      <c r="AS196" s="277">
        <f t="shared" si="92"/>
        <v>1.2865903014343147</v>
      </c>
      <c r="AT196" s="277">
        <f t="shared" si="92"/>
        <v>2.0692648651289542</v>
      </c>
      <c r="AU196" s="277">
        <f t="shared" si="92"/>
        <v>3.0602740346849182</v>
      </c>
      <c r="AV196" s="277">
        <f t="shared" si="92"/>
        <v>4.2570757029793187</v>
      </c>
    </row>
    <row r="197" spans="2:48" ht="12.95" customHeight="1" x14ac:dyDescent="0.2">
      <c r="B197" s="14"/>
      <c r="C197" s="372">
        <v>23</v>
      </c>
      <c r="D197" s="372"/>
      <c r="E197" s="372"/>
      <c r="F197" s="253" t="s">
        <v>492</v>
      </c>
      <c r="G197" s="253" t="s">
        <v>395</v>
      </c>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77">
        <f t="shared" ref="AD197:AV197" si="93">HLOOKUP(AD156,t_growth,4)</f>
        <v>17.4296431713258</v>
      </c>
      <c r="AE197" s="277">
        <f t="shared" si="93"/>
        <v>19.810566711342741</v>
      </c>
      <c r="AF197" s="277">
        <f t="shared" si="93"/>
        <v>22.267445799447479</v>
      </c>
      <c r="AG197" s="277">
        <f t="shared" si="93"/>
        <v>24.785131416603353</v>
      </c>
      <c r="AH197" s="277">
        <f t="shared" si="93"/>
        <v>27.349339112214277</v>
      </c>
      <c r="AI197" s="277">
        <f t="shared" si="93"/>
        <v>29.946730051786854</v>
      </c>
      <c r="AJ197" s="277">
        <f t="shared" si="93"/>
        <v>32.564957457117195</v>
      </c>
      <c r="AK197" s="277">
        <f t="shared" si="93"/>
        <v>35.192685692036868</v>
      </c>
      <c r="AL197" s="277">
        <f t="shared" si="93"/>
        <v>37.819587993197999</v>
      </c>
      <c r="AM197" s="277">
        <f t="shared" si="93"/>
        <v>40.436327790332221</v>
      </c>
      <c r="AN197" s="277">
        <f t="shared" si="93"/>
        <v>43.034527673896086</v>
      </c>
      <c r="AO197" s="277">
        <f t="shared" si="93"/>
        <v>45.606729324439719</v>
      </c>
      <c r="AP197" s="277">
        <f t="shared" si="93"/>
        <v>1.3801503036642727E-2</v>
      </c>
      <c r="AQ197" s="277">
        <f t="shared" si="93"/>
        <v>0.10250810373022921</v>
      </c>
      <c r="AR197" s="277">
        <f t="shared" si="93"/>
        <v>0.32140060564134304</v>
      </c>
      <c r="AS197" s="277">
        <f t="shared" si="93"/>
        <v>0.70819088008020181</v>
      </c>
      <c r="AT197" s="277">
        <f t="shared" si="93"/>
        <v>1.2865903014343147</v>
      </c>
      <c r="AU197" s="277">
        <f t="shared" si="93"/>
        <v>2.0692648651289542</v>
      </c>
      <c r="AV197" s="277">
        <f t="shared" si="93"/>
        <v>3.0602740346849182</v>
      </c>
    </row>
    <row r="198" spans="2:48" ht="12.95" customHeight="1" x14ac:dyDescent="0.2">
      <c r="B198" s="14"/>
      <c r="C198" s="372">
        <v>24</v>
      </c>
      <c r="D198" s="372"/>
      <c r="E198" s="372"/>
      <c r="F198" s="253" t="s">
        <v>492</v>
      </c>
      <c r="G198" s="253" t="s">
        <v>395</v>
      </c>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77"/>
      <c r="AE198" s="277">
        <f t="shared" ref="AE198:AV198" si="94">HLOOKUP(AE157,t_growth,4)</f>
        <v>17.4296431713258</v>
      </c>
      <c r="AF198" s="277">
        <f t="shared" si="94"/>
        <v>19.810566711342741</v>
      </c>
      <c r="AG198" s="277">
        <f t="shared" si="94"/>
        <v>22.267445799447479</v>
      </c>
      <c r="AH198" s="277">
        <f t="shared" si="94"/>
        <v>24.785131416603353</v>
      </c>
      <c r="AI198" s="277">
        <f t="shared" si="94"/>
        <v>27.349339112214277</v>
      </c>
      <c r="AJ198" s="277">
        <f t="shared" si="94"/>
        <v>29.946730051786854</v>
      </c>
      <c r="AK198" s="277">
        <f t="shared" si="94"/>
        <v>32.564957457117195</v>
      </c>
      <c r="AL198" s="277">
        <f t="shared" si="94"/>
        <v>35.192685692036868</v>
      </c>
      <c r="AM198" s="277">
        <f t="shared" si="94"/>
        <v>37.819587993197999</v>
      </c>
      <c r="AN198" s="277">
        <f t="shared" si="94"/>
        <v>40.436327790332221</v>
      </c>
      <c r="AO198" s="277">
        <f t="shared" si="94"/>
        <v>43.034527673896086</v>
      </c>
      <c r="AP198" s="277">
        <f t="shared" si="94"/>
        <v>45.606729324439719</v>
      </c>
      <c r="AQ198" s="277">
        <f t="shared" si="94"/>
        <v>1.3801503036642727E-2</v>
      </c>
      <c r="AR198" s="277">
        <f t="shared" si="94"/>
        <v>0.10250810373022921</v>
      </c>
      <c r="AS198" s="277">
        <f t="shared" si="94"/>
        <v>0.32140060564134304</v>
      </c>
      <c r="AT198" s="277">
        <f t="shared" si="94"/>
        <v>0.70819088008020181</v>
      </c>
      <c r="AU198" s="277">
        <f t="shared" si="94"/>
        <v>1.2865903014343147</v>
      </c>
      <c r="AV198" s="277">
        <f t="shared" si="94"/>
        <v>2.0692648651289542</v>
      </c>
    </row>
    <row r="199" spans="2:48" ht="12.95" customHeight="1" x14ac:dyDescent="0.2">
      <c r="B199" s="14"/>
      <c r="C199" s="372">
        <v>25</v>
      </c>
      <c r="D199" s="372"/>
      <c r="E199" s="372"/>
      <c r="F199" s="253" t="s">
        <v>492</v>
      </c>
      <c r="G199" s="253" t="s">
        <v>395</v>
      </c>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7"/>
      <c r="AD199" s="277"/>
      <c r="AE199" s="277"/>
      <c r="AF199" s="277">
        <f t="shared" ref="AF199:AV199" si="95">HLOOKUP(AF158,t_growth,4)</f>
        <v>17.4296431713258</v>
      </c>
      <c r="AG199" s="277">
        <f t="shared" si="95"/>
        <v>19.810566711342741</v>
      </c>
      <c r="AH199" s="277">
        <f t="shared" si="95"/>
        <v>22.267445799447479</v>
      </c>
      <c r="AI199" s="277">
        <f t="shared" si="95"/>
        <v>24.785131416603353</v>
      </c>
      <c r="AJ199" s="277">
        <f t="shared" si="95"/>
        <v>27.349339112214277</v>
      </c>
      <c r="AK199" s="277">
        <f t="shared" si="95"/>
        <v>29.946730051786854</v>
      </c>
      <c r="AL199" s="277">
        <f t="shared" si="95"/>
        <v>32.564957457117195</v>
      </c>
      <c r="AM199" s="277">
        <f t="shared" si="95"/>
        <v>35.192685692036868</v>
      </c>
      <c r="AN199" s="277">
        <f t="shared" si="95"/>
        <v>37.819587993197999</v>
      </c>
      <c r="AO199" s="277">
        <f t="shared" si="95"/>
        <v>40.436327790332221</v>
      </c>
      <c r="AP199" s="277">
        <f t="shared" si="95"/>
        <v>43.034527673896086</v>
      </c>
      <c r="AQ199" s="277">
        <f t="shared" si="95"/>
        <v>45.606729324439719</v>
      </c>
      <c r="AR199" s="277">
        <f t="shared" si="95"/>
        <v>1.3801503036642727E-2</v>
      </c>
      <c r="AS199" s="277">
        <f t="shared" si="95"/>
        <v>0.10250810373022921</v>
      </c>
      <c r="AT199" s="277">
        <f t="shared" si="95"/>
        <v>0.32140060564134304</v>
      </c>
      <c r="AU199" s="277">
        <f t="shared" si="95"/>
        <v>0.70819088008020181</v>
      </c>
      <c r="AV199" s="277">
        <f t="shared" si="95"/>
        <v>1.2865903014343147</v>
      </c>
    </row>
    <row r="200" spans="2:48" ht="12.95" customHeight="1" x14ac:dyDescent="0.2">
      <c r="B200" s="14"/>
      <c r="C200" s="372">
        <v>26</v>
      </c>
      <c r="D200" s="372"/>
      <c r="E200" s="372"/>
      <c r="F200" s="253" t="s">
        <v>492</v>
      </c>
      <c r="G200" s="253" t="s">
        <v>395</v>
      </c>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277"/>
      <c r="AE200" s="277"/>
      <c r="AF200" s="277"/>
      <c r="AG200" s="277">
        <f t="shared" ref="AG200:AV200" si="96">HLOOKUP(AG159,t_growth,4)</f>
        <v>17.4296431713258</v>
      </c>
      <c r="AH200" s="277">
        <f t="shared" si="96"/>
        <v>19.810566711342741</v>
      </c>
      <c r="AI200" s="277">
        <f t="shared" si="96"/>
        <v>22.267445799447479</v>
      </c>
      <c r="AJ200" s="277">
        <f t="shared" si="96"/>
        <v>24.785131416603353</v>
      </c>
      <c r="AK200" s="277">
        <f t="shared" si="96"/>
        <v>27.349339112214277</v>
      </c>
      <c r="AL200" s="277">
        <f t="shared" si="96"/>
        <v>29.946730051786854</v>
      </c>
      <c r="AM200" s="277">
        <f t="shared" si="96"/>
        <v>32.564957457117195</v>
      </c>
      <c r="AN200" s="277">
        <f t="shared" si="96"/>
        <v>35.192685692036868</v>
      </c>
      <c r="AO200" s="277">
        <f t="shared" si="96"/>
        <v>37.819587993197999</v>
      </c>
      <c r="AP200" s="277">
        <f t="shared" si="96"/>
        <v>40.436327790332221</v>
      </c>
      <c r="AQ200" s="277">
        <f t="shared" si="96"/>
        <v>43.034527673896086</v>
      </c>
      <c r="AR200" s="277">
        <f t="shared" si="96"/>
        <v>45.606729324439719</v>
      </c>
      <c r="AS200" s="277">
        <f t="shared" si="96"/>
        <v>1.3801503036642727E-2</v>
      </c>
      <c r="AT200" s="277">
        <f t="shared" si="96"/>
        <v>0.10250810373022921</v>
      </c>
      <c r="AU200" s="277">
        <f t="shared" si="96"/>
        <v>0.32140060564134304</v>
      </c>
      <c r="AV200" s="277">
        <f t="shared" si="96"/>
        <v>0.70819088008020181</v>
      </c>
    </row>
    <row r="201" spans="2:48" ht="12.95" customHeight="1" x14ac:dyDescent="0.2">
      <c r="B201" s="14"/>
      <c r="C201" s="372">
        <v>27</v>
      </c>
      <c r="D201" s="372"/>
      <c r="E201" s="372"/>
      <c r="F201" s="253" t="s">
        <v>492</v>
      </c>
      <c r="G201" s="253" t="s">
        <v>395</v>
      </c>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277"/>
      <c r="AE201" s="277"/>
      <c r="AF201" s="277"/>
      <c r="AG201" s="277"/>
      <c r="AH201" s="277">
        <f t="shared" ref="AH201:AV201" si="97">HLOOKUP(AH160,t_growth,4)</f>
        <v>0</v>
      </c>
      <c r="AI201" s="277">
        <f t="shared" si="97"/>
        <v>0</v>
      </c>
      <c r="AJ201" s="277">
        <f t="shared" si="97"/>
        <v>0</v>
      </c>
      <c r="AK201" s="277">
        <f t="shared" si="97"/>
        <v>0</v>
      </c>
      <c r="AL201" s="277">
        <f t="shared" si="97"/>
        <v>0</v>
      </c>
      <c r="AM201" s="277">
        <f t="shared" si="97"/>
        <v>0</v>
      </c>
      <c r="AN201" s="277">
        <f t="shared" si="97"/>
        <v>0</v>
      </c>
      <c r="AO201" s="277">
        <f t="shared" si="97"/>
        <v>0</v>
      </c>
      <c r="AP201" s="277">
        <f t="shared" si="97"/>
        <v>0</v>
      </c>
      <c r="AQ201" s="277">
        <f t="shared" si="97"/>
        <v>0</v>
      </c>
      <c r="AR201" s="277">
        <f t="shared" si="97"/>
        <v>0</v>
      </c>
      <c r="AS201" s="277">
        <f t="shared" si="97"/>
        <v>0</v>
      </c>
      <c r="AT201" s="277">
        <f t="shared" si="97"/>
        <v>0</v>
      </c>
      <c r="AU201" s="277">
        <f t="shared" si="97"/>
        <v>0</v>
      </c>
      <c r="AV201" s="277">
        <f t="shared" si="97"/>
        <v>0</v>
      </c>
    </row>
    <row r="202" spans="2:48" ht="12.95" customHeight="1" x14ac:dyDescent="0.2">
      <c r="B202" s="14"/>
      <c r="C202" s="372">
        <v>28</v>
      </c>
      <c r="D202" s="372"/>
      <c r="E202" s="372"/>
      <c r="F202" s="253" t="s">
        <v>492</v>
      </c>
      <c r="G202" s="253" t="s">
        <v>395</v>
      </c>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77"/>
      <c r="AE202" s="277"/>
      <c r="AF202" s="277"/>
      <c r="AG202" s="277"/>
      <c r="AH202" s="277"/>
      <c r="AI202" s="277">
        <f t="shared" ref="AI202:AV202" si="98">HLOOKUP(AI161,t_growth,4)</f>
        <v>0</v>
      </c>
      <c r="AJ202" s="277">
        <f t="shared" si="98"/>
        <v>0</v>
      </c>
      <c r="AK202" s="277">
        <f t="shared" si="98"/>
        <v>0</v>
      </c>
      <c r="AL202" s="277">
        <f t="shared" si="98"/>
        <v>0</v>
      </c>
      <c r="AM202" s="277">
        <f t="shared" si="98"/>
        <v>0</v>
      </c>
      <c r="AN202" s="277">
        <f t="shared" si="98"/>
        <v>0</v>
      </c>
      <c r="AO202" s="277">
        <f t="shared" si="98"/>
        <v>0</v>
      </c>
      <c r="AP202" s="277">
        <f t="shared" si="98"/>
        <v>0</v>
      </c>
      <c r="AQ202" s="277">
        <f t="shared" si="98"/>
        <v>0</v>
      </c>
      <c r="AR202" s="277">
        <f t="shared" si="98"/>
        <v>0</v>
      </c>
      <c r="AS202" s="277">
        <f t="shared" si="98"/>
        <v>0</v>
      </c>
      <c r="AT202" s="277">
        <f t="shared" si="98"/>
        <v>0</v>
      </c>
      <c r="AU202" s="277">
        <f t="shared" si="98"/>
        <v>0</v>
      </c>
      <c r="AV202" s="277">
        <f t="shared" si="98"/>
        <v>0</v>
      </c>
    </row>
    <row r="203" spans="2:48" ht="12.95" customHeight="1" x14ac:dyDescent="0.2">
      <c r="B203" s="14"/>
      <c r="C203" s="372">
        <v>29</v>
      </c>
      <c r="D203" s="372"/>
      <c r="E203" s="372"/>
      <c r="F203" s="253" t="s">
        <v>492</v>
      </c>
      <c r="G203" s="253" t="s">
        <v>395</v>
      </c>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77"/>
      <c r="AE203" s="277"/>
      <c r="AF203" s="277"/>
      <c r="AG203" s="277"/>
      <c r="AH203" s="277"/>
      <c r="AI203" s="277"/>
      <c r="AJ203" s="277">
        <f t="shared" ref="AJ203:AV203" si="99">HLOOKUP(AJ162,t_growth,4)</f>
        <v>0</v>
      </c>
      <c r="AK203" s="277">
        <f t="shared" si="99"/>
        <v>0</v>
      </c>
      <c r="AL203" s="277">
        <f t="shared" si="99"/>
        <v>0</v>
      </c>
      <c r="AM203" s="277">
        <f t="shared" si="99"/>
        <v>0</v>
      </c>
      <c r="AN203" s="277">
        <f t="shared" si="99"/>
        <v>0</v>
      </c>
      <c r="AO203" s="277">
        <f t="shared" si="99"/>
        <v>0</v>
      </c>
      <c r="AP203" s="277">
        <f t="shared" si="99"/>
        <v>0</v>
      </c>
      <c r="AQ203" s="277">
        <f t="shared" si="99"/>
        <v>0</v>
      </c>
      <c r="AR203" s="277">
        <f t="shared" si="99"/>
        <v>0</v>
      </c>
      <c r="AS203" s="277">
        <f t="shared" si="99"/>
        <v>0</v>
      </c>
      <c r="AT203" s="277">
        <f t="shared" si="99"/>
        <v>0</v>
      </c>
      <c r="AU203" s="277">
        <f t="shared" si="99"/>
        <v>0</v>
      </c>
      <c r="AV203" s="277">
        <f t="shared" si="99"/>
        <v>0</v>
      </c>
    </row>
    <row r="204" spans="2:48" ht="12.95" customHeight="1" x14ac:dyDescent="0.2">
      <c r="B204" s="14"/>
      <c r="C204" s="372">
        <v>30</v>
      </c>
      <c r="D204" s="372"/>
      <c r="E204" s="372"/>
      <c r="F204" s="253" t="s">
        <v>492</v>
      </c>
      <c r="G204" s="253" t="s">
        <v>395</v>
      </c>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77"/>
      <c r="AE204" s="277"/>
      <c r="AF204" s="277"/>
      <c r="AG204" s="277"/>
      <c r="AH204" s="277"/>
      <c r="AI204" s="277"/>
      <c r="AJ204" s="277"/>
      <c r="AK204" s="277">
        <f t="shared" ref="AK204:AV204" si="100">HLOOKUP(AK163,t_growth,4)</f>
        <v>0</v>
      </c>
      <c r="AL204" s="277">
        <f t="shared" si="100"/>
        <v>0</v>
      </c>
      <c r="AM204" s="277">
        <f t="shared" si="100"/>
        <v>0</v>
      </c>
      <c r="AN204" s="277">
        <f t="shared" si="100"/>
        <v>0</v>
      </c>
      <c r="AO204" s="277">
        <f t="shared" si="100"/>
        <v>0</v>
      </c>
      <c r="AP204" s="277">
        <f t="shared" si="100"/>
        <v>0</v>
      </c>
      <c r="AQ204" s="277">
        <f t="shared" si="100"/>
        <v>0</v>
      </c>
      <c r="AR204" s="277">
        <f t="shared" si="100"/>
        <v>0</v>
      </c>
      <c r="AS204" s="277">
        <f t="shared" si="100"/>
        <v>0</v>
      </c>
      <c r="AT204" s="277">
        <f t="shared" si="100"/>
        <v>0</v>
      </c>
      <c r="AU204" s="277">
        <f t="shared" si="100"/>
        <v>0</v>
      </c>
      <c r="AV204" s="277">
        <f t="shared" si="100"/>
        <v>0</v>
      </c>
    </row>
    <row r="205" spans="2:48" ht="12.95" customHeight="1" x14ac:dyDescent="0.2">
      <c r="B205" s="14"/>
      <c r="C205" s="372">
        <v>31</v>
      </c>
      <c r="D205" s="372"/>
      <c r="E205" s="372"/>
      <c r="F205" s="253" t="s">
        <v>492</v>
      </c>
      <c r="G205" s="253" t="s">
        <v>395</v>
      </c>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77"/>
      <c r="AE205" s="277"/>
      <c r="AF205" s="277"/>
      <c r="AG205" s="277"/>
      <c r="AH205" s="277"/>
      <c r="AI205" s="277"/>
      <c r="AJ205" s="277"/>
      <c r="AK205" s="277"/>
      <c r="AL205" s="277">
        <f t="shared" ref="AL205:AV205" si="101">HLOOKUP(AL164,t_growth,4)</f>
        <v>0</v>
      </c>
      <c r="AM205" s="277">
        <f t="shared" si="101"/>
        <v>0</v>
      </c>
      <c r="AN205" s="277">
        <f t="shared" si="101"/>
        <v>0</v>
      </c>
      <c r="AO205" s="277">
        <f t="shared" si="101"/>
        <v>0</v>
      </c>
      <c r="AP205" s="277">
        <f t="shared" si="101"/>
        <v>0</v>
      </c>
      <c r="AQ205" s="277">
        <f t="shared" si="101"/>
        <v>0</v>
      </c>
      <c r="AR205" s="277">
        <f t="shared" si="101"/>
        <v>0</v>
      </c>
      <c r="AS205" s="277">
        <f t="shared" si="101"/>
        <v>0</v>
      </c>
      <c r="AT205" s="277">
        <f t="shared" si="101"/>
        <v>0</v>
      </c>
      <c r="AU205" s="277">
        <f t="shared" si="101"/>
        <v>0</v>
      </c>
      <c r="AV205" s="277">
        <f t="shared" si="101"/>
        <v>0</v>
      </c>
    </row>
    <row r="206" spans="2:48" ht="12.95" customHeight="1" x14ac:dyDescent="0.2">
      <c r="B206" s="14"/>
      <c r="C206" s="372">
        <v>32</v>
      </c>
      <c r="D206" s="372"/>
      <c r="E206" s="372"/>
      <c r="F206" s="253" t="s">
        <v>492</v>
      </c>
      <c r="G206" s="253" t="s">
        <v>395</v>
      </c>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77"/>
      <c r="AE206" s="277"/>
      <c r="AF206" s="277"/>
      <c r="AG206" s="277"/>
      <c r="AH206" s="277"/>
      <c r="AI206" s="277"/>
      <c r="AJ206" s="277"/>
      <c r="AK206" s="277"/>
      <c r="AL206" s="277"/>
      <c r="AM206" s="277">
        <f t="shared" ref="AM206:AV206" si="102">HLOOKUP(AM165,t_growth,4)</f>
        <v>0</v>
      </c>
      <c r="AN206" s="277">
        <f t="shared" si="102"/>
        <v>0</v>
      </c>
      <c r="AO206" s="277">
        <f t="shared" si="102"/>
        <v>0</v>
      </c>
      <c r="AP206" s="277">
        <f t="shared" si="102"/>
        <v>0</v>
      </c>
      <c r="AQ206" s="277">
        <f t="shared" si="102"/>
        <v>0</v>
      </c>
      <c r="AR206" s="277">
        <f t="shared" si="102"/>
        <v>0</v>
      </c>
      <c r="AS206" s="277">
        <f t="shared" si="102"/>
        <v>0</v>
      </c>
      <c r="AT206" s="277">
        <f t="shared" si="102"/>
        <v>0</v>
      </c>
      <c r="AU206" s="277">
        <f t="shared" si="102"/>
        <v>0</v>
      </c>
      <c r="AV206" s="277">
        <f t="shared" si="102"/>
        <v>0</v>
      </c>
    </row>
    <row r="207" spans="2:48" ht="12.95" customHeight="1" x14ac:dyDescent="0.2">
      <c r="B207" s="14"/>
      <c r="C207" s="372">
        <v>33</v>
      </c>
      <c r="D207" s="372"/>
      <c r="E207" s="372"/>
      <c r="F207" s="253" t="s">
        <v>492</v>
      </c>
      <c r="G207" s="253" t="s">
        <v>395</v>
      </c>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277"/>
      <c r="AF207" s="277"/>
      <c r="AG207" s="277"/>
      <c r="AH207" s="277"/>
      <c r="AI207" s="277"/>
      <c r="AJ207" s="277"/>
      <c r="AK207" s="277"/>
      <c r="AL207" s="277"/>
      <c r="AM207" s="277"/>
      <c r="AN207" s="277">
        <f t="shared" ref="AN207:AV207" si="103">HLOOKUP(AN166,t_growth,4)</f>
        <v>0</v>
      </c>
      <c r="AO207" s="277">
        <f t="shared" si="103"/>
        <v>0</v>
      </c>
      <c r="AP207" s="277">
        <f t="shared" si="103"/>
        <v>0</v>
      </c>
      <c r="AQ207" s="277">
        <f t="shared" si="103"/>
        <v>0</v>
      </c>
      <c r="AR207" s="277">
        <f t="shared" si="103"/>
        <v>0</v>
      </c>
      <c r="AS207" s="277">
        <f t="shared" si="103"/>
        <v>0</v>
      </c>
      <c r="AT207" s="277">
        <f t="shared" si="103"/>
        <v>0</v>
      </c>
      <c r="AU207" s="277">
        <f t="shared" si="103"/>
        <v>0</v>
      </c>
      <c r="AV207" s="277">
        <f t="shared" si="103"/>
        <v>0</v>
      </c>
    </row>
    <row r="208" spans="2:48" ht="12.95" customHeight="1" x14ac:dyDescent="0.2">
      <c r="B208" s="14"/>
      <c r="C208" s="372">
        <v>34</v>
      </c>
      <c r="D208" s="372"/>
      <c r="E208" s="372"/>
      <c r="F208" s="253" t="s">
        <v>492</v>
      </c>
      <c r="G208" s="253" t="s">
        <v>395</v>
      </c>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77"/>
      <c r="AE208" s="277"/>
      <c r="AF208" s="277"/>
      <c r="AG208" s="277"/>
      <c r="AH208" s="277"/>
      <c r="AI208" s="277"/>
      <c r="AJ208" s="277"/>
      <c r="AK208" s="277"/>
      <c r="AL208" s="277"/>
      <c r="AM208" s="277"/>
      <c r="AN208" s="277"/>
      <c r="AO208" s="277">
        <f t="shared" ref="AO208:AV208" si="104">HLOOKUP(AO167,t_growth,4)</f>
        <v>0</v>
      </c>
      <c r="AP208" s="277">
        <f t="shared" si="104"/>
        <v>0</v>
      </c>
      <c r="AQ208" s="277">
        <f t="shared" si="104"/>
        <v>0</v>
      </c>
      <c r="AR208" s="277">
        <f t="shared" si="104"/>
        <v>0</v>
      </c>
      <c r="AS208" s="277">
        <f t="shared" si="104"/>
        <v>0</v>
      </c>
      <c r="AT208" s="277">
        <f t="shared" si="104"/>
        <v>0</v>
      </c>
      <c r="AU208" s="277">
        <f t="shared" si="104"/>
        <v>0</v>
      </c>
      <c r="AV208" s="277">
        <f t="shared" si="104"/>
        <v>0</v>
      </c>
    </row>
    <row r="209" spans="2:48" ht="12.95" customHeight="1" x14ac:dyDescent="0.2">
      <c r="B209" s="14"/>
      <c r="C209" s="372">
        <v>35</v>
      </c>
      <c r="D209" s="372"/>
      <c r="E209" s="372"/>
      <c r="F209" s="253" t="s">
        <v>492</v>
      </c>
      <c r="G209" s="253" t="s">
        <v>395</v>
      </c>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77"/>
      <c r="AE209" s="277"/>
      <c r="AF209" s="277"/>
      <c r="AG209" s="277"/>
      <c r="AH209" s="277"/>
      <c r="AI209" s="277"/>
      <c r="AJ209" s="277"/>
      <c r="AK209" s="277"/>
      <c r="AL209" s="277"/>
      <c r="AM209" s="277"/>
      <c r="AN209" s="277"/>
      <c r="AO209" s="277"/>
      <c r="AP209" s="277">
        <f t="shared" ref="AP209:AV209" si="105">HLOOKUP(AP168,t_growth,4)</f>
        <v>0</v>
      </c>
      <c r="AQ209" s="277">
        <f t="shared" si="105"/>
        <v>0</v>
      </c>
      <c r="AR209" s="277">
        <f t="shared" si="105"/>
        <v>0</v>
      </c>
      <c r="AS209" s="277">
        <f t="shared" si="105"/>
        <v>0</v>
      </c>
      <c r="AT209" s="277">
        <f t="shared" si="105"/>
        <v>0</v>
      </c>
      <c r="AU209" s="277">
        <f t="shared" si="105"/>
        <v>0</v>
      </c>
      <c r="AV209" s="277">
        <f t="shared" si="105"/>
        <v>0</v>
      </c>
    </row>
    <row r="210" spans="2:48" ht="12.95" customHeight="1" x14ac:dyDescent="0.2">
      <c r="B210" s="14"/>
      <c r="C210" s="372">
        <v>36</v>
      </c>
      <c r="D210" s="372"/>
      <c r="E210" s="372"/>
      <c r="F210" s="253" t="s">
        <v>492</v>
      </c>
      <c r="G210" s="253" t="s">
        <v>395</v>
      </c>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77"/>
      <c r="AE210" s="277"/>
      <c r="AF210" s="277"/>
      <c r="AG210" s="277"/>
      <c r="AH210" s="277"/>
      <c r="AI210" s="277"/>
      <c r="AJ210" s="277"/>
      <c r="AK210" s="277"/>
      <c r="AL210" s="277"/>
      <c r="AM210" s="277"/>
      <c r="AN210" s="277"/>
      <c r="AO210" s="277"/>
      <c r="AP210" s="277"/>
      <c r="AQ210" s="277">
        <f t="shared" ref="AQ210:AV210" si="106">HLOOKUP(AQ169,t_growth,4)</f>
        <v>0</v>
      </c>
      <c r="AR210" s="277">
        <f t="shared" si="106"/>
        <v>0</v>
      </c>
      <c r="AS210" s="277">
        <f t="shared" si="106"/>
        <v>0</v>
      </c>
      <c r="AT210" s="277">
        <f t="shared" si="106"/>
        <v>0</v>
      </c>
      <c r="AU210" s="277">
        <f t="shared" si="106"/>
        <v>0</v>
      </c>
      <c r="AV210" s="277">
        <f t="shared" si="106"/>
        <v>0</v>
      </c>
    </row>
    <row r="211" spans="2:48" ht="12.95" customHeight="1" x14ac:dyDescent="0.2">
      <c r="B211" s="14"/>
      <c r="C211" s="372">
        <v>37</v>
      </c>
      <c r="D211" s="372"/>
      <c r="E211" s="372"/>
      <c r="F211" s="253" t="s">
        <v>492</v>
      </c>
      <c r="G211" s="253" t="s">
        <v>395</v>
      </c>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277"/>
      <c r="AE211" s="277"/>
      <c r="AF211" s="277"/>
      <c r="AG211" s="277"/>
      <c r="AH211" s="277"/>
      <c r="AI211" s="277"/>
      <c r="AJ211" s="277"/>
      <c r="AK211" s="277"/>
      <c r="AL211" s="277"/>
      <c r="AM211" s="277"/>
      <c r="AN211" s="277"/>
      <c r="AO211" s="277"/>
      <c r="AP211" s="277"/>
      <c r="AQ211" s="277"/>
      <c r="AR211" s="277">
        <f>HLOOKUP(AR170,t_growth,4)</f>
        <v>0</v>
      </c>
      <c r="AS211" s="277">
        <f>HLOOKUP(AS170,t_growth,4)</f>
        <v>0</v>
      </c>
      <c r="AT211" s="277">
        <f>HLOOKUP(AT170,t_growth,4)</f>
        <v>0</v>
      </c>
      <c r="AU211" s="277">
        <f>HLOOKUP(AU170,t_growth,4)</f>
        <v>0</v>
      </c>
      <c r="AV211" s="277">
        <f>HLOOKUP(AV170,t_growth,4)</f>
        <v>0</v>
      </c>
    </row>
    <row r="212" spans="2:48" ht="12.95" customHeight="1" x14ac:dyDescent="0.2">
      <c r="B212" s="14"/>
      <c r="C212" s="372">
        <v>38</v>
      </c>
      <c r="D212" s="372"/>
      <c r="E212" s="372"/>
      <c r="F212" s="253" t="s">
        <v>492</v>
      </c>
      <c r="G212" s="253" t="s">
        <v>395</v>
      </c>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277"/>
      <c r="AE212" s="277"/>
      <c r="AF212" s="277"/>
      <c r="AG212" s="277"/>
      <c r="AH212" s="277"/>
      <c r="AI212" s="277"/>
      <c r="AJ212" s="277"/>
      <c r="AK212" s="277"/>
      <c r="AL212" s="277"/>
      <c r="AM212" s="277"/>
      <c r="AN212" s="277"/>
      <c r="AO212" s="277"/>
      <c r="AP212" s="277"/>
      <c r="AQ212" s="277"/>
      <c r="AR212" s="277"/>
      <c r="AS212" s="277">
        <f>HLOOKUP(AS171,t_growth,4)</f>
        <v>0</v>
      </c>
      <c r="AT212" s="277">
        <f>HLOOKUP(AT171,t_growth,4)</f>
        <v>0</v>
      </c>
      <c r="AU212" s="277">
        <f>HLOOKUP(AU171,t_growth,4)</f>
        <v>0</v>
      </c>
      <c r="AV212" s="277">
        <f>HLOOKUP(AV171,t_growth,4)</f>
        <v>0</v>
      </c>
    </row>
    <row r="213" spans="2:48" ht="12.95" customHeight="1" x14ac:dyDescent="0.2">
      <c r="B213" s="14"/>
      <c r="C213" s="372">
        <v>39</v>
      </c>
      <c r="D213" s="372"/>
      <c r="E213" s="372"/>
      <c r="F213" s="253" t="s">
        <v>492</v>
      </c>
      <c r="G213" s="253" t="s">
        <v>395</v>
      </c>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77"/>
      <c r="AE213" s="277"/>
      <c r="AF213" s="277"/>
      <c r="AG213" s="277"/>
      <c r="AH213" s="277"/>
      <c r="AI213" s="277"/>
      <c r="AJ213" s="277"/>
      <c r="AK213" s="277"/>
      <c r="AL213" s="277"/>
      <c r="AM213" s="277"/>
      <c r="AN213" s="277"/>
      <c r="AO213" s="277"/>
      <c r="AP213" s="277"/>
      <c r="AQ213" s="277"/>
      <c r="AR213" s="277"/>
      <c r="AS213" s="277"/>
      <c r="AT213" s="277">
        <f>HLOOKUP(AT172,t_growth,4)</f>
        <v>0</v>
      </c>
      <c r="AU213" s="277">
        <f>HLOOKUP(AU172,t_growth,4)</f>
        <v>0</v>
      </c>
      <c r="AV213" s="277">
        <f>HLOOKUP(AV172,t_growth,4)</f>
        <v>0</v>
      </c>
    </row>
    <row r="214" spans="2:48" ht="12.95" customHeight="1" x14ac:dyDescent="0.2">
      <c r="B214" s="14"/>
      <c r="C214" s="372">
        <v>40</v>
      </c>
      <c r="D214" s="372"/>
      <c r="E214" s="372"/>
      <c r="F214" s="253" t="s">
        <v>492</v>
      </c>
      <c r="G214" s="253" t="s">
        <v>395</v>
      </c>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277"/>
      <c r="AF214" s="277"/>
      <c r="AG214" s="277"/>
      <c r="AH214" s="277"/>
      <c r="AI214" s="277"/>
      <c r="AJ214" s="277"/>
      <c r="AK214" s="277"/>
      <c r="AL214" s="277"/>
      <c r="AM214" s="277"/>
      <c r="AN214" s="277"/>
      <c r="AO214" s="277"/>
      <c r="AP214" s="277"/>
      <c r="AQ214" s="277"/>
      <c r="AR214" s="277"/>
      <c r="AS214" s="277"/>
      <c r="AT214" s="277"/>
      <c r="AU214" s="277">
        <f>HLOOKUP(AU173,t_growth,4)</f>
        <v>0</v>
      </c>
      <c r="AV214" s="277">
        <f>HLOOKUP(AV173,t_growth,4)</f>
        <v>0</v>
      </c>
    </row>
    <row r="215" spans="2:48" ht="12.95" customHeight="1" x14ac:dyDescent="0.2">
      <c r="B215" s="253" t="s">
        <v>899</v>
      </c>
      <c r="F215" s="253" t="s">
        <v>492</v>
      </c>
      <c r="G215" s="253" t="s">
        <v>4</v>
      </c>
      <c r="I215" s="124">
        <f>MAX(I134-THIN!$F$9,0)</f>
        <v>1</v>
      </c>
      <c r="J215" s="124">
        <f>MAX(J134-THIN!$F$9,0)</f>
        <v>2</v>
      </c>
      <c r="K215" s="124">
        <f>MAX(K134-THIN!$F$9,0)</f>
        <v>3</v>
      </c>
      <c r="L215" s="124">
        <f>MAX(L134-THIN!$F$9,0)</f>
        <v>4</v>
      </c>
      <c r="M215" s="124">
        <f>MAX(M134-THIN!$F$9,0)</f>
        <v>5</v>
      </c>
      <c r="N215" s="124">
        <f>MAX(N134-THIN!$F$9,0)</f>
        <v>6</v>
      </c>
      <c r="O215" s="124">
        <f>MAX(O134-THIN!$F$9,0)</f>
        <v>7</v>
      </c>
      <c r="P215" s="124">
        <f>MAX(P134-THIN!$F$9,0)</f>
        <v>8</v>
      </c>
      <c r="Q215" s="124">
        <f>MAX(Q134-THIN!$F$9,0)</f>
        <v>9</v>
      </c>
      <c r="R215" s="124">
        <f>MAX(R134-THIN!$F$9,0)</f>
        <v>10</v>
      </c>
      <c r="S215" s="124">
        <f>MAX(S134-THIN!$F$9,0)</f>
        <v>11</v>
      </c>
      <c r="T215" s="124">
        <f>MAX(T134-THIN!$F$9,0)</f>
        <v>0</v>
      </c>
      <c r="U215" s="124">
        <f>MAX(U134-THIN!$F$9,0)</f>
        <v>0</v>
      </c>
      <c r="V215" s="124">
        <f>MAX(V134-THIN!$F$9,0)</f>
        <v>0</v>
      </c>
      <c r="W215" s="124">
        <f>MAX(W134-THIN!$F$9,0)</f>
        <v>0</v>
      </c>
      <c r="X215" s="124">
        <f>MAX(X134-THIN!$F$9,0)</f>
        <v>0</v>
      </c>
      <c r="Y215" s="124">
        <f>MAX(Y134-THIN!$F$9,0)</f>
        <v>0</v>
      </c>
      <c r="Z215" s="124">
        <f>MAX(Z134-THIN!$F$9,0)</f>
        <v>0</v>
      </c>
      <c r="AA215" s="124">
        <f>MAX(AA134-THIN!$F$9,0)</f>
        <v>0</v>
      </c>
      <c r="AB215" s="124">
        <f>MAX(AB134-THIN!$F$9,0)</f>
        <v>0</v>
      </c>
      <c r="AC215" s="124">
        <f>MAX(AC134-THIN!$F$9,0)</f>
        <v>0</v>
      </c>
      <c r="AD215" s="124">
        <f>MAX(AD134-THIN!$F$9,0)</f>
        <v>0</v>
      </c>
      <c r="AE215" s="124">
        <f>MAX(AE134-THIN!$F$9,0)</f>
        <v>0</v>
      </c>
      <c r="AF215" s="124">
        <f>MAX(AF134-THIN!$F$9,0)</f>
        <v>0</v>
      </c>
      <c r="AG215" s="124">
        <f>MAX(AG134-THIN!$F$9,0)</f>
        <v>0</v>
      </c>
      <c r="AH215" s="124">
        <f>MAX(AH134-THIN!$F$9,0)</f>
        <v>0</v>
      </c>
      <c r="AI215" s="124">
        <f>MAX(AI134-THIN!$F$9,0)</f>
        <v>1</v>
      </c>
      <c r="AJ215" s="124">
        <f>MAX(AJ134-THIN!$F$9,0)</f>
        <v>2</v>
      </c>
      <c r="AK215" s="124">
        <f>MAX(AK134-THIN!$F$9,0)</f>
        <v>3</v>
      </c>
      <c r="AL215" s="124">
        <f>MAX(AL134-THIN!$F$9,0)</f>
        <v>4</v>
      </c>
      <c r="AM215" s="124">
        <f>MAX(AM134-THIN!$F$9,0)</f>
        <v>5</v>
      </c>
      <c r="AN215" s="124">
        <f>MAX(AN134-THIN!$F$9,0)</f>
        <v>6</v>
      </c>
      <c r="AO215" s="124">
        <f>MAX(AO134-THIN!$F$9,0)</f>
        <v>7</v>
      </c>
      <c r="AP215" s="124">
        <f>MAX(AP134-THIN!$F$9,0)</f>
        <v>8</v>
      </c>
      <c r="AQ215" s="124">
        <f>MAX(AQ134-THIN!$F$9,0)</f>
        <v>9</v>
      </c>
      <c r="AR215" s="124">
        <f>MAX(AR134-THIN!$F$9,0)</f>
        <v>10</v>
      </c>
      <c r="AS215" s="124">
        <f>MAX(AS134-THIN!$F$9,0)</f>
        <v>11</v>
      </c>
      <c r="AT215" s="124">
        <f>MAX(AT134-THIN!$F$9,0)</f>
        <v>0</v>
      </c>
      <c r="AU215" s="124">
        <f>MAX(AU134-THIN!$F$9,0)</f>
        <v>0</v>
      </c>
      <c r="AV215" s="124">
        <f>MAX(AV134-THIN!$F$9,0)</f>
        <v>0</v>
      </c>
    </row>
    <row r="216" spans="2:48" ht="12.95" customHeight="1" x14ac:dyDescent="0.2">
      <c r="B216" s="253" t="s">
        <v>857</v>
      </c>
      <c r="G216" s="250"/>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row>
    <row r="217" spans="2:48" ht="12.95" customHeight="1" x14ac:dyDescent="0.2">
      <c r="C217" s="253" t="s">
        <v>858</v>
      </c>
      <c r="F217" s="253" t="s">
        <v>494</v>
      </c>
      <c r="G217" s="124"/>
      <c r="H217" s="147"/>
      <c r="I217" s="147">
        <f>IF(I$215&gt;0,THIN!$F$36*EXP(-THIN!$F$14*I$215),0)</f>
        <v>0.31022834432391738</v>
      </c>
      <c r="J217" s="147">
        <f>IF(J$215&gt;0,THIN!$F$36*EXP(-THIN!$F$14*J$215),0)</f>
        <v>0.27986535735311735</v>
      </c>
      <c r="K217" s="147">
        <f>IF(K$215&gt;0,THIN!$F$36*EXP(-THIN!$F$14*K$215),0)</f>
        <v>0.25247408781129083</v>
      </c>
      <c r="L217" s="147">
        <f>IF(L$215&gt;0,THIN!$F$36*EXP(-THIN!$F$14*L$215),0)</f>
        <v>0.22776368471970646</v>
      </c>
      <c r="M217" s="147">
        <f>IF(M$215&gt;0,THIN!$F$36*EXP(-THIN!$F$14*M$215),0)</f>
        <v>0.20547176356518707</v>
      </c>
      <c r="N217" s="147">
        <f>IF(N$215&gt;0,THIN!$F$36*EXP(-THIN!$F$14*N$215),0)</f>
        <v>0.18536162020097194</v>
      </c>
      <c r="O217" s="147">
        <f>IF(O$215&gt;0,THIN!$F$36*EXP(-THIN!$F$14*O$215),0)</f>
        <v>0.16721971743153316</v>
      </c>
      <c r="P217" s="147">
        <f>IF(P$215&gt;0,THIN!$F$36*EXP(-THIN!$F$14*P$215),0)</f>
        <v>0.15085341759294338</v>
      </c>
      <c r="Q217" s="147">
        <f>IF(Q$215&gt;0,THIN!$F$36*EXP(-THIN!$F$14*Q$215),0)</f>
        <v>0.13608893705246536</v>
      </c>
      <c r="R217" s="147">
        <f>IF(R$215&gt;0,THIN!$F$36*EXP(-THIN!$F$14*R$215),0)</f>
        <v>0.12276950090745718</v>
      </c>
      <c r="S217" s="147">
        <f>IF(S$215&gt;0,THIN!$F$36*EXP(-THIN!$F$14*S$215),0)</f>
        <v>0.11075367828948064</v>
      </c>
      <c r="T217" s="147">
        <f>IF(T$215&gt;0,THIN!$F$36*EXP(-THIN!$F$14*T$215),0)</f>
        <v>0</v>
      </c>
      <c r="U217" s="147">
        <f>IF(U$215&gt;0,THIN!$F$36*EXP(-THIN!$F$14*U$215),0)</f>
        <v>0</v>
      </c>
      <c r="V217" s="147">
        <f>IF(V$215&gt;0,THIN!$F$36*EXP(-THIN!$F$14*V$215),0)</f>
        <v>0</v>
      </c>
      <c r="W217" s="147">
        <f>IF(W$215&gt;0,THIN!$F$36*EXP(-THIN!$F$14*W$215),0)</f>
        <v>0</v>
      </c>
      <c r="X217" s="147">
        <f>IF(X$215&gt;0,THIN!$F$36*EXP(-THIN!$F$14*X$215),0)</f>
        <v>0</v>
      </c>
      <c r="Y217" s="147">
        <f>IF(Y$215&gt;0,THIN!$F$36*EXP(-THIN!$F$14*Y$215),0)</f>
        <v>0</v>
      </c>
      <c r="Z217" s="147">
        <f>IF(Z$215&gt;0,THIN!$F$36*EXP(-THIN!$F$14*Z$215),0)</f>
        <v>0</v>
      </c>
      <c r="AA217" s="147">
        <f>IF(AA$215&gt;0,THIN!$F$36*EXP(-THIN!$F$14*AA$215),0)</f>
        <v>0</v>
      </c>
      <c r="AB217" s="147">
        <f>IF(AB$215&gt;0,THIN!$F$36*EXP(-THIN!$F$14*AB$215),0)</f>
        <v>0</v>
      </c>
      <c r="AC217" s="147">
        <f>IF(AC$215&gt;0,THIN!$F$36*EXP(-THIN!$F$14*AC$215),0)</f>
        <v>0</v>
      </c>
      <c r="AD217" s="147">
        <f>IF(AD$215&gt;0,THIN!$F$36*EXP(-THIN!$F$14*AD$215),0)</f>
        <v>0</v>
      </c>
      <c r="AE217" s="147">
        <f>IF(AE$215&gt;0,THIN!$F$36*EXP(-THIN!$F$14*AE$215),0)</f>
        <v>0</v>
      </c>
      <c r="AF217" s="147">
        <f>IF(AF$215&gt;0,THIN!$F$36*EXP(-THIN!$F$14*AF$215),0)</f>
        <v>0</v>
      </c>
      <c r="AG217" s="147">
        <f>IF(AG$215&gt;0,THIN!$F$36*EXP(-THIN!$F$14*AG$215),0)</f>
        <v>0</v>
      </c>
      <c r="AH217" s="147">
        <f>IF(AH$215&gt;0,THIN!$F$36*EXP(-THIN!$F$14*AH$215),0)</f>
        <v>0</v>
      </c>
      <c r="AI217" s="147">
        <f>IF(AI$215&gt;0,THIN!$F$36*EXP(-THIN!$F$14*AI$215),0)</f>
        <v>0.31022834432391738</v>
      </c>
      <c r="AJ217" s="147">
        <f>IF(AJ$215&gt;0,THIN!$F$36*EXP(-THIN!$F$14*AJ$215),0)</f>
        <v>0.27986535735311735</v>
      </c>
      <c r="AK217" s="147">
        <f>IF(AK$215&gt;0,THIN!$F$36*EXP(-THIN!$F$14*AK$215),0)</f>
        <v>0.25247408781129083</v>
      </c>
      <c r="AL217" s="147">
        <f>IF(AL$215&gt;0,THIN!$F$36*EXP(-THIN!$F$14*AL$215),0)</f>
        <v>0.22776368471970646</v>
      </c>
      <c r="AM217" s="147">
        <f>IF(AM$215&gt;0,THIN!$F$36*EXP(-THIN!$F$14*AM$215),0)</f>
        <v>0.20547176356518707</v>
      </c>
      <c r="AN217" s="147">
        <f>IF(AN$215&gt;0,THIN!$F$36*EXP(-THIN!$F$14*AN$215),0)</f>
        <v>0.18536162020097194</v>
      </c>
      <c r="AO217" s="147">
        <f>IF(AO$215&gt;0,THIN!$F$36*EXP(-THIN!$F$14*AO$215),0)</f>
        <v>0.16721971743153316</v>
      </c>
      <c r="AP217" s="147">
        <f>IF(AP$215&gt;0,THIN!$F$36*EXP(-THIN!$F$14*AP$215),0)</f>
        <v>0.15085341759294338</v>
      </c>
      <c r="AQ217" s="147">
        <f>IF(AQ$215&gt;0,THIN!$F$36*EXP(-THIN!$F$14*AQ$215),0)</f>
        <v>0.13608893705246536</v>
      </c>
      <c r="AR217" s="147">
        <f>IF(AR$215&gt;0,THIN!$F$36*EXP(-THIN!$F$14*AR$215),0)</f>
        <v>0.12276950090745718</v>
      </c>
      <c r="AS217" s="147">
        <f>IF(AS$215&gt;0,THIN!$F$36*EXP(-THIN!$F$14*AS$215),0)</f>
        <v>0.11075367828948064</v>
      </c>
      <c r="AT217" s="147">
        <f>IF(AT$215&gt;0,THIN!$F$36*EXP(-THIN!$F$14*AT$215),0)</f>
        <v>0</v>
      </c>
      <c r="AU217" s="147">
        <f>IF(AU$215&gt;0,THIN!$F$36*EXP(-THIN!$F$14*AU$215),0)</f>
        <v>0</v>
      </c>
      <c r="AV217" s="147">
        <f>IF(AV$215&gt;0,THIN!$F$36*EXP(-THIN!$F$14*AV$215),0)</f>
        <v>0</v>
      </c>
    </row>
    <row r="218" spans="2:48" ht="12.95" customHeight="1" x14ac:dyDescent="0.2">
      <c r="C218" s="253" t="s">
        <v>859</v>
      </c>
      <c r="F218" s="253" t="s">
        <v>494</v>
      </c>
      <c r="G218" s="124"/>
      <c r="H218" s="147"/>
      <c r="I218" s="147"/>
      <c r="J218" s="147">
        <f t="shared" ref="J218:AV218" si="107">I217</f>
        <v>0.31022834432391738</v>
      </c>
      <c r="K218" s="147">
        <f t="shared" si="107"/>
        <v>0.27986535735311735</v>
      </c>
      <c r="L218" s="147">
        <f t="shared" si="107"/>
        <v>0.25247408781129083</v>
      </c>
      <c r="M218" s="147">
        <f t="shared" si="107"/>
        <v>0.22776368471970646</v>
      </c>
      <c r="N218" s="147">
        <f t="shared" si="107"/>
        <v>0.20547176356518707</v>
      </c>
      <c r="O218" s="147">
        <f t="shared" si="107"/>
        <v>0.18536162020097194</v>
      </c>
      <c r="P218" s="147">
        <f t="shared" si="107"/>
        <v>0.16721971743153316</v>
      </c>
      <c r="Q218" s="147">
        <f t="shared" si="107"/>
        <v>0.15085341759294338</v>
      </c>
      <c r="R218" s="147">
        <f t="shared" si="107"/>
        <v>0.13608893705246536</v>
      </c>
      <c r="S218" s="147">
        <f t="shared" si="107"/>
        <v>0.12276950090745718</v>
      </c>
      <c r="T218" s="147">
        <f t="shared" si="107"/>
        <v>0.11075367828948064</v>
      </c>
      <c r="U218" s="147">
        <f t="shared" si="107"/>
        <v>0</v>
      </c>
      <c r="V218" s="147">
        <f t="shared" si="107"/>
        <v>0</v>
      </c>
      <c r="W218" s="147">
        <f t="shared" si="107"/>
        <v>0</v>
      </c>
      <c r="X218" s="147">
        <f t="shared" si="107"/>
        <v>0</v>
      </c>
      <c r="Y218" s="147">
        <f t="shared" si="107"/>
        <v>0</v>
      </c>
      <c r="Z218" s="147">
        <f t="shared" si="107"/>
        <v>0</v>
      </c>
      <c r="AA218" s="147">
        <f t="shared" si="107"/>
        <v>0</v>
      </c>
      <c r="AB218" s="147">
        <f t="shared" si="107"/>
        <v>0</v>
      </c>
      <c r="AC218" s="147">
        <f t="shared" si="107"/>
        <v>0</v>
      </c>
      <c r="AD218" s="147">
        <f t="shared" si="107"/>
        <v>0</v>
      </c>
      <c r="AE218" s="147">
        <f t="shared" si="107"/>
        <v>0</v>
      </c>
      <c r="AF218" s="147">
        <f t="shared" si="107"/>
        <v>0</v>
      </c>
      <c r="AG218" s="147">
        <f t="shared" si="107"/>
        <v>0</v>
      </c>
      <c r="AH218" s="147">
        <f t="shared" si="107"/>
        <v>0</v>
      </c>
      <c r="AI218" s="147">
        <f t="shared" si="107"/>
        <v>0</v>
      </c>
      <c r="AJ218" s="147">
        <f t="shared" si="107"/>
        <v>0.31022834432391738</v>
      </c>
      <c r="AK218" s="147">
        <f t="shared" si="107"/>
        <v>0.27986535735311735</v>
      </c>
      <c r="AL218" s="147">
        <f t="shared" si="107"/>
        <v>0.25247408781129083</v>
      </c>
      <c r="AM218" s="147">
        <f t="shared" si="107"/>
        <v>0.22776368471970646</v>
      </c>
      <c r="AN218" s="147">
        <f t="shared" si="107"/>
        <v>0.20547176356518707</v>
      </c>
      <c r="AO218" s="147">
        <f t="shared" si="107"/>
        <v>0.18536162020097194</v>
      </c>
      <c r="AP218" s="147">
        <f t="shared" si="107"/>
        <v>0.16721971743153316</v>
      </c>
      <c r="AQ218" s="147">
        <f t="shared" si="107"/>
        <v>0.15085341759294338</v>
      </c>
      <c r="AR218" s="147">
        <f t="shared" si="107"/>
        <v>0.13608893705246536</v>
      </c>
      <c r="AS218" s="147">
        <f t="shared" si="107"/>
        <v>0.12276950090745718</v>
      </c>
      <c r="AT218" s="147">
        <f t="shared" si="107"/>
        <v>0.11075367828948064</v>
      </c>
      <c r="AU218" s="147">
        <f t="shared" si="107"/>
        <v>0</v>
      </c>
      <c r="AV218" s="147">
        <f t="shared" si="107"/>
        <v>0</v>
      </c>
    </row>
    <row r="219" spans="2:48" ht="12.95" customHeight="1" x14ac:dyDescent="0.2">
      <c r="C219" s="253" t="s">
        <v>860</v>
      </c>
      <c r="F219" s="253" t="s">
        <v>494</v>
      </c>
      <c r="G219" s="124"/>
      <c r="H219" s="147"/>
      <c r="I219" s="147"/>
      <c r="J219" s="147"/>
      <c r="K219" s="147">
        <f t="shared" ref="K219:AV219" si="108">J218</f>
        <v>0.31022834432391738</v>
      </c>
      <c r="L219" s="147">
        <f t="shared" si="108"/>
        <v>0.27986535735311735</v>
      </c>
      <c r="M219" s="147">
        <f t="shared" si="108"/>
        <v>0.25247408781129083</v>
      </c>
      <c r="N219" s="147">
        <f t="shared" si="108"/>
        <v>0.22776368471970646</v>
      </c>
      <c r="O219" s="147">
        <f t="shared" si="108"/>
        <v>0.20547176356518707</v>
      </c>
      <c r="P219" s="147">
        <f t="shared" si="108"/>
        <v>0.18536162020097194</v>
      </c>
      <c r="Q219" s="147">
        <f t="shared" si="108"/>
        <v>0.16721971743153316</v>
      </c>
      <c r="R219" s="147">
        <f t="shared" si="108"/>
        <v>0.15085341759294338</v>
      </c>
      <c r="S219" s="147">
        <f t="shared" si="108"/>
        <v>0.13608893705246536</v>
      </c>
      <c r="T219" s="147">
        <f t="shared" si="108"/>
        <v>0.12276950090745718</v>
      </c>
      <c r="U219" s="147">
        <f t="shared" si="108"/>
        <v>0.11075367828948064</v>
      </c>
      <c r="V219" s="147">
        <f t="shared" si="108"/>
        <v>0</v>
      </c>
      <c r="W219" s="147">
        <f t="shared" si="108"/>
        <v>0</v>
      </c>
      <c r="X219" s="147">
        <f t="shared" si="108"/>
        <v>0</v>
      </c>
      <c r="Y219" s="147">
        <f t="shared" si="108"/>
        <v>0</v>
      </c>
      <c r="Z219" s="147">
        <f t="shared" si="108"/>
        <v>0</v>
      </c>
      <c r="AA219" s="147">
        <f t="shared" si="108"/>
        <v>0</v>
      </c>
      <c r="AB219" s="147">
        <f t="shared" si="108"/>
        <v>0</v>
      </c>
      <c r="AC219" s="147">
        <f t="shared" si="108"/>
        <v>0</v>
      </c>
      <c r="AD219" s="147">
        <f t="shared" si="108"/>
        <v>0</v>
      </c>
      <c r="AE219" s="147">
        <f t="shared" si="108"/>
        <v>0</v>
      </c>
      <c r="AF219" s="147">
        <f t="shared" si="108"/>
        <v>0</v>
      </c>
      <c r="AG219" s="147">
        <f t="shared" si="108"/>
        <v>0</v>
      </c>
      <c r="AH219" s="147">
        <f t="shared" si="108"/>
        <v>0</v>
      </c>
      <c r="AI219" s="147">
        <f t="shared" si="108"/>
        <v>0</v>
      </c>
      <c r="AJ219" s="147">
        <f t="shared" si="108"/>
        <v>0</v>
      </c>
      <c r="AK219" s="147">
        <f t="shared" si="108"/>
        <v>0.31022834432391738</v>
      </c>
      <c r="AL219" s="147">
        <f t="shared" si="108"/>
        <v>0.27986535735311735</v>
      </c>
      <c r="AM219" s="147">
        <f t="shared" si="108"/>
        <v>0.25247408781129083</v>
      </c>
      <c r="AN219" s="147">
        <f t="shared" si="108"/>
        <v>0.22776368471970646</v>
      </c>
      <c r="AO219" s="147">
        <f t="shared" si="108"/>
        <v>0.20547176356518707</v>
      </c>
      <c r="AP219" s="147">
        <f t="shared" si="108"/>
        <v>0.18536162020097194</v>
      </c>
      <c r="AQ219" s="147">
        <f t="shared" si="108"/>
        <v>0.16721971743153316</v>
      </c>
      <c r="AR219" s="147">
        <f t="shared" si="108"/>
        <v>0.15085341759294338</v>
      </c>
      <c r="AS219" s="147">
        <f t="shared" si="108"/>
        <v>0.13608893705246536</v>
      </c>
      <c r="AT219" s="147">
        <f t="shared" si="108"/>
        <v>0.12276950090745718</v>
      </c>
      <c r="AU219" s="147">
        <f t="shared" si="108"/>
        <v>0.11075367828948064</v>
      </c>
      <c r="AV219" s="147">
        <f t="shared" si="108"/>
        <v>0</v>
      </c>
    </row>
    <row r="220" spans="2:48" ht="12.95" customHeight="1" x14ac:dyDescent="0.2">
      <c r="C220" s="253" t="s">
        <v>861</v>
      </c>
      <c r="F220" s="253" t="s">
        <v>494</v>
      </c>
      <c r="G220" s="124"/>
      <c r="H220" s="147"/>
      <c r="I220" s="147"/>
      <c r="J220" s="147"/>
      <c r="K220" s="147"/>
      <c r="L220" s="147">
        <f t="shared" ref="L220:AV220" si="109">K219</f>
        <v>0.31022834432391738</v>
      </c>
      <c r="M220" s="147">
        <f t="shared" si="109"/>
        <v>0.27986535735311735</v>
      </c>
      <c r="N220" s="147">
        <f t="shared" si="109"/>
        <v>0.25247408781129083</v>
      </c>
      <c r="O220" s="147">
        <f t="shared" si="109"/>
        <v>0.22776368471970646</v>
      </c>
      <c r="P220" s="147">
        <f t="shared" si="109"/>
        <v>0.20547176356518707</v>
      </c>
      <c r="Q220" s="147">
        <f t="shared" si="109"/>
        <v>0.18536162020097194</v>
      </c>
      <c r="R220" s="147">
        <f t="shared" si="109"/>
        <v>0.16721971743153316</v>
      </c>
      <c r="S220" s="147">
        <f t="shared" si="109"/>
        <v>0.15085341759294338</v>
      </c>
      <c r="T220" s="147">
        <f t="shared" si="109"/>
        <v>0.13608893705246536</v>
      </c>
      <c r="U220" s="147">
        <f t="shared" si="109"/>
        <v>0.12276950090745718</v>
      </c>
      <c r="V220" s="147">
        <f t="shared" si="109"/>
        <v>0.11075367828948064</v>
      </c>
      <c r="W220" s="147">
        <f t="shared" si="109"/>
        <v>0</v>
      </c>
      <c r="X220" s="147">
        <f t="shared" si="109"/>
        <v>0</v>
      </c>
      <c r="Y220" s="147">
        <f t="shared" si="109"/>
        <v>0</v>
      </c>
      <c r="Z220" s="147">
        <f t="shared" si="109"/>
        <v>0</v>
      </c>
      <c r="AA220" s="147">
        <f t="shared" si="109"/>
        <v>0</v>
      </c>
      <c r="AB220" s="147">
        <f t="shared" si="109"/>
        <v>0</v>
      </c>
      <c r="AC220" s="147">
        <f t="shared" si="109"/>
        <v>0</v>
      </c>
      <c r="AD220" s="147">
        <f t="shared" si="109"/>
        <v>0</v>
      </c>
      <c r="AE220" s="147">
        <f t="shared" si="109"/>
        <v>0</v>
      </c>
      <c r="AF220" s="147">
        <f t="shared" si="109"/>
        <v>0</v>
      </c>
      <c r="AG220" s="147">
        <f t="shared" si="109"/>
        <v>0</v>
      </c>
      <c r="AH220" s="147">
        <f t="shared" si="109"/>
        <v>0</v>
      </c>
      <c r="AI220" s="147">
        <f t="shared" si="109"/>
        <v>0</v>
      </c>
      <c r="AJ220" s="147">
        <f t="shared" si="109"/>
        <v>0</v>
      </c>
      <c r="AK220" s="147">
        <f t="shared" si="109"/>
        <v>0</v>
      </c>
      <c r="AL220" s="147">
        <f t="shared" si="109"/>
        <v>0.31022834432391738</v>
      </c>
      <c r="AM220" s="147">
        <f t="shared" si="109"/>
        <v>0.27986535735311735</v>
      </c>
      <c r="AN220" s="147">
        <f t="shared" si="109"/>
        <v>0.25247408781129083</v>
      </c>
      <c r="AO220" s="147">
        <f t="shared" si="109"/>
        <v>0.22776368471970646</v>
      </c>
      <c r="AP220" s="147">
        <f t="shared" si="109"/>
        <v>0.20547176356518707</v>
      </c>
      <c r="AQ220" s="147">
        <f t="shared" si="109"/>
        <v>0.18536162020097194</v>
      </c>
      <c r="AR220" s="147">
        <f t="shared" si="109"/>
        <v>0.16721971743153316</v>
      </c>
      <c r="AS220" s="147">
        <f t="shared" si="109"/>
        <v>0.15085341759294338</v>
      </c>
      <c r="AT220" s="147">
        <f t="shared" si="109"/>
        <v>0.13608893705246536</v>
      </c>
      <c r="AU220" s="147">
        <f t="shared" si="109"/>
        <v>0.12276950090745718</v>
      </c>
      <c r="AV220" s="147">
        <f t="shared" si="109"/>
        <v>0.11075367828948064</v>
      </c>
    </row>
    <row r="221" spans="2:48" ht="12.95" customHeight="1" x14ac:dyDescent="0.2">
      <c r="C221" s="253" t="s">
        <v>862</v>
      </c>
      <c r="F221" s="253" t="s">
        <v>494</v>
      </c>
      <c r="G221" s="124"/>
      <c r="H221" s="147"/>
      <c r="I221" s="147"/>
      <c r="J221" s="147"/>
      <c r="K221" s="147"/>
      <c r="L221" s="147"/>
      <c r="M221" s="147">
        <f t="shared" ref="M221:AV221" si="110">L220</f>
        <v>0.31022834432391738</v>
      </c>
      <c r="N221" s="147">
        <f t="shared" si="110"/>
        <v>0.27986535735311735</v>
      </c>
      <c r="O221" s="147">
        <f t="shared" si="110"/>
        <v>0.25247408781129083</v>
      </c>
      <c r="P221" s="147">
        <f t="shared" si="110"/>
        <v>0.22776368471970646</v>
      </c>
      <c r="Q221" s="147">
        <f t="shared" si="110"/>
        <v>0.20547176356518707</v>
      </c>
      <c r="R221" s="147">
        <f t="shared" si="110"/>
        <v>0.18536162020097194</v>
      </c>
      <c r="S221" s="147">
        <f t="shared" si="110"/>
        <v>0.16721971743153316</v>
      </c>
      <c r="T221" s="147">
        <f t="shared" si="110"/>
        <v>0.15085341759294338</v>
      </c>
      <c r="U221" s="147">
        <f t="shared" si="110"/>
        <v>0.13608893705246536</v>
      </c>
      <c r="V221" s="147">
        <f t="shared" si="110"/>
        <v>0.12276950090745718</v>
      </c>
      <c r="W221" s="147">
        <f t="shared" si="110"/>
        <v>0.11075367828948064</v>
      </c>
      <c r="X221" s="147">
        <f t="shared" si="110"/>
        <v>0</v>
      </c>
      <c r="Y221" s="147">
        <f t="shared" si="110"/>
        <v>0</v>
      </c>
      <c r="Z221" s="147">
        <f t="shared" si="110"/>
        <v>0</v>
      </c>
      <c r="AA221" s="147">
        <f t="shared" si="110"/>
        <v>0</v>
      </c>
      <c r="AB221" s="147">
        <f t="shared" si="110"/>
        <v>0</v>
      </c>
      <c r="AC221" s="147">
        <f t="shared" si="110"/>
        <v>0</v>
      </c>
      <c r="AD221" s="147">
        <f t="shared" si="110"/>
        <v>0</v>
      </c>
      <c r="AE221" s="147">
        <f t="shared" si="110"/>
        <v>0</v>
      </c>
      <c r="AF221" s="147">
        <f t="shared" si="110"/>
        <v>0</v>
      </c>
      <c r="AG221" s="147">
        <f t="shared" si="110"/>
        <v>0</v>
      </c>
      <c r="AH221" s="147">
        <f t="shared" si="110"/>
        <v>0</v>
      </c>
      <c r="AI221" s="147">
        <f t="shared" si="110"/>
        <v>0</v>
      </c>
      <c r="AJ221" s="147">
        <f t="shared" si="110"/>
        <v>0</v>
      </c>
      <c r="AK221" s="147">
        <f t="shared" si="110"/>
        <v>0</v>
      </c>
      <c r="AL221" s="147">
        <f t="shared" si="110"/>
        <v>0</v>
      </c>
      <c r="AM221" s="147">
        <f t="shared" si="110"/>
        <v>0.31022834432391738</v>
      </c>
      <c r="AN221" s="147">
        <f t="shared" si="110"/>
        <v>0.27986535735311735</v>
      </c>
      <c r="AO221" s="147">
        <f t="shared" si="110"/>
        <v>0.25247408781129083</v>
      </c>
      <c r="AP221" s="147">
        <f t="shared" si="110"/>
        <v>0.22776368471970646</v>
      </c>
      <c r="AQ221" s="147">
        <f t="shared" si="110"/>
        <v>0.20547176356518707</v>
      </c>
      <c r="AR221" s="147">
        <f t="shared" si="110"/>
        <v>0.18536162020097194</v>
      </c>
      <c r="AS221" s="147">
        <f t="shared" si="110"/>
        <v>0.16721971743153316</v>
      </c>
      <c r="AT221" s="147">
        <f t="shared" si="110"/>
        <v>0.15085341759294338</v>
      </c>
      <c r="AU221" s="147">
        <f t="shared" si="110"/>
        <v>0.13608893705246536</v>
      </c>
      <c r="AV221" s="147">
        <f t="shared" si="110"/>
        <v>0.12276950090745718</v>
      </c>
    </row>
    <row r="222" spans="2:48" ht="12.95" customHeight="1" x14ac:dyDescent="0.2">
      <c r="C222" s="253" t="s">
        <v>863</v>
      </c>
      <c r="F222" s="253" t="s">
        <v>494</v>
      </c>
      <c r="G222" s="124"/>
      <c r="H222" s="147"/>
      <c r="I222" s="147"/>
      <c r="J222" s="147"/>
      <c r="K222" s="147"/>
      <c r="L222" s="147"/>
      <c r="M222" s="147"/>
      <c r="N222" s="147">
        <f t="shared" ref="N222:AV222" si="111">M221</f>
        <v>0.31022834432391738</v>
      </c>
      <c r="O222" s="147">
        <f t="shared" si="111"/>
        <v>0.27986535735311735</v>
      </c>
      <c r="P222" s="147">
        <f t="shared" si="111"/>
        <v>0.25247408781129083</v>
      </c>
      <c r="Q222" s="147">
        <f t="shared" si="111"/>
        <v>0.22776368471970646</v>
      </c>
      <c r="R222" s="147">
        <f t="shared" si="111"/>
        <v>0.20547176356518707</v>
      </c>
      <c r="S222" s="147">
        <f t="shared" si="111"/>
        <v>0.18536162020097194</v>
      </c>
      <c r="T222" s="147">
        <f t="shared" si="111"/>
        <v>0.16721971743153316</v>
      </c>
      <c r="U222" s="147">
        <f t="shared" si="111"/>
        <v>0.15085341759294338</v>
      </c>
      <c r="V222" s="147">
        <f t="shared" si="111"/>
        <v>0.13608893705246536</v>
      </c>
      <c r="W222" s="147">
        <f t="shared" si="111"/>
        <v>0.12276950090745718</v>
      </c>
      <c r="X222" s="147">
        <f t="shared" si="111"/>
        <v>0.11075367828948064</v>
      </c>
      <c r="Y222" s="147">
        <f t="shared" si="111"/>
        <v>0</v>
      </c>
      <c r="Z222" s="147">
        <f t="shared" si="111"/>
        <v>0</v>
      </c>
      <c r="AA222" s="147">
        <f t="shared" si="111"/>
        <v>0</v>
      </c>
      <c r="AB222" s="147">
        <f t="shared" si="111"/>
        <v>0</v>
      </c>
      <c r="AC222" s="147">
        <f t="shared" si="111"/>
        <v>0</v>
      </c>
      <c r="AD222" s="147">
        <f t="shared" si="111"/>
        <v>0</v>
      </c>
      <c r="AE222" s="147">
        <f t="shared" si="111"/>
        <v>0</v>
      </c>
      <c r="AF222" s="147">
        <f t="shared" si="111"/>
        <v>0</v>
      </c>
      <c r="AG222" s="147">
        <f t="shared" si="111"/>
        <v>0</v>
      </c>
      <c r="AH222" s="147">
        <f t="shared" si="111"/>
        <v>0</v>
      </c>
      <c r="AI222" s="147">
        <f t="shared" si="111"/>
        <v>0</v>
      </c>
      <c r="AJ222" s="147">
        <f t="shared" si="111"/>
        <v>0</v>
      </c>
      <c r="AK222" s="147">
        <f t="shared" si="111"/>
        <v>0</v>
      </c>
      <c r="AL222" s="147">
        <f t="shared" si="111"/>
        <v>0</v>
      </c>
      <c r="AM222" s="147">
        <f t="shared" si="111"/>
        <v>0</v>
      </c>
      <c r="AN222" s="147">
        <f t="shared" si="111"/>
        <v>0.31022834432391738</v>
      </c>
      <c r="AO222" s="147">
        <f t="shared" si="111"/>
        <v>0.27986535735311735</v>
      </c>
      <c r="AP222" s="147">
        <f t="shared" si="111"/>
        <v>0.25247408781129083</v>
      </c>
      <c r="AQ222" s="147">
        <f t="shared" si="111"/>
        <v>0.22776368471970646</v>
      </c>
      <c r="AR222" s="147">
        <f t="shared" si="111"/>
        <v>0.20547176356518707</v>
      </c>
      <c r="AS222" s="147">
        <f t="shared" si="111"/>
        <v>0.18536162020097194</v>
      </c>
      <c r="AT222" s="147">
        <f t="shared" si="111"/>
        <v>0.16721971743153316</v>
      </c>
      <c r="AU222" s="147">
        <f t="shared" si="111"/>
        <v>0.15085341759294338</v>
      </c>
      <c r="AV222" s="147">
        <f t="shared" si="111"/>
        <v>0.13608893705246536</v>
      </c>
    </row>
    <row r="223" spans="2:48" ht="12.95" customHeight="1" x14ac:dyDescent="0.2">
      <c r="C223" s="253" t="s">
        <v>864</v>
      </c>
      <c r="F223" s="253" t="s">
        <v>494</v>
      </c>
      <c r="G223" s="124"/>
      <c r="H223" s="147"/>
      <c r="I223" s="147"/>
      <c r="J223" s="147"/>
      <c r="K223" s="147"/>
      <c r="L223" s="147"/>
      <c r="M223" s="147"/>
      <c r="N223" s="147"/>
      <c r="O223" s="147">
        <f t="shared" ref="O223:AV223" si="112">N222</f>
        <v>0.31022834432391738</v>
      </c>
      <c r="P223" s="147">
        <f t="shared" si="112"/>
        <v>0.27986535735311735</v>
      </c>
      <c r="Q223" s="147">
        <f t="shared" si="112"/>
        <v>0.25247408781129083</v>
      </c>
      <c r="R223" s="147">
        <f t="shared" si="112"/>
        <v>0.22776368471970646</v>
      </c>
      <c r="S223" s="147">
        <f t="shared" si="112"/>
        <v>0.20547176356518707</v>
      </c>
      <c r="T223" s="147">
        <f t="shared" si="112"/>
        <v>0.18536162020097194</v>
      </c>
      <c r="U223" s="147">
        <f t="shared" si="112"/>
        <v>0.16721971743153316</v>
      </c>
      <c r="V223" s="147">
        <f t="shared" si="112"/>
        <v>0.15085341759294338</v>
      </c>
      <c r="W223" s="147">
        <f t="shared" si="112"/>
        <v>0.13608893705246536</v>
      </c>
      <c r="X223" s="147">
        <f t="shared" si="112"/>
        <v>0.12276950090745718</v>
      </c>
      <c r="Y223" s="147">
        <f t="shared" si="112"/>
        <v>0.11075367828948064</v>
      </c>
      <c r="Z223" s="147">
        <f t="shared" si="112"/>
        <v>0</v>
      </c>
      <c r="AA223" s="147">
        <f t="shared" si="112"/>
        <v>0</v>
      </c>
      <c r="AB223" s="147">
        <f t="shared" si="112"/>
        <v>0</v>
      </c>
      <c r="AC223" s="147">
        <f t="shared" si="112"/>
        <v>0</v>
      </c>
      <c r="AD223" s="147">
        <f t="shared" si="112"/>
        <v>0</v>
      </c>
      <c r="AE223" s="147">
        <f t="shared" si="112"/>
        <v>0</v>
      </c>
      <c r="AF223" s="147">
        <f t="shared" si="112"/>
        <v>0</v>
      </c>
      <c r="AG223" s="147">
        <f t="shared" si="112"/>
        <v>0</v>
      </c>
      <c r="AH223" s="147">
        <f t="shared" si="112"/>
        <v>0</v>
      </c>
      <c r="AI223" s="147">
        <f t="shared" si="112"/>
        <v>0</v>
      </c>
      <c r="AJ223" s="147">
        <f t="shared" si="112"/>
        <v>0</v>
      </c>
      <c r="AK223" s="147">
        <f t="shared" si="112"/>
        <v>0</v>
      </c>
      <c r="AL223" s="147">
        <f t="shared" si="112"/>
        <v>0</v>
      </c>
      <c r="AM223" s="147">
        <f t="shared" si="112"/>
        <v>0</v>
      </c>
      <c r="AN223" s="147">
        <f t="shared" si="112"/>
        <v>0</v>
      </c>
      <c r="AO223" s="147">
        <f t="shared" si="112"/>
        <v>0.31022834432391738</v>
      </c>
      <c r="AP223" s="147">
        <f t="shared" si="112"/>
        <v>0.27986535735311735</v>
      </c>
      <c r="AQ223" s="147">
        <f t="shared" si="112"/>
        <v>0.25247408781129083</v>
      </c>
      <c r="AR223" s="147">
        <f t="shared" si="112"/>
        <v>0.22776368471970646</v>
      </c>
      <c r="AS223" s="147">
        <f t="shared" si="112"/>
        <v>0.20547176356518707</v>
      </c>
      <c r="AT223" s="147">
        <f t="shared" si="112"/>
        <v>0.18536162020097194</v>
      </c>
      <c r="AU223" s="147">
        <f t="shared" si="112"/>
        <v>0.16721971743153316</v>
      </c>
      <c r="AV223" s="147">
        <f t="shared" si="112"/>
        <v>0.15085341759294338</v>
      </c>
    </row>
    <row r="224" spans="2:48" ht="12.95" customHeight="1" x14ac:dyDescent="0.2">
      <c r="C224" s="253" t="s">
        <v>865</v>
      </c>
      <c r="F224" s="253" t="s">
        <v>494</v>
      </c>
      <c r="G224" s="124"/>
      <c r="H224" s="147"/>
      <c r="I224" s="147"/>
      <c r="J224" s="147"/>
      <c r="K224" s="147"/>
      <c r="L224" s="147"/>
      <c r="M224" s="147"/>
      <c r="N224" s="147"/>
      <c r="O224" s="147"/>
      <c r="P224" s="147">
        <f t="shared" ref="P224:AV224" si="113">O223</f>
        <v>0.31022834432391738</v>
      </c>
      <c r="Q224" s="147">
        <f t="shared" si="113"/>
        <v>0.27986535735311735</v>
      </c>
      <c r="R224" s="147">
        <f t="shared" si="113"/>
        <v>0.25247408781129083</v>
      </c>
      <c r="S224" s="147">
        <f t="shared" si="113"/>
        <v>0.22776368471970646</v>
      </c>
      <c r="T224" s="147">
        <f t="shared" si="113"/>
        <v>0.20547176356518707</v>
      </c>
      <c r="U224" s="147">
        <f t="shared" si="113"/>
        <v>0.18536162020097194</v>
      </c>
      <c r="V224" s="147">
        <f t="shared" si="113"/>
        <v>0.16721971743153316</v>
      </c>
      <c r="W224" s="147">
        <f t="shared" si="113"/>
        <v>0.15085341759294338</v>
      </c>
      <c r="X224" s="147">
        <f t="shared" si="113"/>
        <v>0.13608893705246536</v>
      </c>
      <c r="Y224" s="147">
        <f t="shared" si="113"/>
        <v>0.12276950090745718</v>
      </c>
      <c r="Z224" s="147">
        <f t="shared" si="113"/>
        <v>0.11075367828948064</v>
      </c>
      <c r="AA224" s="147">
        <f t="shared" si="113"/>
        <v>0</v>
      </c>
      <c r="AB224" s="147">
        <f t="shared" si="113"/>
        <v>0</v>
      </c>
      <c r="AC224" s="147">
        <f t="shared" si="113"/>
        <v>0</v>
      </c>
      <c r="AD224" s="147">
        <f t="shared" si="113"/>
        <v>0</v>
      </c>
      <c r="AE224" s="147">
        <f t="shared" si="113"/>
        <v>0</v>
      </c>
      <c r="AF224" s="147">
        <f t="shared" si="113"/>
        <v>0</v>
      </c>
      <c r="AG224" s="147">
        <f t="shared" si="113"/>
        <v>0</v>
      </c>
      <c r="AH224" s="147">
        <f t="shared" si="113"/>
        <v>0</v>
      </c>
      <c r="AI224" s="147">
        <f t="shared" si="113"/>
        <v>0</v>
      </c>
      <c r="AJ224" s="147">
        <f t="shared" si="113"/>
        <v>0</v>
      </c>
      <c r="AK224" s="147">
        <f t="shared" si="113"/>
        <v>0</v>
      </c>
      <c r="AL224" s="147">
        <f t="shared" si="113"/>
        <v>0</v>
      </c>
      <c r="AM224" s="147">
        <f t="shared" si="113"/>
        <v>0</v>
      </c>
      <c r="AN224" s="147">
        <f t="shared" si="113"/>
        <v>0</v>
      </c>
      <c r="AO224" s="147">
        <f t="shared" si="113"/>
        <v>0</v>
      </c>
      <c r="AP224" s="147">
        <f t="shared" si="113"/>
        <v>0.31022834432391738</v>
      </c>
      <c r="AQ224" s="147">
        <f t="shared" si="113"/>
        <v>0.27986535735311735</v>
      </c>
      <c r="AR224" s="147">
        <f t="shared" si="113"/>
        <v>0.25247408781129083</v>
      </c>
      <c r="AS224" s="147">
        <f t="shared" si="113"/>
        <v>0.22776368471970646</v>
      </c>
      <c r="AT224" s="147">
        <f t="shared" si="113"/>
        <v>0.20547176356518707</v>
      </c>
      <c r="AU224" s="147">
        <f t="shared" si="113"/>
        <v>0.18536162020097194</v>
      </c>
      <c r="AV224" s="147">
        <f t="shared" si="113"/>
        <v>0.16721971743153316</v>
      </c>
    </row>
    <row r="225" spans="3:48" ht="12.95" customHeight="1" x14ac:dyDescent="0.2">
      <c r="C225" s="253" t="s">
        <v>866</v>
      </c>
      <c r="F225" s="253" t="s">
        <v>494</v>
      </c>
      <c r="G225" s="124"/>
      <c r="H225" s="146"/>
      <c r="I225" s="146"/>
      <c r="J225" s="146"/>
      <c r="K225" s="146"/>
      <c r="L225" s="146"/>
      <c r="M225" s="146"/>
      <c r="N225" s="146"/>
      <c r="O225" s="146"/>
      <c r="P225" s="147"/>
      <c r="Q225" s="147">
        <f t="shared" ref="Q225:AV225" si="114">P224</f>
        <v>0.31022834432391738</v>
      </c>
      <c r="R225" s="147">
        <f t="shared" si="114"/>
        <v>0.27986535735311735</v>
      </c>
      <c r="S225" s="147">
        <f t="shared" si="114"/>
        <v>0.25247408781129083</v>
      </c>
      <c r="T225" s="147">
        <f t="shared" si="114"/>
        <v>0.22776368471970646</v>
      </c>
      <c r="U225" s="147">
        <f t="shared" si="114"/>
        <v>0.20547176356518707</v>
      </c>
      <c r="V225" s="147">
        <f t="shared" si="114"/>
        <v>0.18536162020097194</v>
      </c>
      <c r="W225" s="147">
        <f t="shared" si="114"/>
        <v>0.16721971743153316</v>
      </c>
      <c r="X225" s="147">
        <f t="shared" si="114"/>
        <v>0.15085341759294338</v>
      </c>
      <c r="Y225" s="147">
        <f t="shared" si="114"/>
        <v>0.13608893705246536</v>
      </c>
      <c r="Z225" s="147">
        <f t="shared" si="114"/>
        <v>0.12276950090745718</v>
      </c>
      <c r="AA225" s="147">
        <f t="shared" si="114"/>
        <v>0.11075367828948064</v>
      </c>
      <c r="AB225" s="147">
        <f t="shared" si="114"/>
        <v>0</v>
      </c>
      <c r="AC225" s="147">
        <f t="shared" si="114"/>
        <v>0</v>
      </c>
      <c r="AD225" s="147">
        <f t="shared" si="114"/>
        <v>0</v>
      </c>
      <c r="AE225" s="147">
        <f t="shared" si="114"/>
        <v>0</v>
      </c>
      <c r="AF225" s="147">
        <f t="shared" si="114"/>
        <v>0</v>
      </c>
      <c r="AG225" s="147">
        <f t="shared" si="114"/>
        <v>0</v>
      </c>
      <c r="AH225" s="147">
        <f t="shared" si="114"/>
        <v>0</v>
      </c>
      <c r="AI225" s="147">
        <f t="shared" si="114"/>
        <v>0</v>
      </c>
      <c r="AJ225" s="147">
        <f t="shared" si="114"/>
        <v>0</v>
      </c>
      <c r="AK225" s="147">
        <f t="shared" si="114"/>
        <v>0</v>
      </c>
      <c r="AL225" s="147">
        <f t="shared" si="114"/>
        <v>0</v>
      </c>
      <c r="AM225" s="147">
        <f t="shared" si="114"/>
        <v>0</v>
      </c>
      <c r="AN225" s="147">
        <f t="shared" si="114"/>
        <v>0</v>
      </c>
      <c r="AO225" s="147">
        <f t="shared" si="114"/>
        <v>0</v>
      </c>
      <c r="AP225" s="147">
        <f t="shared" si="114"/>
        <v>0</v>
      </c>
      <c r="AQ225" s="147">
        <f t="shared" si="114"/>
        <v>0.31022834432391738</v>
      </c>
      <c r="AR225" s="147">
        <f t="shared" si="114"/>
        <v>0.27986535735311735</v>
      </c>
      <c r="AS225" s="147">
        <f t="shared" si="114"/>
        <v>0.25247408781129083</v>
      </c>
      <c r="AT225" s="147">
        <f t="shared" si="114"/>
        <v>0.22776368471970646</v>
      </c>
      <c r="AU225" s="147">
        <f t="shared" si="114"/>
        <v>0.20547176356518707</v>
      </c>
      <c r="AV225" s="147">
        <f t="shared" si="114"/>
        <v>0.18536162020097194</v>
      </c>
    </row>
    <row r="226" spans="3:48" ht="12.95" customHeight="1" x14ac:dyDescent="0.2">
      <c r="C226" s="253" t="s">
        <v>867</v>
      </c>
      <c r="F226" s="253" t="s">
        <v>494</v>
      </c>
      <c r="G226" s="124"/>
      <c r="H226" s="147"/>
      <c r="I226" s="147"/>
      <c r="J226" s="147"/>
      <c r="K226" s="147"/>
      <c r="L226" s="147"/>
      <c r="M226" s="147"/>
      <c r="N226" s="147"/>
      <c r="O226" s="147"/>
      <c r="P226" s="147"/>
      <c r="Q226" s="147"/>
      <c r="R226" s="147">
        <f t="shared" ref="R226:AV226" si="115">Q225</f>
        <v>0.31022834432391738</v>
      </c>
      <c r="S226" s="147">
        <f t="shared" si="115"/>
        <v>0.27986535735311735</v>
      </c>
      <c r="T226" s="147">
        <f t="shared" si="115"/>
        <v>0.25247408781129083</v>
      </c>
      <c r="U226" s="147">
        <f t="shared" si="115"/>
        <v>0.22776368471970646</v>
      </c>
      <c r="V226" s="147">
        <f t="shared" si="115"/>
        <v>0.20547176356518707</v>
      </c>
      <c r="W226" s="147">
        <f t="shared" si="115"/>
        <v>0.18536162020097194</v>
      </c>
      <c r="X226" s="147">
        <f t="shared" si="115"/>
        <v>0.16721971743153316</v>
      </c>
      <c r="Y226" s="147">
        <f t="shared" si="115"/>
        <v>0.15085341759294338</v>
      </c>
      <c r="Z226" s="147">
        <f t="shared" si="115"/>
        <v>0.13608893705246536</v>
      </c>
      <c r="AA226" s="147">
        <f t="shared" si="115"/>
        <v>0.12276950090745718</v>
      </c>
      <c r="AB226" s="147">
        <f t="shared" si="115"/>
        <v>0.11075367828948064</v>
      </c>
      <c r="AC226" s="147">
        <f t="shared" si="115"/>
        <v>0</v>
      </c>
      <c r="AD226" s="147">
        <f t="shared" si="115"/>
        <v>0</v>
      </c>
      <c r="AE226" s="147">
        <f t="shared" si="115"/>
        <v>0</v>
      </c>
      <c r="AF226" s="147">
        <f t="shared" si="115"/>
        <v>0</v>
      </c>
      <c r="AG226" s="147">
        <f t="shared" si="115"/>
        <v>0</v>
      </c>
      <c r="AH226" s="147">
        <f t="shared" si="115"/>
        <v>0</v>
      </c>
      <c r="AI226" s="147">
        <f t="shared" si="115"/>
        <v>0</v>
      </c>
      <c r="AJ226" s="147">
        <f t="shared" si="115"/>
        <v>0</v>
      </c>
      <c r="AK226" s="147">
        <f t="shared" si="115"/>
        <v>0</v>
      </c>
      <c r="AL226" s="147">
        <f t="shared" si="115"/>
        <v>0</v>
      </c>
      <c r="AM226" s="147">
        <f t="shared" si="115"/>
        <v>0</v>
      </c>
      <c r="AN226" s="147">
        <f t="shared" si="115"/>
        <v>0</v>
      </c>
      <c r="AO226" s="147">
        <f t="shared" si="115"/>
        <v>0</v>
      </c>
      <c r="AP226" s="147">
        <f t="shared" si="115"/>
        <v>0</v>
      </c>
      <c r="AQ226" s="147">
        <f t="shared" si="115"/>
        <v>0</v>
      </c>
      <c r="AR226" s="147">
        <f t="shared" si="115"/>
        <v>0.31022834432391738</v>
      </c>
      <c r="AS226" s="147">
        <f t="shared" si="115"/>
        <v>0.27986535735311735</v>
      </c>
      <c r="AT226" s="147">
        <f t="shared" si="115"/>
        <v>0.25247408781129083</v>
      </c>
      <c r="AU226" s="147">
        <f t="shared" si="115"/>
        <v>0.22776368471970646</v>
      </c>
      <c r="AV226" s="147">
        <f t="shared" si="115"/>
        <v>0.20547176356518707</v>
      </c>
    </row>
    <row r="227" spans="3:48" ht="12.95" customHeight="1" x14ac:dyDescent="0.2">
      <c r="C227" s="253" t="s">
        <v>868</v>
      </c>
      <c r="F227" s="253" t="s">
        <v>494</v>
      </c>
      <c r="G227" s="124"/>
      <c r="H227" s="147"/>
      <c r="I227" s="147"/>
      <c r="J227" s="147"/>
      <c r="K227" s="147"/>
      <c r="L227" s="147"/>
      <c r="M227" s="147"/>
      <c r="N227" s="147"/>
      <c r="O227" s="147"/>
      <c r="P227" s="147"/>
      <c r="Q227" s="147"/>
      <c r="R227" s="147"/>
      <c r="S227" s="147">
        <f t="shared" ref="S227:AV227" si="116">R226</f>
        <v>0.31022834432391738</v>
      </c>
      <c r="T227" s="147">
        <f t="shared" si="116"/>
        <v>0.27986535735311735</v>
      </c>
      <c r="U227" s="147">
        <f t="shared" si="116"/>
        <v>0.25247408781129083</v>
      </c>
      <c r="V227" s="147">
        <f t="shared" si="116"/>
        <v>0.22776368471970646</v>
      </c>
      <c r="W227" s="147">
        <f t="shared" si="116"/>
        <v>0.20547176356518707</v>
      </c>
      <c r="X227" s="147">
        <f t="shared" si="116"/>
        <v>0.18536162020097194</v>
      </c>
      <c r="Y227" s="147">
        <f t="shared" si="116"/>
        <v>0.16721971743153316</v>
      </c>
      <c r="Z227" s="147">
        <f t="shared" si="116"/>
        <v>0.15085341759294338</v>
      </c>
      <c r="AA227" s="147">
        <f t="shared" si="116"/>
        <v>0.13608893705246536</v>
      </c>
      <c r="AB227" s="147">
        <f t="shared" si="116"/>
        <v>0.12276950090745718</v>
      </c>
      <c r="AC227" s="147">
        <f t="shared" si="116"/>
        <v>0.11075367828948064</v>
      </c>
      <c r="AD227" s="147">
        <f t="shared" si="116"/>
        <v>0</v>
      </c>
      <c r="AE227" s="147">
        <f t="shared" si="116"/>
        <v>0</v>
      </c>
      <c r="AF227" s="147">
        <f t="shared" si="116"/>
        <v>0</v>
      </c>
      <c r="AG227" s="147">
        <f t="shared" si="116"/>
        <v>0</v>
      </c>
      <c r="AH227" s="147">
        <f t="shared" si="116"/>
        <v>0</v>
      </c>
      <c r="AI227" s="147">
        <f t="shared" si="116"/>
        <v>0</v>
      </c>
      <c r="AJ227" s="147">
        <f t="shared" si="116"/>
        <v>0</v>
      </c>
      <c r="AK227" s="147">
        <f t="shared" si="116"/>
        <v>0</v>
      </c>
      <c r="AL227" s="147">
        <f t="shared" si="116"/>
        <v>0</v>
      </c>
      <c r="AM227" s="147">
        <f t="shared" si="116"/>
        <v>0</v>
      </c>
      <c r="AN227" s="147">
        <f t="shared" si="116"/>
        <v>0</v>
      </c>
      <c r="AO227" s="147">
        <f t="shared" si="116"/>
        <v>0</v>
      </c>
      <c r="AP227" s="147">
        <f t="shared" si="116"/>
        <v>0</v>
      </c>
      <c r="AQ227" s="147">
        <f t="shared" si="116"/>
        <v>0</v>
      </c>
      <c r="AR227" s="147">
        <f t="shared" si="116"/>
        <v>0</v>
      </c>
      <c r="AS227" s="147">
        <f t="shared" si="116"/>
        <v>0.31022834432391738</v>
      </c>
      <c r="AT227" s="147">
        <f t="shared" si="116"/>
        <v>0.27986535735311735</v>
      </c>
      <c r="AU227" s="147">
        <f t="shared" si="116"/>
        <v>0.25247408781129083</v>
      </c>
      <c r="AV227" s="147">
        <f t="shared" si="116"/>
        <v>0.22776368471970646</v>
      </c>
    </row>
    <row r="228" spans="3:48" ht="12.95" customHeight="1" x14ac:dyDescent="0.2">
      <c r="C228" s="253" t="s">
        <v>869</v>
      </c>
      <c r="F228" s="253" t="s">
        <v>494</v>
      </c>
      <c r="G228" s="124"/>
      <c r="H228" s="147"/>
      <c r="I228" s="147"/>
      <c r="J228" s="147"/>
      <c r="K228" s="147"/>
      <c r="L228" s="147"/>
      <c r="M228" s="147"/>
      <c r="N228" s="147"/>
      <c r="O228" s="147"/>
      <c r="P228" s="147"/>
      <c r="Q228" s="147"/>
      <c r="R228" s="147"/>
      <c r="S228" s="147"/>
      <c r="T228" s="147">
        <f t="shared" ref="T228:AV228" si="117">S227</f>
        <v>0.31022834432391738</v>
      </c>
      <c r="U228" s="147">
        <f t="shared" si="117"/>
        <v>0.27986535735311735</v>
      </c>
      <c r="V228" s="147">
        <f t="shared" si="117"/>
        <v>0.25247408781129083</v>
      </c>
      <c r="W228" s="147">
        <f t="shared" si="117"/>
        <v>0.22776368471970646</v>
      </c>
      <c r="X228" s="147">
        <f t="shared" si="117"/>
        <v>0.20547176356518707</v>
      </c>
      <c r="Y228" s="147">
        <f t="shared" si="117"/>
        <v>0.18536162020097194</v>
      </c>
      <c r="Z228" s="147">
        <f t="shared" si="117"/>
        <v>0.16721971743153316</v>
      </c>
      <c r="AA228" s="147">
        <f t="shared" si="117"/>
        <v>0.15085341759294338</v>
      </c>
      <c r="AB228" s="147">
        <f t="shared" si="117"/>
        <v>0.13608893705246536</v>
      </c>
      <c r="AC228" s="147">
        <f t="shared" si="117"/>
        <v>0.12276950090745718</v>
      </c>
      <c r="AD228" s="147">
        <f t="shared" si="117"/>
        <v>0.11075367828948064</v>
      </c>
      <c r="AE228" s="147">
        <f t="shared" si="117"/>
        <v>0</v>
      </c>
      <c r="AF228" s="147">
        <f t="shared" si="117"/>
        <v>0</v>
      </c>
      <c r="AG228" s="147">
        <f t="shared" si="117"/>
        <v>0</v>
      </c>
      <c r="AH228" s="147">
        <f t="shared" si="117"/>
        <v>0</v>
      </c>
      <c r="AI228" s="147">
        <f t="shared" si="117"/>
        <v>0</v>
      </c>
      <c r="AJ228" s="147">
        <f t="shared" si="117"/>
        <v>0</v>
      </c>
      <c r="AK228" s="147">
        <f t="shared" si="117"/>
        <v>0</v>
      </c>
      <c r="AL228" s="147">
        <f t="shared" si="117"/>
        <v>0</v>
      </c>
      <c r="AM228" s="147">
        <f t="shared" si="117"/>
        <v>0</v>
      </c>
      <c r="AN228" s="147">
        <f t="shared" si="117"/>
        <v>0</v>
      </c>
      <c r="AO228" s="147">
        <f t="shared" si="117"/>
        <v>0</v>
      </c>
      <c r="AP228" s="147">
        <f t="shared" si="117"/>
        <v>0</v>
      </c>
      <c r="AQ228" s="147">
        <f t="shared" si="117"/>
        <v>0</v>
      </c>
      <c r="AR228" s="147">
        <f t="shared" si="117"/>
        <v>0</v>
      </c>
      <c r="AS228" s="147">
        <f t="shared" si="117"/>
        <v>0</v>
      </c>
      <c r="AT228" s="147">
        <f t="shared" si="117"/>
        <v>0.31022834432391738</v>
      </c>
      <c r="AU228" s="147">
        <f t="shared" si="117"/>
        <v>0.27986535735311735</v>
      </c>
      <c r="AV228" s="147">
        <f t="shared" si="117"/>
        <v>0.25247408781129083</v>
      </c>
    </row>
    <row r="229" spans="3:48" ht="12.95" customHeight="1" x14ac:dyDescent="0.2">
      <c r="C229" s="253" t="s">
        <v>870</v>
      </c>
      <c r="F229" s="253" t="s">
        <v>494</v>
      </c>
      <c r="G229" s="124"/>
      <c r="H229" s="147"/>
      <c r="I229" s="147"/>
      <c r="J229" s="147"/>
      <c r="K229" s="147"/>
      <c r="L229" s="147"/>
      <c r="M229" s="147"/>
      <c r="N229" s="147"/>
      <c r="O229" s="147"/>
      <c r="P229" s="147"/>
      <c r="Q229" s="147"/>
      <c r="R229" s="147"/>
      <c r="S229" s="147"/>
      <c r="T229" s="147"/>
      <c r="U229" s="147">
        <f t="shared" ref="U229:AV229" si="118">T228</f>
        <v>0.31022834432391738</v>
      </c>
      <c r="V229" s="147">
        <f t="shared" si="118"/>
        <v>0.27986535735311735</v>
      </c>
      <c r="W229" s="147">
        <f t="shared" si="118"/>
        <v>0.25247408781129083</v>
      </c>
      <c r="X229" s="147">
        <f t="shared" si="118"/>
        <v>0.22776368471970646</v>
      </c>
      <c r="Y229" s="147">
        <f t="shared" si="118"/>
        <v>0.20547176356518707</v>
      </c>
      <c r="Z229" s="147">
        <f t="shared" si="118"/>
        <v>0.18536162020097194</v>
      </c>
      <c r="AA229" s="147">
        <f t="shared" si="118"/>
        <v>0.16721971743153316</v>
      </c>
      <c r="AB229" s="147">
        <f t="shared" si="118"/>
        <v>0.15085341759294338</v>
      </c>
      <c r="AC229" s="147">
        <f t="shared" si="118"/>
        <v>0.13608893705246536</v>
      </c>
      <c r="AD229" s="147">
        <f t="shared" si="118"/>
        <v>0.12276950090745718</v>
      </c>
      <c r="AE229" s="147">
        <f t="shared" si="118"/>
        <v>0.11075367828948064</v>
      </c>
      <c r="AF229" s="147">
        <f t="shared" si="118"/>
        <v>0</v>
      </c>
      <c r="AG229" s="147">
        <f t="shared" si="118"/>
        <v>0</v>
      </c>
      <c r="AH229" s="147">
        <f t="shared" si="118"/>
        <v>0</v>
      </c>
      <c r="AI229" s="147">
        <f t="shared" si="118"/>
        <v>0</v>
      </c>
      <c r="AJ229" s="147">
        <f t="shared" si="118"/>
        <v>0</v>
      </c>
      <c r="AK229" s="147">
        <f t="shared" si="118"/>
        <v>0</v>
      </c>
      <c r="AL229" s="147">
        <f t="shared" si="118"/>
        <v>0</v>
      </c>
      <c r="AM229" s="147">
        <f t="shared" si="118"/>
        <v>0</v>
      </c>
      <c r="AN229" s="147">
        <f t="shared" si="118"/>
        <v>0</v>
      </c>
      <c r="AO229" s="147">
        <f t="shared" si="118"/>
        <v>0</v>
      </c>
      <c r="AP229" s="147">
        <f t="shared" si="118"/>
        <v>0</v>
      </c>
      <c r="AQ229" s="147">
        <f t="shared" si="118"/>
        <v>0</v>
      </c>
      <c r="AR229" s="147">
        <f t="shared" si="118"/>
        <v>0</v>
      </c>
      <c r="AS229" s="147">
        <f t="shared" si="118"/>
        <v>0</v>
      </c>
      <c r="AT229" s="147">
        <f t="shared" si="118"/>
        <v>0</v>
      </c>
      <c r="AU229" s="147">
        <f t="shared" si="118"/>
        <v>0.31022834432391738</v>
      </c>
      <c r="AV229" s="147">
        <f t="shared" si="118"/>
        <v>0.27986535735311735</v>
      </c>
    </row>
    <row r="230" spans="3:48" ht="12.95" customHeight="1" x14ac:dyDescent="0.2">
      <c r="C230" s="253" t="s">
        <v>871</v>
      </c>
      <c r="F230" s="253" t="s">
        <v>494</v>
      </c>
      <c r="G230" s="124"/>
      <c r="H230" s="147"/>
      <c r="I230" s="147"/>
      <c r="J230" s="147"/>
      <c r="K230" s="147"/>
      <c r="L230" s="147"/>
      <c r="M230" s="147"/>
      <c r="N230" s="147"/>
      <c r="O230" s="147"/>
      <c r="P230" s="147"/>
      <c r="Q230" s="147"/>
      <c r="R230" s="147"/>
      <c r="S230" s="147"/>
      <c r="T230" s="147"/>
      <c r="U230" s="147"/>
      <c r="V230" s="147">
        <f t="shared" ref="V230:AV230" si="119">U229</f>
        <v>0.31022834432391738</v>
      </c>
      <c r="W230" s="147">
        <f t="shared" si="119"/>
        <v>0.27986535735311735</v>
      </c>
      <c r="X230" s="147">
        <f t="shared" si="119"/>
        <v>0.25247408781129083</v>
      </c>
      <c r="Y230" s="147">
        <f t="shared" si="119"/>
        <v>0.22776368471970646</v>
      </c>
      <c r="Z230" s="147">
        <f t="shared" si="119"/>
        <v>0.20547176356518707</v>
      </c>
      <c r="AA230" s="147">
        <f t="shared" si="119"/>
        <v>0.18536162020097194</v>
      </c>
      <c r="AB230" s="147">
        <f t="shared" si="119"/>
        <v>0.16721971743153316</v>
      </c>
      <c r="AC230" s="147">
        <f t="shared" si="119"/>
        <v>0.15085341759294338</v>
      </c>
      <c r="AD230" s="147">
        <f t="shared" si="119"/>
        <v>0.13608893705246536</v>
      </c>
      <c r="AE230" s="147">
        <f t="shared" si="119"/>
        <v>0.12276950090745718</v>
      </c>
      <c r="AF230" s="147">
        <f t="shared" si="119"/>
        <v>0.11075367828948064</v>
      </c>
      <c r="AG230" s="147">
        <f t="shared" si="119"/>
        <v>0</v>
      </c>
      <c r="AH230" s="147">
        <f t="shared" si="119"/>
        <v>0</v>
      </c>
      <c r="AI230" s="147">
        <f t="shared" si="119"/>
        <v>0</v>
      </c>
      <c r="AJ230" s="147">
        <f t="shared" si="119"/>
        <v>0</v>
      </c>
      <c r="AK230" s="147">
        <f t="shared" si="119"/>
        <v>0</v>
      </c>
      <c r="AL230" s="147">
        <f t="shared" si="119"/>
        <v>0</v>
      </c>
      <c r="AM230" s="147">
        <f t="shared" si="119"/>
        <v>0</v>
      </c>
      <c r="AN230" s="147">
        <f t="shared" si="119"/>
        <v>0</v>
      </c>
      <c r="AO230" s="147">
        <f t="shared" si="119"/>
        <v>0</v>
      </c>
      <c r="AP230" s="147">
        <f t="shared" si="119"/>
        <v>0</v>
      </c>
      <c r="AQ230" s="147">
        <f t="shared" si="119"/>
        <v>0</v>
      </c>
      <c r="AR230" s="147">
        <f t="shared" si="119"/>
        <v>0</v>
      </c>
      <c r="AS230" s="147">
        <f t="shared" si="119"/>
        <v>0</v>
      </c>
      <c r="AT230" s="147">
        <f t="shared" si="119"/>
        <v>0</v>
      </c>
      <c r="AU230" s="147">
        <f t="shared" si="119"/>
        <v>0</v>
      </c>
      <c r="AV230" s="147">
        <f t="shared" si="119"/>
        <v>0.31022834432391738</v>
      </c>
    </row>
    <row r="231" spans="3:48" ht="12.95" customHeight="1" x14ac:dyDescent="0.2">
      <c r="C231" s="253" t="s">
        <v>872</v>
      </c>
      <c r="F231" s="253" t="s">
        <v>494</v>
      </c>
      <c r="G231" s="124"/>
      <c r="H231" s="147"/>
      <c r="I231" s="147"/>
      <c r="J231" s="147"/>
      <c r="K231" s="147"/>
      <c r="L231" s="147"/>
      <c r="M231" s="147"/>
      <c r="N231" s="147"/>
      <c r="O231" s="147"/>
      <c r="P231" s="147"/>
      <c r="Q231" s="147"/>
      <c r="R231" s="147"/>
      <c r="S231" s="147"/>
      <c r="T231" s="147"/>
      <c r="U231" s="147"/>
      <c r="V231" s="147"/>
      <c r="W231" s="147">
        <f t="shared" ref="W231:AV231" si="120">V230</f>
        <v>0.31022834432391738</v>
      </c>
      <c r="X231" s="147">
        <f t="shared" si="120"/>
        <v>0.27986535735311735</v>
      </c>
      <c r="Y231" s="147">
        <f t="shared" si="120"/>
        <v>0.25247408781129083</v>
      </c>
      <c r="Z231" s="147">
        <f t="shared" si="120"/>
        <v>0.22776368471970646</v>
      </c>
      <c r="AA231" s="147">
        <f t="shared" si="120"/>
        <v>0.20547176356518707</v>
      </c>
      <c r="AB231" s="147">
        <f t="shared" si="120"/>
        <v>0.18536162020097194</v>
      </c>
      <c r="AC231" s="147">
        <f t="shared" si="120"/>
        <v>0.16721971743153316</v>
      </c>
      <c r="AD231" s="147">
        <f t="shared" si="120"/>
        <v>0.15085341759294338</v>
      </c>
      <c r="AE231" s="147">
        <f t="shared" si="120"/>
        <v>0.13608893705246536</v>
      </c>
      <c r="AF231" s="147">
        <f t="shared" si="120"/>
        <v>0.12276950090745718</v>
      </c>
      <c r="AG231" s="147">
        <f t="shared" si="120"/>
        <v>0.11075367828948064</v>
      </c>
      <c r="AH231" s="147">
        <f t="shared" si="120"/>
        <v>0</v>
      </c>
      <c r="AI231" s="147">
        <f t="shared" si="120"/>
        <v>0</v>
      </c>
      <c r="AJ231" s="147">
        <f t="shared" si="120"/>
        <v>0</v>
      </c>
      <c r="AK231" s="147">
        <f t="shared" si="120"/>
        <v>0</v>
      </c>
      <c r="AL231" s="147">
        <f t="shared" si="120"/>
        <v>0</v>
      </c>
      <c r="AM231" s="147">
        <f t="shared" si="120"/>
        <v>0</v>
      </c>
      <c r="AN231" s="147">
        <f t="shared" si="120"/>
        <v>0</v>
      </c>
      <c r="AO231" s="147">
        <f t="shared" si="120"/>
        <v>0</v>
      </c>
      <c r="AP231" s="147">
        <f t="shared" si="120"/>
        <v>0</v>
      </c>
      <c r="AQ231" s="147">
        <f t="shared" si="120"/>
        <v>0</v>
      </c>
      <c r="AR231" s="147">
        <f t="shared" si="120"/>
        <v>0</v>
      </c>
      <c r="AS231" s="147">
        <f t="shared" si="120"/>
        <v>0</v>
      </c>
      <c r="AT231" s="147">
        <f t="shared" si="120"/>
        <v>0</v>
      </c>
      <c r="AU231" s="147">
        <f t="shared" si="120"/>
        <v>0</v>
      </c>
      <c r="AV231" s="147">
        <f t="shared" si="120"/>
        <v>0</v>
      </c>
    </row>
    <row r="232" spans="3:48" ht="12.95" customHeight="1" x14ac:dyDescent="0.2">
      <c r="C232" s="253" t="s">
        <v>873</v>
      </c>
      <c r="F232" s="253" t="s">
        <v>494</v>
      </c>
      <c r="G232" s="124"/>
      <c r="H232" s="147"/>
      <c r="I232" s="147"/>
      <c r="J232" s="147"/>
      <c r="K232" s="147"/>
      <c r="L232" s="147"/>
      <c r="M232" s="147"/>
      <c r="N232" s="147"/>
      <c r="O232" s="147"/>
      <c r="P232" s="147"/>
      <c r="Q232" s="147"/>
      <c r="R232" s="147"/>
      <c r="S232" s="147"/>
      <c r="T232" s="147"/>
      <c r="U232" s="147"/>
      <c r="V232" s="147"/>
      <c r="W232" s="147"/>
      <c r="X232" s="147">
        <f t="shared" ref="X232:AV232" si="121">W231</f>
        <v>0.31022834432391738</v>
      </c>
      <c r="Y232" s="147">
        <f t="shared" si="121"/>
        <v>0.27986535735311735</v>
      </c>
      <c r="Z232" s="147">
        <f t="shared" si="121"/>
        <v>0.25247408781129083</v>
      </c>
      <c r="AA232" s="147">
        <f t="shared" si="121"/>
        <v>0.22776368471970646</v>
      </c>
      <c r="AB232" s="147">
        <f t="shared" si="121"/>
        <v>0.20547176356518707</v>
      </c>
      <c r="AC232" s="147">
        <f t="shared" si="121"/>
        <v>0.18536162020097194</v>
      </c>
      <c r="AD232" s="147">
        <f t="shared" si="121"/>
        <v>0.16721971743153316</v>
      </c>
      <c r="AE232" s="147">
        <f t="shared" si="121"/>
        <v>0.15085341759294338</v>
      </c>
      <c r="AF232" s="147">
        <f t="shared" si="121"/>
        <v>0.13608893705246536</v>
      </c>
      <c r="AG232" s="147">
        <f t="shared" si="121"/>
        <v>0.12276950090745718</v>
      </c>
      <c r="AH232" s="147">
        <f t="shared" si="121"/>
        <v>0.11075367828948064</v>
      </c>
      <c r="AI232" s="147">
        <f t="shared" si="121"/>
        <v>0</v>
      </c>
      <c r="AJ232" s="147">
        <f t="shared" si="121"/>
        <v>0</v>
      </c>
      <c r="AK232" s="147">
        <f t="shared" si="121"/>
        <v>0</v>
      </c>
      <c r="AL232" s="147">
        <f t="shared" si="121"/>
        <v>0</v>
      </c>
      <c r="AM232" s="147">
        <f t="shared" si="121"/>
        <v>0</v>
      </c>
      <c r="AN232" s="147">
        <f t="shared" si="121"/>
        <v>0</v>
      </c>
      <c r="AO232" s="147">
        <f t="shared" si="121"/>
        <v>0</v>
      </c>
      <c r="AP232" s="147">
        <f t="shared" si="121"/>
        <v>0</v>
      </c>
      <c r="AQ232" s="147">
        <f t="shared" si="121"/>
        <v>0</v>
      </c>
      <c r="AR232" s="147">
        <f t="shared" si="121"/>
        <v>0</v>
      </c>
      <c r="AS232" s="147">
        <f t="shared" si="121"/>
        <v>0</v>
      </c>
      <c r="AT232" s="147">
        <f t="shared" si="121"/>
        <v>0</v>
      </c>
      <c r="AU232" s="147">
        <f t="shared" si="121"/>
        <v>0</v>
      </c>
      <c r="AV232" s="147">
        <f t="shared" si="121"/>
        <v>0</v>
      </c>
    </row>
    <row r="233" spans="3:48" ht="12.95" customHeight="1" x14ac:dyDescent="0.2">
      <c r="C233" s="253" t="s">
        <v>874</v>
      </c>
      <c r="F233" s="253" t="s">
        <v>494</v>
      </c>
      <c r="G233" s="124"/>
      <c r="H233" s="147"/>
      <c r="I233" s="147"/>
      <c r="J233" s="147"/>
      <c r="K233" s="147"/>
      <c r="L233" s="147"/>
      <c r="M233" s="147"/>
      <c r="N233" s="147"/>
      <c r="O233" s="147"/>
      <c r="P233" s="147"/>
      <c r="Q233" s="147"/>
      <c r="R233" s="147"/>
      <c r="S233" s="147"/>
      <c r="T233" s="147"/>
      <c r="U233" s="147"/>
      <c r="V233" s="147"/>
      <c r="W233" s="147"/>
      <c r="X233" s="147"/>
      <c r="Y233" s="147">
        <f t="shared" ref="Y233:AV233" si="122">X232</f>
        <v>0.31022834432391738</v>
      </c>
      <c r="Z233" s="147">
        <f t="shared" si="122"/>
        <v>0.27986535735311735</v>
      </c>
      <c r="AA233" s="147">
        <f t="shared" si="122"/>
        <v>0.25247408781129083</v>
      </c>
      <c r="AB233" s="147">
        <f t="shared" si="122"/>
        <v>0.22776368471970646</v>
      </c>
      <c r="AC233" s="147">
        <f t="shared" si="122"/>
        <v>0.20547176356518707</v>
      </c>
      <c r="AD233" s="147">
        <f t="shared" si="122"/>
        <v>0.18536162020097194</v>
      </c>
      <c r="AE233" s="147">
        <f t="shared" si="122"/>
        <v>0.16721971743153316</v>
      </c>
      <c r="AF233" s="147">
        <f t="shared" si="122"/>
        <v>0.15085341759294338</v>
      </c>
      <c r="AG233" s="147">
        <f t="shared" si="122"/>
        <v>0.13608893705246536</v>
      </c>
      <c r="AH233" s="147">
        <f t="shared" si="122"/>
        <v>0.12276950090745718</v>
      </c>
      <c r="AI233" s="147">
        <f t="shared" si="122"/>
        <v>0.11075367828948064</v>
      </c>
      <c r="AJ233" s="147">
        <f t="shared" si="122"/>
        <v>0</v>
      </c>
      <c r="AK233" s="147">
        <f t="shared" si="122"/>
        <v>0</v>
      </c>
      <c r="AL233" s="147">
        <f t="shared" si="122"/>
        <v>0</v>
      </c>
      <c r="AM233" s="147">
        <f t="shared" si="122"/>
        <v>0</v>
      </c>
      <c r="AN233" s="147">
        <f t="shared" si="122"/>
        <v>0</v>
      </c>
      <c r="AO233" s="147">
        <f t="shared" si="122"/>
        <v>0</v>
      </c>
      <c r="AP233" s="147">
        <f t="shared" si="122"/>
        <v>0</v>
      </c>
      <c r="AQ233" s="147">
        <f t="shared" si="122"/>
        <v>0</v>
      </c>
      <c r="AR233" s="147">
        <f t="shared" si="122"/>
        <v>0</v>
      </c>
      <c r="AS233" s="147">
        <f t="shared" si="122"/>
        <v>0</v>
      </c>
      <c r="AT233" s="147">
        <f t="shared" si="122"/>
        <v>0</v>
      </c>
      <c r="AU233" s="147">
        <f t="shared" si="122"/>
        <v>0</v>
      </c>
      <c r="AV233" s="147">
        <f t="shared" si="122"/>
        <v>0</v>
      </c>
    </row>
    <row r="234" spans="3:48" ht="12.95" customHeight="1" x14ac:dyDescent="0.2">
      <c r="C234" s="253" t="s">
        <v>875</v>
      </c>
      <c r="F234" s="253" t="s">
        <v>494</v>
      </c>
      <c r="G234" s="124"/>
      <c r="H234" s="147"/>
      <c r="I234" s="147"/>
      <c r="J234" s="147"/>
      <c r="K234" s="147"/>
      <c r="L234" s="147"/>
      <c r="M234" s="147"/>
      <c r="N234" s="147"/>
      <c r="O234" s="147"/>
      <c r="P234" s="147"/>
      <c r="Q234" s="147"/>
      <c r="R234" s="147"/>
      <c r="S234" s="147"/>
      <c r="T234" s="147"/>
      <c r="U234" s="147"/>
      <c r="V234" s="147"/>
      <c r="W234" s="147"/>
      <c r="X234" s="147"/>
      <c r="Y234" s="147"/>
      <c r="Z234" s="147">
        <f t="shared" ref="Z234:AV234" si="123">Y233</f>
        <v>0.31022834432391738</v>
      </c>
      <c r="AA234" s="147">
        <f t="shared" si="123"/>
        <v>0.27986535735311735</v>
      </c>
      <c r="AB234" s="147">
        <f t="shared" si="123"/>
        <v>0.25247408781129083</v>
      </c>
      <c r="AC234" s="147">
        <f t="shared" si="123"/>
        <v>0.22776368471970646</v>
      </c>
      <c r="AD234" s="147">
        <f t="shared" si="123"/>
        <v>0.20547176356518707</v>
      </c>
      <c r="AE234" s="147">
        <f t="shared" si="123"/>
        <v>0.18536162020097194</v>
      </c>
      <c r="AF234" s="147">
        <f t="shared" si="123"/>
        <v>0.16721971743153316</v>
      </c>
      <c r="AG234" s="147">
        <f t="shared" si="123"/>
        <v>0.15085341759294338</v>
      </c>
      <c r="AH234" s="147">
        <f t="shared" si="123"/>
        <v>0.13608893705246536</v>
      </c>
      <c r="AI234" s="147">
        <f t="shared" si="123"/>
        <v>0.12276950090745718</v>
      </c>
      <c r="AJ234" s="147">
        <f t="shared" si="123"/>
        <v>0.11075367828948064</v>
      </c>
      <c r="AK234" s="147">
        <f t="shared" si="123"/>
        <v>0</v>
      </c>
      <c r="AL234" s="147">
        <f t="shared" si="123"/>
        <v>0</v>
      </c>
      <c r="AM234" s="147">
        <f t="shared" si="123"/>
        <v>0</v>
      </c>
      <c r="AN234" s="147">
        <f t="shared" si="123"/>
        <v>0</v>
      </c>
      <c r="AO234" s="147">
        <f t="shared" si="123"/>
        <v>0</v>
      </c>
      <c r="AP234" s="147">
        <f t="shared" si="123"/>
        <v>0</v>
      </c>
      <c r="AQ234" s="147">
        <f t="shared" si="123"/>
        <v>0</v>
      </c>
      <c r="AR234" s="147">
        <f t="shared" si="123"/>
        <v>0</v>
      </c>
      <c r="AS234" s="147">
        <f t="shared" si="123"/>
        <v>0</v>
      </c>
      <c r="AT234" s="147">
        <f t="shared" si="123"/>
        <v>0</v>
      </c>
      <c r="AU234" s="147">
        <f t="shared" si="123"/>
        <v>0</v>
      </c>
      <c r="AV234" s="147">
        <f t="shared" si="123"/>
        <v>0</v>
      </c>
    </row>
    <row r="235" spans="3:48" ht="12.95" customHeight="1" x14ac:dyDescent="0.2">
      <c r="C235" s="253" t="s">
        <v>876</v>
      </c>
      <c r="F235" s="253" t="s">
        <v>494</v>
      </c>
      <c r="G235" s="124"/>
      <c r="H235" s="147"/>
      <c r="I235" s="147"/>
      <c r="J235" s="147"/>
      <c r="K235" s="147"/>
      <c r="L235" s="147"/>
      <c r="M235" s="147"/>
      <c r="N235" s="147"/>
      <c r="O235" s="147"/>
      <c r="P235" s="147"/>
      <c r="Q235" s="147"/>
      <c r="R235" s="147"/>
      <c r="S235" s="147"/>
      <c r="T235" s="147"/>
      <c r="U235" s="147"/>
      <c r="V235" s="147"/>
      <c r="W235" s="147"/>
      <c r="X235" s="147"/>
      <c r="Y235" s="147"/>
      <c r="Z235" s="147"/>
      <c r="AA235" s="147">
        <f t="shared" ref="AA235:AV235" si="124">Z234</f>
        <v>0.31022834432391738</v>
      </c>
      <c r="AB235" s="147">
        <f t="shared" si="124"/>
        <v>0.27986535735311735</v>
      </c>
      <c r="AC235" s="147">
        <f t="shared" si="124"/>
        <v>0.25247408781129083</v>
      </c>
      <c r="AD235" s="147">
        <f t="shared" si="124"/>
        <v>0.22776368471970646</v>
      </c>
      <c r="AE235" s="147">
        <f t="shared" si="124"/>
        <v>0.20547176356518707</v>
      </c>
      <c r="AF235" s="147">
        <f t="shared" si="124"/>
        <v>0.18536162020097194</v>
      </c>
      <c r="AG235" s="147">
        <f t="shared" si="124"/>
        <v>0.16721971743153316</v>
      </c>
      <c r="AH235" s="147">
        <f t="shared" si="124"/>
        <v>0.15085341759294338</v>
      </c>
      <c r="AI235" s="147">
        <f t="shared" si="124"/>
        <v>0.13608893705246536</v>
      </c>
      <c r="AJ235" s="147">
        <f t="shared" si="124"/>
        <v>0.12276950090745718</v>
      </c>
      <c r="AK235" s="147">
        <f t="shared" si="124"/>
        <v>0.11075367828948064</v>
      </c>
      <c r="AL235" s="147">
        <f t="shared" si="124"/>
        <v>0</v>
      </c>
      <c r="AM235" s="147">
        <f t="shared" si="124"/>
        <v>0</v>
      </c>
      <c r="AN235" s="147">
        <f t="shared" si="124"/>
        <v>0</v>
      </c>
      <c r="AO235" s="147">
        <f t="shared" si="124"/>
        <v>0</v>
      </c>
      <c r="AP235" s="147">
        <f t="shared" si="124"/>
        <v>0</v>
      </c>
      <c r="AQ235" s="147">
        <f t="shared" si="124"/>
        <v>0</v>
      </c>
      <c r="AR235" s="147">
        <f t="shared" si="124"/>
        <v>0</v>
      </c>
      <c r="AS235" s="147">
        <f t="shared" si="124"/>
        <v>0</v>
      </c>
      <c r="AT235" s="147">
        <f t="shared" si="124"/>
        <v>0</v>
      </c>
      <c r="AU235" s="147">
        <f t="shared" si="124"/>
        <v>0</v>
      </c>
      <c r="AV235" s="147">
        <f t="shared" si="124"/>
        <v>0</v>
      </c>
    </row>
    <row r="236" spans="3:48" ht="12.95" customHeight="1" x14ac:dyDescent="0.2">
      <c r="C236" s="253" t="s">
        <v>877</v>
      </c>
      <c r="F236" s="253" t="s">
        <v>494</v>
      </c>
      <c r="G236" s="124"/>
      <c r="H236" s="147"/>
      <c r="I236" s="147"/>
      <c r="J236" s="147"/>
      <c r="K236" s="147"/>
      <c r="L236" s="147"/>
      <c r="M236" s="147"/>
      <c r="N236" s="147"/>
      <c r="O236" s="147"/>
      <c r="P236" s="147"/>
      <c r="Q236" s="147"/>
      <c r="R236" s="147"/>
      <c r="S236" s="147"/>
      <c r="T236" s="147"/>
      <c r="U236" s="147"/>
      <c r="V236" s="147"/>
      <c r="W236" s="147"/>
      <c r="X236" s="147"/>
      <c r="Y236" s="147"/>
      <c r="Z236" s="147"/>
      <c r="AA236" s="147"/>
      <c r="AB236" s="147">
        <f t="shared" ref="AB236:AV236" si="125">AA235</f>
        <v>0.31022834432391738</v>
      </c>
      <c r="AC236" s="147">
        <f t="shared" si="125"/>
        <v>0.27986535735311735</v>
      </c>
      <c r="AD236" s="147">
        <f t="shared" si="125"/>
        <v>0.25247408781129083</v>
      </c>
      <c r="AE236" s="147">
        <f t="shared" si="125"/>
        <v>0.22776368471970646</v>
      </c>
      <c r="AF236" s="147">
        <f t="shared" si="125"/>
        <v>0.20547176356518707</v>
      </c>
      <c r="AG236" s="147">
        <f t="shared" si="125"/>
        <v>0.18536162020097194</v>
      </c>
      <c r="AH236" s="147">
        <f t="shared" si="125"/>
        <v>0.16721971743153316</v>
      </c>
      <c r="AI236" s="147">
        <f t="shared" si="125"/>
        <v>0.15085341759294338</v>
      </c>
      <c r="AJ236" s="147">
        <f t="shared" si="125"/>
        <v>0.13608893705246536</v>
      </c>
      <c r="AK236" s="147">
        <f t="shared" si="125"/>
        <v>0.12276950090745718</v>
      </c>
      <c r="AL236" s="147">
        <f t="shared" si="125"/>
        <v>0.11075367828948064</v>
      </c>
      <c r="AM236" s="147">
        <f t="shared" si="125"/>
        <v>0</v>
      </c>
      <c r="AN236" s="147">
        <f t="shared" si="125"/>
        <v>0</v>
      </c>
      <c r="AO236" s="147">
        <f t="shared" si="125"/>
        <v>0</v>
      </c>
      <c r="AP236" s="147">
        <f t="shared" si="125"/>
        <v>0</v>
      </c>
      <c r="AQ236" s="147">
        <f t="shared" si="125"/>
        <v>0</v>
      </c>
      <c r="AR236" s="147">
        <f t="shared" si="125"/>
        <v>0</v>
      </c>
      <c r="AS236" s="147">
        <f t="shared" si="125"/>
        <v>0</v>
      </c>
      <c r="AT236" s="147">
        <f t="shared" si="125"/>
        <v>0</v>
      </c>
      <c r="AU236" s="147">
        <f t="shared" si="125"/>
        <v>0</v>
      </c>
      <c r="AV236" s="147">
        <f t="shared" si="125"/>
        <v>0</v>
      </c>
    </row>
    <row r="237" spans="3:48" ht="12.95" customHeight="1" x14ac:dyDescent="0.2">
      <c r="C237" s="253" t="s">
        <v>878</v>
      </c>
      <c r="F237" s="253" t="s">
        <v>494</v>
      </c>
      <c r="G237" s="124"/>
      <c r="H237" s="147"/>
      <c r="I237" s="147"/>
      <c r="J237" s="147"/>
      <c r="K237" s="147"/>
      <c r="L237" s="147"/>
      <c r="M237" s="147"/>
      <c r="N237" s="147"/>
      <c r="O237" s="147"/>
      <c r="P237" s="147"/>
      <c r="Q237" s="147"/>
      <c r="R237" s="147"/>
      <c r="S237" s="147"/>
      <c r="T237" s="147"/>
      <c r="U237" s="147"/>
      <c r="V237" s="147"/>
      <c r="W237" s="147"/>
      <c r="X237" s="147"/>
      <c r="Y237" s="147"/>
      <c r="Z237" s="147"/>
      <c r="AA237" s="147"/>
      <c r="AB237" s="147"/>
      <c r="AC237" s="147">
        <f t="shared" ref="AC237:AV237" si="126">AB236</f>
        <v>0.31022834432391738</v>
      </c>
      <c r="AD237" s="147">
        <f t="shared" si="126"/>
        <v>0.27986535735311735</v>
      </c>
      <c r="AE237" s="147">
        <f t="shared" si="126"/>
        <v>0.25247408781129083</v>
      </c>
      <c r="AF237" s="147">
        <f t="shared" si="126"/>
        <v>0.22776368471970646</v>
      </c>
      <c r="AG237" s="147">
        <f t="shared" si="126"/>
        <v>0.20547176356518707</v>
      </c>
      <c r="AH237" s="147">
        <f t="shared" si="126"/>
        <v>0.18536162020097194</v>
      </c>
      <c r="AI237" s="147">
        <f t="shared" si="126"/>
        <v>0.16721971743153316</v>
      </c>
      <c r="AJ237" s="147">
        <f t="shared" si="126"/>
        <v>0.15085341759294338</v>
      </c>
      <c r="AK237" s="147">
        <f t="shared" si="126"/>
        <v>0.13608893705246536</v>
      </c>
      <c r="AL237" s="147">
        <f t="shared" si="126"/>
        <v>0.12276950090745718</v>
      </c>
      <c r="AM237" s="147">
        <f t="shared" si="126"/>
        <v>0.11075367828948064</v>
      </c>
      <c r="AN237" s="147">
        <f t="shared" si="126"/>
        <v>0</v>
      </c>
      <c r="AO237" s="147">
        <f t="shared" si="126"/>
        <v>0</v>
      </c>
      <c r="AP237" s="147">
        <f t="shared" si="126"/>
        <v>0</v>
      </c>
      <c r="AQ237" s="147">
        <f t="shared" si="126"/>
        <v>0</v>
      </c>
      <c r="AR237" s="147">
        <f t="shared" si="126"/>
        <v>0</v>
      </c>
      <c r="AS237" s="147">
        <f t="shared" si="126"/>
        <v>0</v>
      </c>
      <c r="AT237" s="147">
        <f t="shared" si="126"/>
        <v>0</v>
      </c>
      <c r="AU237" s="147">
        <f t="shared" si="126"/>
        <v>0</v>
      </c>
      <c r="AV237" s="147">
        <f t="shared" si="126"/>
        <v>0</v>
      </c>
    </row>
    <row r="238" spans="3:48" ht="12.95" customHeight="1" x14ac:dyDescent="0.2">
      <c r="C238" s="253" t="s">
        <v>879</v>
      </c>
      <c r="F238" s="253" t="s">
        <v>494</v>
      </c>
      <c r="G238" s="124"/>
      <c r="H238" s="147"/>
      <c r="I238" s="147"/>
      <c r="J238" s="147"/>
      <c r="K238" s="147"/>
      <c r="L238" s="147"/>
      <c r="M238" s="147"/>
      <c r="N238" s="147"/>
      <c r="O238" s="147"/>
      <c r="P238" s="147"/>
      <c r="Q238" s="147"/>
      <c r="R238" s="147"/>
      <c r="S238" s="147"/>
      <c r="T238" s="147"/>
      <c r="U238" s="147"/>
      <c r="V238" s="147"/>
      <c r="W238" s="147"/>
      <c r="X238" s="147"/>
      <c r="Y238" s="147"/>
      <c r="Z238" s="147"/>
      <c r="AA238" s="147"/>
      <c r="AB238" s="147"/>
      <c r="AC238" s="147"/>
      <c r="AD238" s="147">
        <f t="shared" ref="AD238:AV238" si="127">AC237</f>
        <v>0.31022834432391738</v>
      </c>
      <c r="AE238" s="147">
        <f t="shared" si="127"/>
        <v>0.27986535735311735</v>
      </c>
      <c r="AF238" s="147">
        <f t="shared" si="127"/>
        <v>0.25247408781129083</v>
      </c>
      <c r="AG238" s="147">
        <f t="shared" si="127"/>
        <v>0.22776368471970646</v>
      </c>
      <c r="AH238" s="147">
        <f t="shared" si="127"/>
        <v>0.20547176356518707</v>
      </c>
      <c r="AI238" s="147">
        <f t="shared" si="127"/>
        <v>0.18536162020097194</v>
      </c>
      <c r="AJ238" s="147">
        <f t="shared" si="127"/>
        <v>0.16721971743153316</v>
      </c>
      <c r="AK238" s="147">
        <f t="shared" si="127"/>
        <v>0.15085341759294338</v>
      </c>
      <c r="AL238" s="147">
        <f t="shared" si="127"/>
        <v>0.13608893705246536</v>
      </c>
      <c r="AM238" s="147">
        <f t="shared" si="127"/>
        <v>0.12276950090745718</v>
      </c>
      <c r="AN238" s="147">
        <f t="shared" si="127"/>
        <v>0.11075367828948064</v>
      </c>
      <c r="AO238" s="147">
        <f t="shared" si="127"/>
        <v>0</v>
      </c>
      <c r="AP238" s="147">
        <f t="shared" si="127"/>
        <v>0</v>
      </c>
      <c r="AQ238" s="147">
        <f t="shared" si="127"/>
        <v>0</v>
      </c>
      <c r="AR238" s="147">
        <f t="shared" si="127"/>
        <v>0</v>
      </c>
      <c r="AS238" s="147">
        <f t="shared" si="127"/>
        <v>0</v>
      </c>
      <c r="AT238" s="147">
        <f t="shared" si="127"/>
        <v>0</v>
      </c>
      <c r="AU238" s="147">
        <f t="shared" si="127"/>
        <v>0</v>
      </c>
      <c r="AV238" s="147">
        <f t="shared" si="127"/>
        <v>0</v>
      </c>
    </row>
    <row r="239" spans="3:48" ht="12.95" customHeight="1" x14ac:dyDescent="0.2">
      <c r="C239" s="253" t="s">
        <v>880</v>
      </c>
      <c r="F239" s="253" t="s">
        <v>494</v>
      </c>
      <c r="G239" s="124"/>
      <c r="H239" s="147"/>
      <c r="I239" s="147"/>
      <c r="J239" s="147"/>
      <c r="K239" s="147"/>
      <c r="L239" s="147"/>
      <c r="M239" s="147"/>
      <c r="N239" s="147"/>
      <c r="O239" s="147"/>
      <c r="P239" s="147"/>
      <c r="Q239" s="147"/>
      <c r="R239" s="147"/>
      <c r="S239" s="147"/>
      <c r="T239" s="147"/>
      <c r="U239" s="147"/>
      <c r="V239" s="147"/>
      <c r="W239" s="147"/>
      <c r="X239" s="147"/>
      <c r="Y239" s="147"/>
      <c r="Z239" s="147"/>
      <c r="AA239" s="147"/>
      <c r="AB239" s="147"/>
      <c r="AC239" s="147"/>
      <c r="AD239" s="147"/>
      <c r="AE239" s="147">
        <f t="shared" ref="AE239:AV239" si="128">AD238</f>
        <v>0.31022834432391738</v>
      </c>
      <c r="AF239" s="147">
        <f t="shared" si="128"/>
        <v>0.27986535735311735</v>
      </c>
      <c r="AG239" s="147">
        <f t="shared" si="128"/>
        <v>0.25247408781129083</v>
      </c>
      <c r="AH239" s="147">
        <f t="shared" si="128"/>
        <v>0.22776368471970646</v>
      </c>
      <c r="AI239" s="147">
        <f t="shared" si="128"/>
        <v>0.20547176356518707</v>
      </c>
      <c r="AJ239" s="147">
        <f t="shared" si="128"/>
        <v>0.18536162020097194</v>
      </c>
      <c r="AK239" s="147">
        <f t="shared" si="128"/>
        <v>0.16721971743153316</v>
      </c>
      <c r="AL239" s="147">
        <f t="shared" si="128"/>
        <v>0.15085341759294338</v>
      </c>
      <c r="AM239" s="147">
        <f t="shared" si="128"/>
        <v>0.13608893705246536</v>
      </c>
      <c r="AN239" s="147">
        <f t="shared" si="128"/>
        <v>0.12276950090745718</v>
      </c>
      <c r="AO239" s="147">
        <f t="shared" si="128"/>
        <v>0.11075367828948064</v>
      </c>
      <c r="AP239" s="147">
        <f t="shared" si="128"/>
        <v>0</v>
      </c>
      <c r="AQ239" s="147">
        <f t="shared" si="128"/>
        <v>0</v>
      </c>
      <c r="AR239" s="147">
        <f t="shared" si="128"/>
        <v>0</v>
      </c>
      <c r="AS239" s="147">
        <f t="shared" si="128"/>
        <v>0</v>
      </c>
      <c r="AT239" s="147">
        <f t="shared" si="128"/>
        <v>0</v>
      </c>
      <c r="AU239" s="147">
        <f t="shared" si="128"/>
        <v>0</v>
      </c>
      <c r="AV239" s="147">
        <f t="shared" si="128"/>
        <v>0</v>
      </c>
    </row>
    <row r="240" spans="3:48" ht="12.95" customHeight="1" x14ac:dyDescent="0.2">
      <c r="C240" s="253" t="s">
        <v>881</v>
      </c>
      <c r="F240" s="253" t="s">
        <v>494</v>
      </c>
      <c r="G240" s="124"/>
      <c r="H240" s="147"/>
      <c r="I240" s="147"/>
      <c r="J240" s="147"/>
      <c r="K240" s="147"/>
      <c r="L240" s="147"/>
      <c r="M240" s="147"/>
      <c r="N240" s="147"/>
      <c r="O240" s="147"/>
      <c r="P240" s="147"/>
      <c r="Q240" s="147"/>
      <c r="R240" s="147"/>
      <c r="S240" s="147"/>
      <c r="T240" s="147"/>
      <c r="U240" s="147"/>
      <c r="V240" s="147"/>
      <c r="W240" s="147"/>
      <c r="X240" s="147"/>
      <c r="Y240" s="147"/>
      <c r="Z240" s="147"/>
      <c r="AA240" s="147"/>
      <c r="AB240" s="147"/>
      <c r="AC240" s="147"/>
      <c r="AD240" s="147"/>
      <c r="AE240" s="147"/>
      <c r="AF240" s="147">
        <f t="shared" ref="AF240:AV240" si="129">AE239</f>
        <v>0.31022834432391738</v>
      </c>
      <c r="AG240" s="147">
        <f t="shared" si="129"/>
        <v>0.27986535735311735</v>
      </c>
      <c r="AH240" s="147">
        <f t="shared" si="129"/>
        <v>0.25247408781129083</v>
      </c>
      <c r="AI240" s="147">
        <f t="shared" si="129"/>
        <v>0.22776368471970646</v>
      </c>
      <c r="AJ240" s="147">
        <f t="shared" si="129"/>
        <v>0.20547176356518707</v>
      </c>
      <c r="AK240" s="147">
        <f t="shared" si="129"/>
        <v>0.18536162020097194</v>
      </c>
      <c r="AL240" s="147">
        <f t="shared" si="129"/>
        <v>0.16721971743153316</v>
      </c>
      <c r="AM240" s="147">
        <f t="shared" si="129"/>
        <v>0.15085341759294338</v>
      </c>
      <c r="AN240" s="147">
        <f t="shared" si="129"/>
        <v>0.13608893705246536</v>
      </c>
      <c r="AO240" s="147">
        <f t="shared" si="129"/>
        <v>0.12276950090745718</v>
      </c>
      <c r="AP240" s="147">
        <f t="shared" si="129"/>
        <v>0.11075367828948064</v>
      </c>
      <c r="AQ240" s="147">
        <f t="shared" si="129"/>
        <v>0</v>
      </c>
      <c r="AR240" s="147">
        <f t="shared" si="129"/>
        <v>0</v>
      </c>
      <c r="AS240" s="147">
        <f t="shared" si="129"/>
        <v>0</v>
      </c>
      <c r="AT240" s="147">
        <f t="shared" si="129"/>
        <v>0</v>
      </c>
      <c r="AU240" s="147">
        <f t="shared" si="129"/>
        <v>0</v>
      </c>
      <c r="AV240" s="147">
        <f t="shared" si="129"/>
        <v>0</v>
      </c>
    </row>
    <row r="241" spans="3:48" ht="12.95" customHeight="1" x14ac:dyDescent="0.2">
      <c r="C241" s="253" t="s">
        <v>882</v>
      </c>
      <c r="F241" s="253" t="s">
        <v>494</v>
      </c>
      <c r="G241" s="124"/>
      <c r="H241" s="147"/>
      <c r="I241" s="147"/>
      <c r="J241" s="147"/>
      <c r="K241" s="147"/>
      <c r="L241" s="147"/>
      <c r="M241" s="147"/>
      <c r="N241" s="147"/>
      <c r="O241" s="147"/>
      <c r="P241" s="147"/>
      <c r="Q241" s="147"/>
      <c r="R241" s="147"/>
      <c r="S241" s="147"/>
      <c r="T241" s="147"/>
      <c r="U241" s="147"/>
      <c r="V241" s="147"/>
      <c r="W241" s="147"/>
      <c r="X241" s="147"/>
      <c r="Y241" s="147"/>
      <c r="Z241" s="147"/>
      <c r="AA241" s="147"/>
      <c r="AB241" s="147"/>
      <c r="AC241" s="147"/>
      <c r="AD241" s="147"/>
      <c r="AE241" s="147"/>
      <c r="AF241" s="147"/>
      <c r="AG241" s="147">
        <f t="shared" ref="AG241:AV241" si="130">AF240</f>
        <v>0.31022834432391738</v>
      </c>
      <c r="AH241" s="147">
        <f t="shared" si="130"/>
        <v>0.27986535735311735</v>
      </c>
      <c r="AI241" s="147">
        <f t="shared" si="130"/>
        <v>0.25247408781129083</v>
      </c>
      <c r="AJ241" s="147">
        <f t="shared" si="130"/>
        <v>0.22776368471970646</v>
      </c>
      <c r="AK241" s="147">
        <f t="shared" si="130"/>
        <v>0.20547176356518707</v>
      </c>
      <c r="AL241" s="147">
        <f t="shared" si="130"/>
        <v>0.18536162020097194</v>
      </c>
      <c r="AM241" s="147">
        <f t="shared" si="130"/>
        <v>0.16721971743153316</v>
      </c>
      <c r="AN241" s="147">
        <f t="shared" si="130"/>
        <v>0.15085341759294338</v>
      </c>
      <c r="AO241" s="147">
        <f t="shared" si="130"/>
        <v>0.13608893705246536</v>
      </c>
      <c r="AP241" s="147">
        <f t="shared" si="130"/>
        <v>0.12276950090745718</v>
      </c>
      <c r="AQ241" s="147">
        <f t="shared" si="130"/>
        <v>0.11075367828948064</v>
      </c>
      <c r="AR241" s="147">
        <f t="shared" si="130"/>
        <v>0</v>
      </c>
      <c r="AS241" s="147">
        <f t="shared" si="130"/>
        <v>0</v>
      </c>
      <c r="AT241" s="147">
        <f t="shared" si="130"/>
        <v>0</v>
      </c>
      <c r="AU241" s="147">
        <f t="shared" si="130"/>
        <v>0</v>
      </c>
      <c r="AV241" s="147">
        <f t="shared" si="130"/>
        <v>0</v>
      </c>
    </row>
    <row r="242" spans="3:48" ht="12.95" customHeight="1" x14ac:dyDescent="0.2">
      <c r="C242" s="253" t="s">
        <v>883</v>
      </c>
      <c r="F242" s="253" t="s">
        <v>494</v>
      </c>
      <c r="G242" s="124"/>
      <c r="H242" s="147"/>
      <c r="I242" s="147"/>
      <c r="J242" s="147"/>
      <c r="K242" s="147"/>
      <c r="L242" s="147"/>
      <c r="M242" s="147"/>
      <c r="N242" s="147"/>
      <c r="O242" s="147"/>
      <c r="P242" s="147"/>
      <c r="Q242" s="147"/>
      <c r="R242" s="147"/>
      <c r="S242" s="147"/>
      <c r="T242" s="147"/>
      <c r="U242" s="147"/>
      <c r="V242" s="147"/>
      <c r="W242" s="147"/>
      <c r="X242" s="147"/>
      <c r="Y242" s="147"/>
      <c r="Z242" s="147"/>
      <c r="AA242" s="147"/>
      <c r="AB242" s="147"/>
      <c r="AC242" s="147"/>
      <c r="AD242" s="147"/>
      <c r="AE242" s="147"/>
      <c r="AF242" s="147"/>
      <c r="AG242" s="147"/>
      <c r="AH242" s="147">
        <f t="shared" ref="AH242:AV242" si="131">AG241</f>
        <v>0.31022834432391738</v>
      </c>
      <c r="AI242" s="147">
        <f t="shared" si="131"/>
        <v>0.27986535735311735</v>
      </c>
      <c r="AJ242" s="147">
        <f t="shared" si="131"/>
        <v>0.25247408781129083</v>
      </c>
      <c r="AK242" s="147">
        <f t="shared" si="131"/>
        <v>0.22776368471970646</v>
      </c>
      <c r="AL242" s="147">
        <f t="shared" si="131"/>
        <v>0.20547176356518707</v>
      </c>
      <c r="AM242" s="147">
        <f t="shared" si="131"/>
        <v>0.18536162020097194</v>
      </c>
      <c r="AN242" s="147">
        <f t="shared" si="131"/>
        <v>0.16721971743153316</v>
      </c>
      <c r="AO242" s="147">
        <f t="shared" si="131"/>
        <v>0.15085341759294338</v>
      </c>
      <c r="AP242" s="147">
        <f t="shared" si="131"/>
        <v>0.13608893705246536</v>
      </c>
      <c r="AQ242" s="147">
        <f t="shared" si="131"/>
        <v>0.12276950090745718</v>
      </c>
      <c r="AR242" s="147">
        <f t="shared" si="131"/>
        <v>0.11075367828948064</v>
      </c>
      <c r="AS242" s="147">
        <f t="shared" si="131"/>
        <v>0</v>
      </c>
      <c r="AT242" s="147">
        <f t="shared" si="131"/>
        <v>0</v>
      </c>
      <c r="AU242" s="147">
        <f t="shared" si="131"/>
        <v>0</v>
      </c>
      <c r="AV242" s="147">
        <f t="shared" si="131"/>
        <v>0</v>
      </c>
    </row>
    <row r="243" spans="3:48" ht="12.95" customHeight="1" x14ac:dyDescent="0.2">
      <c r="C243" s="253" t="s">
        <v>884</v>
      </c>
      <c r="F243" s="253" t="s">
        <v>494</v>
      </c>
      <c r="G243" s="124"/>
      <c r="H243" s="147"/>
      <c r="I243" s="147"/>
      <c r="J243" s="147"/>
      <c r="K243" s="147"/>
      <c r="L243" s="147"/>
      <c r="M243" s="147"/>
      <c r="N243" s="147"/>
      <c r="O243" s="147"/>
      <c r="P243" s="147"/>
      <c r="Q243" s="147"/>
      <c r="R243" s="147"/>
      <c r="S243" s="147"/>
      <c r="T243" s="147"/>
      <c r="U243" s="147"/>
      <c r="V243" s="147"/>
      <c r="W243" s="147"/>
      <c r="X243" s="147"/>
      <c r="Y243" s="147"/>
      <c r="Z243" s="147"/>
      <c r="AA243" s="147"/>
      <c r="AB243" s="147"/>
      <c r="AC243" s="147"/>
      <c r="AD243" s="147"/>
      <c r="AE243" s="147"/>
      <c r="AF243" s="147"/>
      <c r="AG243" s="147"/>
      <c r="AH243" s="147"/>
      <c r="AI243" s="147">
        <f t="shared" ref="AI243:AV243" si="132">AH242</f>
        <v>0.31022834432391738</v>
      </c>
      <c r="AJ243" s="147">
        <f t="shared" si="132"/>
        <v>0.27986535735311735</v>
      </c>
      <c r="AK243" s="147">
        <f t="shared" si="132"/>
        <v>0.25247408781129083</v>
      </c>
      <c r="AL243" s="147">
        <f t="shared" si="132"/>
        <v>0.22776368471970646</v>
      </c>
      <c r="AM243" s="147">
        <f t="shared" si="132"/>
        <v>0.20547176356518707</v>
      </c>
      <c r="AN243" s="147">
        <f t="shared" si="132"/>
        <v>0.18536162020097194</v>
      </c>
      <c r="AO243" s="147">
        <f t="shared" si="132"/>
        <v>0.16721971743153316</v>
      </c>
      <c r="AP243" s="147">
        <f t="shared" si="132"/>
        <v>0.15085341759294338</v>
      </c>
      <c r="AQ243" s="147">
        <f t="shared" si="132"/>
        <v>0.13608893705246536</v>
      </c>
      <c r="AR243" s="147">
        <f t="shared" si="132"/>
        <v>0.12276950090745718</v>
      </c>
      <c r="AS243" s="147">
        <f t="shared" si="132"/>
        <v>0.11075367828948064</v>
      </c>
      <c r="AT243" s="147">
        <f t="shared" si="132"/>
        <v>0</v>
      </c>
      <c r="AU243" s="147">
        <f t="shared" si="132"/>
        <v>0</v>
      </c>
      <c r="AV243" s="147">
        <f t="shared" si="132"/>
        <v>0</v>
      </c>
    </row>
    <row r="244" spans="3:48" ht="12.95" customHeight="1" x14ac:dyDescent="0.2">
      <c r="C244" s="253" t="s">
        <v>885</v>
      </c>
      <c r="F244" s="253" t="s">
        <v>494</v>
      </c>
      <c r="G244" s="124"/>
      <c r="H244" s="147"/>
      <c r="I244" s="147"/>
      <c r="J244" s="147"/>
      <c r="K244" s="147"/>
      <c r="L244" s="147"/>
      <c r="M244" s="147"/>
      <c r="N244" s="147"/>
      <c r="O244" s="147"/>
      <c r="P244" s="147"/>
      <c r="Q244" s="147"/>
      <c r="R244" s="147"/>
      <c r="S244" s="147"/>
      <c r="T244" s="147"/>
      <c r="U244" s="147"/>
      <c r="V244" s="147"/>
      <c r="W244" s="147"/>
      <c r="X244" s="147"/>
      <c r="Y244" s="147"/>
      <c r="Z244" s="147"/>
      <c r="AA244" s="147"/>
      <c r="AB244" s="147"/>
      <c r="AC244" s="147"/>
      <c r="AD244" s="147"/>
      <c r="AE244" s="147"/>
      <c r="AF244" s="147"/>
      <c r="AG244" s="147"/>
      <c r="AH244" s="147"/>
      <c r="AI244" s="147"/>
      <c r="AJ244" s="147">
        <f t="shared" ref="AJ244:AV244" si="133">AI243</f>
        <v>0.31022834432391738</v>
      </c>
      <c r="AK244" s="147">
        <f t="shared" si="133"/>
        <v>0.27986535735311735</v>
      </c>
      <c r="AL244" s="147">
        <f t="shared" si="133"/>
        <v>0.25247408781129083</v>
      </c>
      <c r="AM244" s="147">
        <f t="shared" si="133"/>
        <v>0.22776368471970646</v>
      </c>
      <c r="AN244" s="147">
        <f t="shared" si="133"/>
        <v>0.20547176356518707</v>
      </c>
      <c r="AO244" s="147">
        <f t="shared" si="133"/>
        <v>0.18536162020097194</v>
      </c>
      <c r="AP244" s="147">
        <f t="shared" si="133"/>
        <v>0.16721971743153316</v>
      </c>
      <c r="AQ244" s="147">
        <f t="shared" si="133"/>
        <v>0.15085341759294338</v>
      </c>
      <c r="AR244" s="147">
        <f t="shared" si="133"/>
        <v>0.13608893705246536</v>
      </c>
      <c r="AS244" s="147">
        <f t="shared" si="133"/>
        <v>0.12276950090745718</v>
      </c>
      <c r="AT244" s="147">
        <f t="shared" si="133"/>
        <v>0.11075367828948064</v>
      </c>
      <c r="AU244" s="147">
        <f t="shared" si="133"/>
        <v>0</v>
      </c>
      <c r="AV244" s="147">
        <f t="shared" si="133"/>
        <v>0</v>
      </c>
    </row>
    <row r="245" spans="3:48" ht="12.95" customHeight="1" x14ac:dyDescent="0.2">
      <c r="C245" s="253" t="s">
        <v>886</v>
      </c>
      <c r="F245" s="253" t="s">
        <v>494</v>
      </c>
      <c r="G245" s="124"/>
      <c r="H245" s="147"/>
      <c r="I245" s="147"/>
      <c r="J245" s="147"/>
      <c r="K245" s="147"/>
      <c r="L245" s="147"/>
      <c r="M245" s="147"/>
      <c r="N245" s="147"/>
      <c r="O245" s="147"/>
      <c r="P245" s="147"/>
      <c r="Q245" s="147"/>
      <c r="R245" s="147"/>
      <c r="S245" s="147"/>
      <c r="T245" s="147"/>
      <c r="U245" s="147"/>
      <c r="V245" s="147"/>
      <c r="W245" s="147"/>
      <c r="X245" s="147"/>
      <c r="Y245" s="147"/>
      <c r="Z245" s="147"/>
      <c r="AA245" s="147"/>
      <c r="AB245" s="147"/>
      <c r="AC245" s="147"/>
      <c r="AD245" s="147"/>
      <c r="AE245" s="147"/>
      <c r="AF245" s="147"/>
      <c r="AG245" s="147"/>
      <c r="AH245" s="147"/>
      <c r="AI245" s="147"/>
      <c r="AJ245" s="147"/>
      <c r="AK245" s="147">
        <f t="shared" ref="AK245:AV245" si="134">AJ244</f>
        <v>0.31022834432391738</v>
      </c>
      <c r="AL245" s="147">
        <f t="shared" si="134"/>
        <v>0.27986535735311735</v>
      </c>
      <c r="AM245" s="147">
        <f t="shared" si="134"/>
        <v>0.25247408781129083</v>
      </c>
      <c r="AN245" s="147">
        <f t="shared" si="134"/>
        <v>0.22776368471970646</v>
      </c>
      <c r="AO245" s="147">
        <f t="shared" si="134"/>
        <v>0.20547176356518707</v>
      </c>
      <c r="AP245" s="147">
        <f t="shared" si="134"/>
        <v>0.18536162020097194</v>
      </c>
      <c r="AQ245" s="147">
        <f t="shared" si="134"/>
        <v>0.16721971743153316</v>
      </c>
      <c r="AR245" s="147">
        <f t="shared" si="134"/>
        <v>0.15085341759294338</v>
      </c>
      <c r="AS245" s="147">
        <f t="shared" si="134"/>
        <v>0.13608893705246536</v>
      </c>
      <c r="AT245" s="147">
        <f t="shared" si="134"/>
        <v>0.12276950090745718</v>
      </c>
      <c r="AU245" s="147">
        <f t="shared" si="134"/>
        <v>0.11075367828948064</v>
      </c>
      <c r="AV245" s="147">
        <f t="shared" si="134"/>
        <v>0</v>
      </c>
    </row>
    <row r="246" spans="3:48" ht="12.95" customHeight="1" x14ac:dyDescent="0.2">
      <c r="C246" s="253" t="s">
        <v>887</v>
      </c>
      <c r="F246" s="253" t="s">
        <v>494</v>
      </c>
      <c r="G246" s="124"/>
      <c r="H246" s="147"/>
      <c r="I246" s="147"/>
      <c r="J246" s="147"/>
      <c r="K246" s="147"/>
      <c r="L246" s="147"/>
      <c r="M246" s="147"/>
      <c r="N246" s="147"/>
      <c r="O246" s="147"/>
      <c r="P246" s="147"/>
      <c r="Q246" s="147"/>
      <c r="R246" s="147"/>
      <c r="S246" s="147"/>
      <c r="T246" s="147"/>
      <c r="U246" s="147"/>
      <c r="V246" s="147"/>
      <c r="W246" s="147"/>
      <c r="X246" s="147"/>
      <c r="Y246" s="147"/>
      <c r="Z246" s="147"/>
      <c r="AA246" s="147"/>
      <c r="AB246" s="147"/>
      <c r="AC246" s="147"/>
      <c r="AD246" s="147"/>
      <c r="AE246" s="147"/>
      <c r="AF246" s="147"/>
      <c r="AG246" s="147"/>
      <c r="AH246" s="147"/>
      <c r="AI246" s="147"/>
      <c r="AJ246" s="147"/>
      <c r="AK246" s="147"/>
      <c r="AL246" s="147">
        <f t="shared" ref="AL246:AV246" si="135">AK245</f>
        <v>0.31022834432391738</v>
      </c>
      <c r="AM246" s="147">
        <f t="shared" si="135"/>
        <v>0.27986535735311735</v>
      </c>
      <c r="AN246" s="147">
        <f t="shared" si="135"/>
        <v>0.25247408781129083</v>
      </c>
      <c r="AO246" s="147">
        <f t="shared" si="135"/>
        <v>0.22776368471970646</v>
      </c>
      <c r="AP246" s="147">
        <f t="shared" si="135"/>
        <v>0.20547176356518707</v>
      </c>
      <c r="AQ246" s="147">
        <f t="shared" si="135"/>
        <v>0.18536162020097194</v>
      </c>
      <c r="AR246" s="147">
        <f t="shared" si="135"/>
        <v>0.16721971743153316</v>
      </c>
      <c r="AS246" s="147">
        <f t="shared" si="135"/>
        <v>0.15085341759294338</v>
      </c>
      <c r="AT246" s="147">
        <f t="shared" si="135"/>
        <v>0.13608893705246536</v>
      </c>
      <c r="AU246" s="147">
        <f t="shared" si="135"/>
        <v>0.12276950090745718</v>
      </c>
      <c r="AV246" s="147">
        <f t="shared" si="135"/>
        <v>0.11075367828948064</v>
      </c>
    </row>
    <row r="247" spans="3:48" ht="12.95" customHeight="1" x14ac:dyDescent="0.2">
      <c r="C247" s="253" t="s">
        <v>888</v>
      </c>
      <c r="F247" s="253" t="s">
        <v>494</v>
      </c>
      <c r="G247" s="124"/>
      <c r="H247" s="147"/>
      <c r="I247" s="147"/>
      <c r="J247" s="147"/>
      <c r="K247" s="147"/>
      <c r="L247" s="147"/>
      <c r="M247" s="147"/>
      <c r="N247" s="147"/>
      <c r="O247" s="147"/>
      <c r="P247" s="147"/>
      <c r="Q247" s="147"/>
      <c r="R247" s="147"/>
      <c r="S247" s="147"/>
      <c r="T247" s="147"/>
      <c r="U247" s="147"/>
      <c r="V247" s="147"/>
      <c r="W247" s="147"/>
      <c r="X247" s="147"/>
      <c r="Y247" s="147"/>
      <c r="Z247" s="147"/>
      <c r="AA247" s="147"/>
      <c r="AB247" s="147"/>
      <c r="AC247" s="147"/>
      <c r="AD247" s="147"/>
      <c r="AE247" s="147"/>
      <c r="AF247" s="147"/>
      <c r="AG247" s="147"/>
      <c r="AH247" s="147"/>
      <c r="AI247" s="147"/>
      <c r="AJ247" s="147"/>
      <c r="AK247" s="147"/>
      <c r="AL247" s="147"/>
      <c r="AM247" s="147">
        <f t="shared" ref="AM247:AV247" si="136">AL246</f>
        <v>0.31022834432391738</v>
      </c>
      <c r="AN247" s="147">
        <f t="shared" si="136"/>
        <v>0.27986535735311735</v>
      </c>
      <c r="AO247" s="147">
        <f t="shared" si="136"/>
        <v>0.25247408781129083</v>
      </c>
      <c r="AP247" s="147">
        <f t="shared" si="136"/>
        <v>0.22776368471970646</v>
      </c>
      <c r="AQ247" s="147">
        <f t="shared" si="136"/>
        <v>0.20547176356518707</v>
      </c>
      <c r="AR247" s="147">
        <f t="shared" si="136"/>
        <v>0.18536162020097194</v>
      </c>
      <c r="AS247" s="147">
        <f t="shared" si="136"/>
        <v>0.16721971743153316</v>
      </c>
      <c r="AT247" s="147">
        <f t="shared" si="136"/>
        <v>0.15085341759294338</v>
      </c>
      <c r="AU247" s="147">
        <f t="shared" si="136"/>
        <v>0.13608893705246536</v>
      </c>
      <c r="AV247" s="147">
        <f t="shared" si="136"/>
        <v>0.12276950090745718</v>
      </c>
    </row>
    <row r="248" spans="3:48" ht="12.95" customHeight="1" x14ac:dyDescent="0.2">
      <c r="C248" s="253" t="s">
        <v>889</v>
      </c>
      <c r="F248" s="253" t="s">
        <v>494</v>
      </c>
      <c r="G248" s="124"/>
      <c r="H248" s="147"/>
      <c r="I248" s="147"/>
      <c r="J248" s="147"/>
      <c r="K248" s="147"/>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c r="AG248" s="147"/>
      <c r="AH248" s="147"/>
      <c r="AI248" s="147"/>
      <c r="AJ248" s="147"/>
      <c r="AK248" s="147"/>
      <c r="AL248" s="147"/>
      <c r="AM248" s="147"/>
      <c r="AN248" s="147">
        <f t="shared" ref="AN248:AV248" si="137">AM247</f>
        <v>0.31022834432391738</v>
      </c>
      <c r="AO248" s="147">
        <f t="shared" si="137"/>
        <v>0.27986535735311735</v>
      </c>
      <c r="AP248" s="147">
        <f t="shared" si="137"/>
        <v>0.25247408781129083</v>
      </c>
      <c r="AQ248" s="147">
        <f t="shared" si="137"/>
        <v>0.22776368471970646</v>
      </c>
      <c r="AR248" s="147">
        <f t="shared" si="137"/>
        <v>0.20547176356518707</v>
      </c>
      <c r="AS248" s="147">
        <f t="shared" si="137"/>
        <v>0.18536162020097194</v>
      </c>
      <c r="AT248" s="147">
        <f t="shared" si="137"/>
        <v>0.16721971743153316</v>
      </c>
      <c r="AU248" s="147">
        <f t="shared" si="137"/>
        <v>0.15085341759294338</v>
      </c>
      <c r="AV248" s="147">
        <f t="shared" si="137"/>
        <v>0.13608893705246536</v>
      </c>
    </row>
    <row r="249" spans="3:48" ht="12.95" customHeight="1" x14ac:dyDescent="0.2">
      <c r="C249" s="253" t="s">
        <v>890</v>
      </c>
      <c r="F249" s="253" t="s">
        <v>494</v>
      </c>
      <c r="G249" s="124"/>
      <c r="H249" s="147"/>
      <c r="I249" s="147"/>
      <c r="J249" s="147"/>
      <c r="K249" s="147"/>
      <c r="L249" s="147"/>
      <c r="M249" s="147"/>
      <c r="N249" s="147"/>
      <c r="O249" s="147"/>
      <c r="P249" s="147"/>
      <c r="Q249" s="147"/>
      <c r="R249" s="147"/>
      <c r="S249" s="147"/>
      <c r="T249" s="147"/>
      <c r="U249" s="147"/>
      <c r="V249" s="147"/>
      <c r="W249" s="147"/>
      <c r="X249" s="147"/>
      <c r="Y249" s="147"/>
      <c r="Z249" s="147"/>
      <c r="AA249" s="147"/>
      <c r="AB249" s="147"/>
      <c r="AC249" s="147"/>
      <c r="AD249" s="147"/>
      <c r="AE249" s="147"/>
      <c r="AF249" s="147"/>
      <c r="AG249" s="147"/>
      <c r="AH249" s="147"/>
      <c r="AI249" s="147"/>
      <c r="AJ249" s="147"/>
      <c r="AK249" s="147"/>
      <c r="AL249" s="147"/>
      <c r="AM249" s="147"/>
      <c r="AN249" s="147"/>
      <c r="AO249" s="147">
        <f t="shared" ref="AO249:AV249" si="138">AN248</f>
        <v>0.31022834432391738</v>
      </c>
      <c r="AP249" s="147">
        <f t="shared" si="138"/>
        <v>0.27986535735311735</v>
      </c>
      <c r="AQ249" s="147">
        <f t="shared" si="138"/>
        <v>0.25247408781129083</v>
      </c>
      <c r="AR249" s="147">
        <f t="shared" si="138"/>
        <v>0.22776368471970646</v>
      </c>
      <c r="AS249" s="147">
        <f t="shared" si="138"/>
        <v>0.20547176356518707</v>
      </c>
      <c r="AT249" s="147">
        <f t="shared" si="138"/>
        <v>0.18536162020097194</v>
      </c>
      <c r="AU249" s="147">
        <f t="shared" si="138"/>
        <v>0.16721971743153316</v>
      </c>
      <c r="AV249" s="147">
        <f t="shared" si="138"/>
        <v>0.15085341759294338</v>
      </c>
    </row>
    <row r="250" spans="3:48" ht="12.95" customHeight="1" x14ac:dyDescent="0.2">
      <c r="C250" s="253" t="s">
        <v>891</v>
      </c>
      <c r="F250" s="253" t="s">
        <v>494</v>
      </c>
      <c r="G250" s="124"/>
      <c r="H250" s="147"/>
      <c r="I250" s="147"/>
      <c r="J250" s="147"/>
      <c r="K250" s="147"/>
      <c r="L250" s="147"/>
      <c r="M250" s="147"/>
      <c r="N250" s="147"/>
      <c r="O250" s="147"/>
      <c r="P250" s="147"/>
      <c r="Q250" s="147"/>
      <c r="R250" s="147"/>
      <c r="S250" s="147"/>
      <c r="T250" s="147"/>
      <c r="U250" s="147"/>
      <c r="V250" s="147"/>
      <c r="W250" s="147"/>
      <c r="X250" s="147"/>
      <c r="Y250" s="147"/>
      <c r="Z250" s="147"/>
      <c r="AA250" s="147"/>
      <c r="AB250" s="147"/>
      <c r="AC250" s="147"/>
      <c r="AD250" s="147"/>
      <c r="AE250" s="147"/>
      <c r="AF250" s="147"/>
      <c r="AG250" s="147"/>
      <c r="AH250" s="147"/>
      <c r="AI250" s="147"/>
      <c r="AJ250" s="147"/>
      <c r="AK250" s="147"/>
      <c r="AL250" s="147"/>
      <c r="AM250" s="147"/>
      <c r="AN250" s="147"/>
      <c r="AO250" s="147"/>
      <c r="AP250" s="147">
        <f t="shared" ref="AP250:AV250" si="139">AO249</f>
        <v>0.31022834432391738</v>
      </c>
      <c r="AQ250" s="147">
        <f t="shared" si="139"/>
        <v>0.27986535735311735</v>
      </c>
      <c r="AR250" s="147">
        <f t="shared" si="139"/>
        <v>0.25247408781129083</v>
      </c>
      <c r="AS250" s="147">
        <f t="shared" si="139"/>
        <v>0.22776368471970646</v>
      </c>
      <c r="AT250" s="147">
        <f t="shared" si="139"/>
        <v>0.20547176356518707</v>
      </c>
      <c r="AU250" s="147">
        <f t="shared" si="139"/>
        <v>0.18536162020097194</v>
      </c>
      <c r="AV250" s="147">
        <f t="shared" si="139"/>
        <v>0.16721971743153316</v>
      </c>
    </row>
    <row r="251" spans="3:48" ht="12.95" customHeight="1" x14ac:dyDescent="0.2">
      <c r="C251" s="253" t="s">
        <v>892</v>
      </c>
      <c r="F251" s="253" t="s">
        <v>494</v>
      </c>
      <c r="G251" s="124"/>
      <c r="H251" s="147"/>
      <c r="I251" s="147"/>
      <c r="J251" s="147"/>
      <c r="K251" s="147"/>
      <c r="L251" s="147"/>
      <c r="M251" s="147"/>
      <c r="N251" s="147"/>
      <c r="O251" s="147"/>
      <c r="P251" s="147"/>
      <c r="Q251" s="147"/>
      <c r="R251" s="147"/>
      <c r="S251" s="147"/>
      <c r="T251" s="147"/>
      <c r="U251" s="147"/>
      <c r="V251" s="147"/>
      <c r="W251" s="147"/>
      <c r="X251" s="147"/>
      <c r="Y251" s="147"/>
      <c r="Z251" s="147"/>
      <c r="AA251" s="147"/>
      <c r="AB251" s="147"/>
      <c r="AC251" s="147"/>
      <c r="AD251" s="147"/>
      <c r="AE251" s="147"/>
      <c r="AF251" s="147"/>
      <c r="AG251" s="147"/>
      <c r="AH251" s="147"/>
      <c r="AI251" s="147"/>
      <c r="AJ251" s="147"/>
      <c r="AK251" s="147"/>
      <c r="AL251" s="147"/>
      <c r="AM251" s="147"/>
      <c r="AN251" s="147"/>
      <c r="AO251" s="147"/>
      <c r="AP251" s="147"/>
      <c r="AQ251" s="147">
        <f t="shared" ref="AQ251:AV251" si="140">AP250</f>
        <v>0.31022834432391738</v>
      </c>
      <c r="AR251" s="147">
        <f t="shared" si="140"/>
        <v>0.27986535735311735</v>
      </c>
      <c r="AS251" s="147">
        <f t="shared" si="140"/>
        <v>0.25247408781129083</v>
      </c>
      <c r="AT251" s="147">
        <f t="shared" si="140"/>
        <v>0.22776368471970646</v>
      </c>
      <c r="AU251" s="147">
        <f t="shared" si="140"/>
        <v>0.20547176356518707</v>
      </c>
      <c r="AV251" s="147">
        <f t="shared" si="140"/>
        <v>0.18536162020097194</v>
      </c>
    </row>
    <row r="252" spans="3:48" ht="12.95" customHeight="1" x14ac:dyDescent="0.2">
      <c r="C252" s="253" t="s">
        <v>893</v>
      </c>
      <c r="F252" s="253" t="s">
        <v>494</v>
      </c>
      <c r="G252" s="124"/>
      <c r="H252" s="147"/>
      <c r="I252" s="147"/>
      <c r="J252" s="147"/>
      <c r="K252" s="147"/>
      <c r="L252" s="147"/>
      <c r="M252" s="147"/>
      <c r="N252" s="147"/>
      <c r="O252" s="147"/>
      <c r="P252" s="147"/>
      <c r="Q252" s="147"/>
      <c r="R252" s="147"/>
      <c r="S252" s="147"/>
      <c r="T252" s="147"/>
      <c r="U252" s="147"/>
      <c r="V252" s="147"/>
      <c r="W252" s="147"/>
      <c r="X252" s="147"/>
      <c r="Y252" s="147"/>
      <c r="Z252" s="147"/>
      <c r="AA252" s="147"/>
      <c r="AB252" s="147"/>
      <c r="AC252" s="147"/>
      <c r="AD252" s="147"/>
      <c r="AE252" s="147"/>
      <c r="AF252" s="147"/>
      <c r="AG252" s="147"/>
      <c r="AH252" s="147"/>
      <c r="AI252" s="147"/>
      <c r="AJ252" s="147"/>
      <c r="AK252" s="147"/>
      <c r="AL252" s="147"/>
      <c r="AM252" s="147"/>
      <c r="AN252" s="147"/>
      <c r="AO252" s="147"/>
      <c r="AP252" s="147"/>
      <c r="AQ252" s="147"/>
      <c r="AR252" s="147">
        <f>AQ251</f>
        <v>0.31022834432391738</v>
      </c>
      <c r="AS252" s="147">
        <f>AR251</f>
        <v>0.27986535735311735</v>
      </c>
      <c r="AT252" s="147">
        <f>AS251</f>
        <v>0.25247408781129083</v>
      </c>
      <c r="AU252" s="147">
        <f>AT251</f>
        <v>0.22776368471970646</v>
      </c>
      <c r="AV252" s="147">
        <f>AU251</f>
        <v>0.20547176356518707</v>
      </c>
    </row>
    <row r="253" spans="3:48" ht="12.95" customHeight="1" x14ac:dyDescent="0.2">
      <c r="C253" s="253" t="s">
        <v>894</v>
      </c>
      <c r="F253" s="253" t="s">
        <v>494</v>
      </c>
      <c r="G253" s="124"/>
      <c r="H253" s="147"/>
      <c r="I253" s="147"/>
      <c r="J253" s="147"/>
      <c r="K253" s="147"/>
      <c r="L253" s="147"/>
      <c r="M253" s="147"/>
      <c r="N253" s="147"/>
      <c r="O253" s="147"/>
      <c r="P253" s="147"/>
      <c r="Q253" s="147"/>
      <c r="R253" s="147"/>
      <c r="S253" s="147"/>
      <c r="T253" s="147"/>
      <c r="U253" s="147"/>
      <c r="V253" s="147"/>
      <c r="W253" s="147"/>
      <c r="X253" s="147"/>
      <c r="Y253" s="147"/>
      <c r="Z253" s="147"/>
      <c r="AA253" s="147"/>
      <c r="AB253" s="147"/>
      <c r="AC253" s="147"/>
      <c r="AD253" s="147"/>
      <c r="AE253" s="147"/>
      <c r="AF253" s="147"/>
      <c r="AG253" s="147"/>
      <c r="AH253" s="147"/>
      <c r="AI253" s="147"/>
      <c r="AJ253" s="147"/>
      <c r="AK253" s="147"/>
      <c r="AL253" s="147"/>
      <c r="AM253" s="147"/>
      <c r="AN253" s="147"/>
      <c r="AO253" s="147"/>
      <c r="AP253" s="147"/>
      <c r="AQ253" s="147"/>
      <c r="AR253" s="147"/>
      <c r="AS253" s="147">
        <f>AR252</f>
        <v>0.31022834432391738</v>
      </c>
      <c r="AT253" s="147">
        <f>AS252</f>
        <v>0.27986535735311735</v>
      </c>
      <c r="AU253" s="147">
        <f>AT252</f>
        <v>0.25247408781129083</v>
      </c>
      <c r="AV253" s="147">
        <f>AU252</f>
        <v>0.22776368471970646</v>
      </c>
    </row>
    <row r="254" spans="3:48" ht="12.95" customHeight="1" x14ac:dyDescent="0.2">
      <c r="C254" s="253" t="s">
        <v>895</v>
      </c>
      <c r="F254" s="253" t="s">
        <v>494</v>
      </c>
      <c r="G254" s="124"/>
      <c r="H254" s="147"/>
      <c r="I254" s="147"/>
      <c r="J254" s="147"/>
      <c r="K254" s="147"/>
      <c r="L254" s="147"/>
      <c r="M254" s="147"/>
      <c r="N254" s="147"/>
      <c r="O254" s="147"/>
      <c r="P254" s="147"/>
      <c r="Q254" s="147"/>
      <c r="R254" s="147"/>
      <c r="S254" s="147"/>
      <c r="T254" s="147"/>
      <c r="U254" s="147"/>
      <c r="V254" s="147"/>
      <c r="W254" s="147"/>
      <c r="X254" s="147"/>
      <c r="Y254" s="147"/>
      <c r="Z254" s="147"/>
      <c r="AA254" s="147"/>
      <c r="AB254" s="147"/>
      <c r="AC254" s="147"/>
      <c r="AD254" s="147"/>
      <c r="AE254" s="147"/>
      <c r="AF254" s="147"/>
      <c r="AG254" s="147"/>
      <c r="AH254" s="147"/>
      <c r="AI254" s="147"/>
      <c r="AJ254" s="147"/>
      <c r="AK254" s="147"/>
      <c r="AL254" s="147"/>
      <c r="AM254" s="147"/>
      <c r="AN254" s="147"/>
      <c r="AO254" s="147"/>
      <c r="AP254" s="147"/>
      <c r="AQ254" s="147"/>
      <c r="AR254" s="147"/>
      <c r="AS254" s="147"/>
      <c r="AT254" s="147">
        <f>AS253</f>
        <v>0.31022834432391738</v>
      </c>
      <c r="AU254" s="147">
        <f>AT253</f>
        <v>0.27986535735311735</v>
      </c>
      <c r="AV254" s="147">
        <f>AU253</f>
        <v>0.25247408781129083</v>
      </c>
    </row>
    <row r="255" spans="3:48" ht="12.95" customHeight="1" x14ac:dyDescent="0.2">
      <c r="C255" s="253" t="s">
        <v>896</v>
      </c>
      <c r="F255" s="253" t="s">
        <v>494</v>
      </c>
      <c r="G255" s="124"/>
      <c r="H255" s="147"/>
      <c r="I255" s="147"/>
      <c r="J255" s="147"/>
      <c r="K255" s="147"/>
      <c r="L255" s="147"/>
      <c r="M255" s="147"/>
      <c r="N255" s="147"/>
      <c r="O255" s="147"/>
      <c r="P255" s="147"/>
      <c r="Q255" s="147"/>
      <c r="R255" s="147"/>
      <c r="S255" s="147"/>
      <c r="T255" s="147"/>
      <c r="U255" s="147"/>
      <c r="V255" s="147"/>
      <c r="W255" s="147"/>
      <c r="X255" s="147"/>
      <c r="Y255" s="147"/>
      <c r="Z255" s="147"/>
      <c r="AA255" s="147"/>
      <c r="AB255" s="147"/>
      <c r="AC255" s="147"/>
      <c r="AD255" s="147"/>
      <c r="AE255" s="147"/>
      <c r="AF255" s="147"/>
      <c r="AG255" s="147"/>
      <c r="AH255" s="147"/>
      <c r="AI255" s="147"/>
      <c r="AJ255" s="147"/>
      <c r="AK255" s="147"/>
      <c r="AL255" s="147"/>
      <c r="AM255" s="147"/>
      <c r="AN255" s="147"/>
      <c r="AO255" s="147"/>
      <c r="AP255" s="147"/>
      <c r="AQ255" s="147"/>
      <c r="AR255" s="147"/>
      <c r="AS255" s="147"/>
      <c r="AT255" s="147"/>
      <c r="AU255" s="147">
        <f>AT254</f>
        <v>0.31022834432391738</v>
      </c>
      <c r="AV255" s="147">
        <f>AU254</f>
        <v>0.27986535735311735</v>
      </c>
    </row>
    <row r="256" spans="3:48" ht="12.95" customHeight="1" x14ac:dyDescent="0.2">
      <c r="C256" s="253" t="s">
        <v>897</v>
      </c>
      <c r="F256" s="253" t="s">
        <v>494</v>
      </c>
      <c r="G256" s="124"/>
      <c r="H256" s="147"/>
      <c r="I256" s="147"/>
      <c r="J256" s="147"/>
      <c r="K256" s="147"/>
      <c r="L256" s="147"/>
      <c r="M256" s="147"/>
      <c r="N256" s="147"/>
      <c r="O256" s="147"/>
      <c r="P256" s="147"/>
      <c r="Q256" s="147"/>
      <c r="R256" s="147"/>
      <c r="S256" s="147"/>
      <c r="T256" s="147"/>
      <c r="U256" s="147"/>
      <c r="V256" s="147"/>
      <c r="W256" s="147"/>
      <c r="X256" s="147"/>
      <c r="Y256" s="147"/>
      <c r="Z256" s="147"/>
      <c r="AA256" s="147"/>
      <c r="AB256" s="147"/>
      <c r="AC256" s="147"/>
      <c r="AD256" s="147"/>
      <c r="AE256" s="147"/>
      <c r="AF256" s="147"/>
      <c r="AG256" s="147"/>
      <c r="AH256" s="147"/>
      <c r="AI256" s="147"/>
      <c r="AJ256" s="147"/>
      <c r="AK256" s="147"/>
      <c r="AL256" s="147"/>
      <c r="AM256" s="147"/>
      <c r="AN256" s="147"/>
      <c r="AO256" s="147"/>
      <c r="AP256" s="147"/>
      <c r="AQ256" s="147"/>
      <c r="AR256" s="147"/>
      <c r="AS256" s="147"/>
      <c r="AT256" s="147"/>
      <c r="AU256" s="147"/>
      <c r="AV256" s="147">
        <f>AU255</f>
        <v>0.31022834432391738</v>
      </c>
    </row>
    <row r="257" spans="2:48" ht="12.95" customHeight="1" x14ac:dyDescent="0.2">
      <c r="B257" s="14" t="s">
        <v>913</v>
      </c>
      <c r="H257" s="171"/>
      <c r="I257" s="171"/>
      <c r="J257" s="171"/>
      <c r="K257" s="171"/>
      <c r="L257" s="171"/>
      <c r="M257" s="171"/>
      <c r="N257" s="171"/>
      <c r="O257" s="171"/>
      <c r="P257" s="171"/>
      <c r="Q257" s="171"/>
      <c r="R257" s="171"/>
      <c r="S257" s="171"/>
      <c r="T257" s="171"/>
      <c r="U257" s="171"/>
      <c r="V257" s="171"/>
      <c r="W257" s="171"/>
      <c r="X257" s="171"/>
      <c r="Y257" s="171"/>
      <c r="Z257" s="171"/>
      <c r="AA257" s="171"/>
      <c r="AB257" s="171"/>
      <c r="AC257" s="171"/>
      <c r="AD257" s="171"/>
      <c r="AE257" s="171"/>
      <c r="AF257" s="171"/>
      <c r="AG257" s="171"/>
      <c r="AH257" s="171"/>
      <c r="AI257" s="171"/>
      <c r="AJ257" s="171"/>
      <c r="AK257" s="171"/>
      <c r="AL257" s="171"/>
      <c r="AM257" s="171"/>
      <c r="AN257" s="171"/>
      <c r="AO257" s="171"/>
      <c r="AP257" s="171"/>
      <c r="AQ257" s="171"/>
      <c r="AR257" s="171"/>
      <c r="AS257" s="171"/>
      <c r="AT257" s="171"/>
      <c r="AU257" s="171"/>
      <c r="AV257" s="171"/>
    </row>
    <row r="258" spans="2:48" ht="12.95" customHeight="1" x14ac:dyDescent="0.2">
      <c r="B258" s="14"/>
      <c r="C258" s="253" t="s">
        <v>858</v>
      </c>
      <c r="F258" s="253" t="s">
        <v>492</v>
      </c>
      <c r="G258" s="253" t="s">
        <v>395</v>
      </c>
      <c r="H258" s="147">
        <f t="shared" ref="H258:AV258" si="141">H175*(1-H217)</f>
        <v>17.4296431713258</v>
      </c>
      <c r="I258" s="147">
        <f t="shared" si="141"/>
        <v>13.66476740036437</v>
      </c>
      <c r="J258" s="147">
        <f t="shared" si="141"/>
        <v>16.035559123443939</v>
      </c>
      <c r="K258" s="147">
        <f t="shared" si="141"/>
        <v>18.527527970913457</v>
      </c>
      <c r="L258" s="147">
        <f t="shared" si="141"/>
        <v>21.120152861367568</v>
      </c>
      <c r="M258" s="147">
        <f t="shared" si="141"/>
        <v>23.793522615035624</v>
      </c>
      <c r="N258" s="147">
        <f t="shared" si="141"/>
        <v>26.528664181090228</v>
      </c>
      <c r="O258" s="147">
        <f t="shared" si="141"/>
        <v>29.3077747349577</v>
      </c>
      <c r="P258" s="147">
        <f t="shared" si="141"/>
        <v>32.114373892467036</v>
      </c>
      <c r="Q258" s="147">
        <f t="shared" si="141"/>
        <v>34.933390923040839</v>
      </c>
      <c r="R258" s="147">
        <f t="shared" si="141"/>
        <v>37.751200189583706</v>
      </c>
      <c r="S258" s="147">
        <f t="shared" si="141"/>
        <v>40.555616297005301</v>
      </c>
      <c r="T258" s="147">
        <f t="shared" si="141"/>
        <v>1.3801503036642727E-2</v>
      </c>
      <c r="U258" s="147">
        <f t="shared" si="141"/>
        <v>0.10250810373022921</v>
      </c>
      <c r="V258" s="147">
        <f t="shared" si="141"/>
        <v>0.32140060564134304</v>
      </c>
      <c r="W258" s="147">
        <f t="shared" si="141"/>
        <v>0.70819088008020181</v>
      </c>
      <c r="X258" s="147">
        <f t="shared" si="141"/>
        <v>1.2865903014343147</v>
      </c>
      <c r="Y258" s="147">
        <f t="shared" si="141"/>
        <v>2.0692648651289542</v>
      </c>
      <c r="Z258" s="147">
        <f t="shared" si="141"/>
        <v>3.0602740346849182</v>
      </c>
      <c r="AA258" s="147">
        <f t="shared" si="141"/>
        <v>4.2570757029793187</v>
      </c>
      <c r="AB258" s="147">
        <f t="shared" si="141"/>
        <v>5.6521671458405169</v>
      </c>
      <c r="AC258" s="147">
        <f t="shared" si="141"/>
        <v>7.2344211823897746</v>
      </c>
      <c r="AD258" s="147">
        <f t="shared" si="141"/>
        <v>8.9901676693851371</v>
      </c>
      <c r="AE258" s="147">
        <f t="shared" si="141"/>
        <v>10.904062717666822</v>
      </c>
      <c r="AF258" s="147">
        <f t="shared" si="141"/>
        <v>12.959781431811036</v>
      </c>
      <c r="AG258" s="147">
        <f t="shared" si="141"/>
        <v>15.140564371508987</v>
      </c>
      <c r="AH258" s="147">
        <f t="shared" si="141"/>
        <v>17.4296431713258</v>
      </c>
      <c r="AI258" s="147">
        <f t="shared" si="141"/>
        <v>13.66476740036437</v>
      </c>
      <c r="AJ258" s="147">
        <f t="shared" si="141"/>
        <v>16.035559123443939</v>
      </c>
      <c r="AK258" s="147">
        <f t="shared" si="141"/>
        <v>18.527527970913457</v>
      </c>
      <c r="AL258" s="147">
        <f t="shared" si="141"/>
        <v>21.120152861367568</v>
      </c>
      <c r="AM258" s="147">
        <f t="shared" si="141"/>
        <v>23.793522615035624</v>
      </c>
      <c r="AN258" s="147">
        <f t="shared" si="141"/>
        <v>26.528664181090228</v>
      </c>
      <c r="AO258" s="147">
        <f t="shared" si="141"/>
        <v>29.3077747349577</v>
      </c>
      <c r="AP258" s="147">
        <f t="shared" si="141"/>
        <v>32.114373892467036</v>
      </c>
      <c r="AQ258" s="147">
        <f t="shared" si="141"/>
        <v>34.933390923040839</v>
      </c>
      <c r="AR258" s="147">
        <f t="shared" si="141"/>
        <v>37.751200189583706</v>
      </c>
      <c r="AS258" s="147">
        <f t="shared" si="141"/>
        <v>40.555616297005301</v>
      </c>
      <c r="AT258" s="147">
        <f t="shared" si="141"/>
        <v>1.3801503036642727E-2</v>
      </c>
      <c r="AU258" s="147">
        <f t="shared" si="141"/>
        <v>0.10250810373022921</v>
      </c>
      <c r="AV258" s="147">
        <f t="shared" si="141"/>
        <v>0.32140060564134304</v>
      </c>
    </row>
    <row r="259" spans="2:48" ht="12.95" customHeight="1" x14ac:dyDescent="0.2">
      <c r="B259" s="14"/>
      <c r="C259" s="253" t="s">
        <v>859</v>
      </c>
      <c r="F259" s="253" t="s">
        <v>492</v>
      </c>
      <c r="G259" s="253" t="s">
        <v>395</v>
      </c>
      <c r="H259" s="147"/>
      <c r="I259" s="147">
        <f t="shared" ref="I259:AV259" si="142">I176*(1-I218)</f>
        <v>17.4296431713258</v>
      </c>
      <c r="J259" s="147">
        <f t="shared" si="142"/>
        <v>13.66476740036437</v>
      </c>
      <c r="K259" s="147">
        <f t="shared" si="142"/>
        <v>16.035559123443939</v>
      </c>
      <c r="L259" s="147">
        <f t="shared" si="142"/>
        <v>18.527527970913457</v>
      </c>
      <c r="M259" s="147">
        <f t="shared" si="142"/>
        <v>21.120152861367568</v>
      </c>
      <c r="N259" s="147">
        <f t="shared" si="142"/>
        <v>23.793522615035624</v>
      </c>
      <c r="O259" s="147">
        <f t="shared" si="142"/>
        <v>26.528664181090228</v>
      </c>
      <c r="P259" s="147">
        <f t="shared" si="142"/>
        <v>29.3077747349577</v>
      </c>
      <c r="Q259" s="147">
        <f t="shared" si="142"/>
        <v>32.114373892467036</v>
      </c>
      <c r="R259" s="147">
        <f t="shared" si="142"/>
        <v>34.933390923040839</v>
      </c>
      <c r="S259" s="147">
        <f t="shared" si="142"/>
        <v>37.751200189583706</v>
      </c>
      <c r="T259" s="147">
        <f t="shared" si="142"/>
        <v>40.555616297005301</v>
      </c>
      <c r="U259" s="147">
        <f t="shared" si="142"/>
        <v>1.3801503036642727E-2</v>
      </c>
      <c r="V259" s="147">
        <f t="shared" si="142"/>
        <v>0.10250810373022921</v>
      </c>
      <c r="W259" s="147">
        <f t="shared" si="142"/>
        <v>0.32140060564134304</v>
      </c>
      <c r="X259" s="147">
        <f t="shared" si="142"/>
        <v>0.70819088008020181</v>
      </c>
      <c r="Y259" s="147">
        <f t="shared" si="142"/>
        <v>1.2865903014343147</v>
      </c>
      <c r="Z259" s="147">
        <f t="shared" si="142"/>
        <v>2.0692648651289542</v>
      </c>
      <c r="AA259" s="147">
        <f t="shared" si="142"/>
        <v>3.0602740346849182</v>
      </c>
      <c r="AB259" s="147">
        <f t="shared" si="142"/>
        <v>4.2570757029793187</v>
      </c>
      <c r="AC259" s="147">
        <f t="shared" si="142"/>
        <v>5.6521671458405169</v>
      </c>
      <c r="AD259" s="147">
        <f t="shared" si="142"/>
        <v>7.2344211823897746</v>
      </c>
      <c r="AE259" s="147">
        <f t="shared" si="142"/>
        <v>8.9901676693851371</v>
      </c>
      <c r="AF259" s="147">
        <f t="shared" si="142"/>
        <v>10.904062717666822</v>
      </c>
      <c r="AG259" s="147">
        <f t="shared" si="142"/>
        <v>12.959781431811036</v>
      </c>
      <c r="AH259" s="147">
        <f t="shared" si="142"/>
        <v>15.140564371508987</v>
      </c>
      <c r="AI259" s="147">
        <f t="shared" si="142"/>
        <v>17.4296431713258</v>
      </c>
      <c r="AJ259" s="147">
        <f t="shared" si="142"/>
        <v>13.66476740036437</v>
      </c>
      <c r="AK259" s="147">
        <f t="shared" si="142"/>
        <v>16.035559123443939</v>
      </c>
      <c r="AL259" s="147">
        <f t="shared" si="142"/>
        <v>18.527527970913457</v>
      </c>
      <c r="AM259" s="147">
        <f t="shared" si="142"/>
        <v>21.120152861367568</v>
      </c>
      <c r="AN259" s="147">
        <f t="shared" si="142"/>
        <v>23.793522615035624</v>
      </c>
      <c r="AO259" s="147">
        <f t="shared" si="142"/>
        <v>26.528664181090228</v>
      </c>
      <c r="AP259" s="147">
        <f t="shared" si="142"/>
        <v>29.3077747349577</v>
      </c>
      <c r="AQ259" s="147">
        <f t="shared" si="142"/>
        <v>32.114373892467036</v>
      </c>
      <c r="AR259" s="147">
        <f t="shared" si="142"/>
        <v>34.933390923040839</v>
      </c>
      <c r="AS259" s="147">
        <f t="shared" si="142"/>
        <v>37.751200189583706</v>
      </c>
      <c r="AT259" s="147">
        <f t="shared" si="142"/>
        <v>40.555616297005301</v>
      </c>
      <c r="AU259" s="147">
        <f t="shared" si="142"/>
        <v>1.3801503036642727E-2</v>
      </c>
      <c r="AV259" s="147">
        <f t="shared" si="142"/>
        <v>0.10250810373022921</v>
      </c>
    </row>
    <row r="260" spans="2:48" ht="12.95" customHeight="1" x14ac:dyDescent="0.2">
      <c r="B260" s="14"/>
      <c r="C260" s="253" t="s">
        <v>860</v>
      </c>
      <c r="F260" s="253" t="s">
        <v>492</v>
      </c>
      <c r="G260" s="253" t="s">
        <v>395</v>
      </c>
      <c r="H260" s="147"/>
      <c r="I260" s="147"/>
      <c r="J260" s="147">
        <f t="shared" ref="J260:AV260" si="143">J177*(1-J219)</f>
        <v>17.4296431713258</v>
      </c>
      <c r="K260" s="147">
        <f t="shared" si="143"/>
        <v>13.66476740036437</v>
      </c>
      <c r="L260" s="147">
        <f t="shared" si="143"/>
        <v>16.035559123443939</v>
      </c>
      <c r="M260" s="147">
        <f t="shared" si="143"/>
        <v>18.527527970913457</v>
      </c>
      <c r="N260" s="147">
        <f t="shared" si="143"/>
        <v>21.120152861367568</v>
      </c>
      <c r="O260" s="147">
        <f t="shared" si="143"/>
        <v>23.793522615035624</v>
      </c>
      <c r="P260" s="147">
        <f t="shared" si="143"/>
        <v>26.528664181090228</v>
      </c>
      <c r="Q260" s="147">
        <f t="shared" si="143"/>
        <v>29.3077747349577</v>
      </c>
      <c r="R260" s="147">
        <f t="shared" si="143"/>
        <v>32.114373892467036</v>
      </c>
      <c r="S260" s="147">
        <f t="shared" si="143"/>
        <v>34.933390923040839</v>
      </c>
      <c r="T260" s="147">
        <f t="shared" si="143"/>
        <v>37.751200189583706</v>
      </c>
      <c r="U260" s="147">
        <f t="shared" si="143"/>
        <v>40.555616297005301</v>
      </c>
      <c r="V260" s="147">
        <f t="shared" si="143"/>
        <v>1.3801503036642727E-2</v>
      </c>
      <c r="W260" s="147">
        <f t="shared" si="143"/>
        <v>0.10250810373022921</v>
      </c>
      <c r="X260" s="147">
        <f t="shared" si="143"/>
        <v>0.32140060564134304</v>
      </c>
      <c r="Y260" s="147">
        <f t="shared" si="143"/>
        <v>0.70819088008020181</v>
      </c>
      <c r="Z260" s="147">
        <f t="shared" si="143"/>
        <v>1.2865903014343147</v>
      </c>
      <c r="AA260" s="147">
        <f t="shared" si="143"/>
        <v>2.0692648651289542</v>
      </c>
      <c r="AB260" s="147">
        <f t="shared" si="143"/>
        <v>3.0602740346849182</v>
      </c>
      <c r="AC260" s="147">
        <f t="shared" si="143"/>
        <v>4.2570757029793187</v>
      </c>
      <c r="AD260" s="147">
        <f t="shared" si="143"/>
        <v>5.6521671458405169</v>
      </c>
      <c r="AE260" s="147">
        <f t="shared" si="143"/>
        <v>7.2344211823897746</v>
      </c>
      <c r="AF260" s="147">
        <f t="shared" si="143"/>
        <v>8.9901676693851371</v>
      </c>
      <c r="AG260" s="147">
        <f t="shared" si="143"/>
        <v>10.904062717666822</v>
      </c>
      <c r="AH260" s="147">
        <f t="shared" si="143"/>
        <v>12.959781431811036</v>
      </c>
      <c r="AI260" s="147">
        <f t="shared" si="143"/>
        <v>15.140564371508987</v>
      </c>
      <c r="AJ260" s="147">
        <f t="shared" si="143"/>
        <v>17.4296431713258</v>
      </c>
      <c r="AK260" s="147">
        <f t="shared" si="143"/>
        <v>13.66476740036437</v>
      </c>
      <c r="AL260" s="147">
        <f t="shared" si="143"/>
        <v>16.035559123443939</v>
      </c>
      <c r="AM260" s="147">
        <f t="shared" si="143"/>
        <v>18.527527970913457</v>
      </c>
      <c r="AN260" s="147">
        <f t="shared" si="143"/>
        <v>21.120152861367568</v>
      </c>
      <c r="AO260" s="147">
        <f t="shared" si="143"/>
        <v>23.793522615035624</v>
      </c>
      <c r="AP260" s="147">
        <f t="shared" si="143"/>
        <v>26.528664181090228</v>
      </c>
      <c r="AQ260" s="147">
        <f t="shared" si="143"/>
        <v>29.3077747349577</v>
      </c>
      <c r="AR260" s="147">
        <f t="shared" si="143"/>
        <v>32.114373892467036</v>
      </c>
      <c r="AS260" s="147">
        <f t="shared" si="143"/>
        <v>34.933390923040839</v>
      </c>
      <c r="AT260" s="147">
        <f t="shared" si="143"/>
        <v>37.751200189583706</v>
      </c>
      <c r="AU260" s="147">
        <f t="shared" si="143"/>
        <v>40.555616297005301</v>
      </c>
      <c r="AV260" s="147">
        <f t="shared" si="143"/>
        <v>1.3801503036642727E-2</v>
      </c>
    </row>
    <row r="261" spans="2:48" ht="12.95" customHeight="1" x14ac:dyDescent="0.2">
      <c r="B261" s="14"/>
      <c r="C261" s="253" t="s">
        <v>861</v>
      </c>
      <c r="F261" s="253" t="s">
        <v>492</v>
      </c>
      <c r="G261" s="253" t="s">
        <v>395</v>
      </c>
      <c r="H261" s="147"/>
      <c r="I261" s="147"/>
      <c r="J261" s="147"/>
      <c r="K261" s="147">
        <f t="shared" ref="K261:AV261" si="144">K178*(1-K220)</f>
        <v>17.4296431713258</v>
      </c>
      <c r="L261" s="147">
        <f t="shared" si="144"/>
        <v>13.66476740036437</v>
      </c>
      <c r="M261" s="147">
        <f t="shared" si="144"/>
        <v>16.035559123443939</v>
      </c>
      <c r="N261" s="147">
        <f t="shared" si="144"/>
        <v>18.527527970913457</v>
      </c>
      <c r="O261" s="147">
        <f t="shared" si="144"/>
        <v>21.120152861367568</v>
      </c>
      <c r="P261" s="147">
        <f t="shared" si="144"/>
        <v>23.793522615035624</v>
      </c>
      <c r="Q261" s="147">
        <f t="shared" si="144"/>
        <v>26.528664181090228</v>
      </c>
      <c r="R261" s="147">
        <f t="shared" si="144"/>
        <v>29.3077747349577</v>
      </c>
      <c r="S261" s="147">
        <f t="shared" si="144"/>
        <v>32.114373892467036</v>
      </c>
      <c r="T261" s="147">
        <f t="shared" si="144"/>
        <v>34.933390923040839</v>
      </c>
      <c r="U261" s="147">
        <f t="shared" si="144"/>
        <v>37.751200189583706</v>
      </c>
      <c r="V261" s="147">
        <f t="shared" si="144"/>
        <v>40.555616297005301</v>
      </c>
      <c r="W261" s="147">
        <f t="shared" si="144"/>
        <v>1.3801503036642727E-2</v>
      </c>
      <c r="X261" s="147">
        <f t="shared" si="144"/>
        <v>0.10250810373022921</v>
      </c>
      <c r="Y261" s="147">
        <f t="shared" si="144"/>
        <v>0.32140060564134304</v>
      </c>
      <c r="Z261" s="147">
        <f t="shared" si="144"/>
        <v>0.70819088008020181</v>
      </c>
      <c r="AA261" s="147">
        <f t="shared" si="144"/>
        <v>1.2865903014343147</v>
      </c>
      <c r="AB261" s="147">
        <f t="shared" si="144"/>
        <v>2.0692648651289542</v>
      </c>
      <c r="AC261" s="147">
        <f t="shared" si="144"/>
        <v>3.0602740346849182</v>
      </c>
      <c r="AD261" s="147">
        <f t="shared" si="144"/>
        <v>4.2570757029793187</v>
      </c>
      <c r="AE261" s="147">
        <f t="shared" si="144"/>
        <v>5.6521671458405169</v>
      </c>
      <c r="AF261" s="147">
        <f t="shared" si="144"/>
        <v>7.2344211823897746</v>
      </c>
      <c r="AG261" s="147">
        <f t="shared" si="144"/>
        <v>8.9901676693851371</v>
      </c>
      <c r="AH261" s="147">
        <f t="shared" si="144"/>
        <v>10.904062717666822</v>
      </c>
      <c r="AI261" s="147">
        <f t="shared" si="144"/>
        <v>12.959781431811036</v>
      </c>
      <c r="AJ261" s="147">
        <f t="shared" si="144"/>
        <v>15.140564371508987</v>
      </c>
      <c r="AK261" s="147">
        <f t="shared" si="144"/>
        <v>17.4296431713258</v>
      </c>
      <c r="AL261" s="147">
        <f t="shared" si="144"/>
        <v>13.66476740036437</v>
      </c>
      <c r="AM261" s="147">
        <f t="shared" si="144"/>
        <v>16.035559123443939</v>
      </c>
      <c r="AN261" s="147">
        <f t="shared" si="144"/>
        <v>18.527527970913457</v>
      </c>
      <c r="AO261" s="147">
        <f t="shared" si="144"/>
        <v>21.120152861367568</v>
      </c>
      <c r="AP261" s="147">
        <f t="shared" si="144"/>
        <v>23.793522615035624</v>
      </c>
      <c r="AQ261" s="147">
        <f t="shared" si="144"/>
        <v>26.528664181090228</v>
      </c>
      <c r="AR261" s="147">
        <f t="shared" si="144"/>
        <v>29.3077747349577</v>
      </c>
      <c r="AS261" s="147">
        <f t="shared" si="144"/>
        <v>32.114373892467036</v>
      </c>
      <c r="AT261" s="147">
        <f t="shared" si="144"/>
        <v>34.933390923040839</v>
      </c>
      <c r="AU261" s="147">
        <f t="shared" si="144"/>
        <v>37.751200189583706</v>
      </c>
      <c r="AV261" s="147">
        <f t="shared" si="144"/>
        <v>40.555616297005301</v>
      </c>
    </row>
    <row r="262" spans="2:48" ht="12.95" customHeight="1" x14ac:dyDescent="0.2">
      <c r="B262" s="14"/>
      <c r="C262" s="253" t="s">
        <v>862</v>
      </c>
      <c r="F262" s="253" t="s">
        <v>492</v>
      </c>
      <c r="G262" s="253" t="s">
        <v>395</v>
      </c>
      <c r="H262" s="147"/>
      <c r="I262" s="147"/>
      <c r="J262" s="147"/>
      <c r="K262" s="147"/>
      <c r="L262" s="147">
        <f t="shared" ref="L262:AV262" si="145">L179*(1-L221)</f>
        <v>17.4296431713258</v>
      </c>
      <c r="M262" s="147">
        <f t="shared" si="145"/>
        <v>13.66476740036437</v>
      </c>
      <c r="N262" s="147">
        <f t="shared" si="145"/>
        <v>16.035559123443939</v>
      </c>
      <c r="O262" s="147">
        <f t="shared" si="145"/>
        <v>18.527527970913457</v>
      </c>
      <c r="P262" s="147">
        <f t="shared" si="145"/>
        <v>21.120152861367568</v>
      </c>
      <c r="Q262" s="147">
        <f t="shared" si="145"/>
        <v>23.793522615035624</v>
      </c>
      <c r="R262" s="147">
        <f t="shared" si="145"/>
        <v>26.528664181090228</v>
      </c>
      <c r="S262" s="147">
        <f t="shared" si="145"/>
        <v>29.3077747349577</v>
      </c>
      <c r="T262" s="147">
        <f t="shared" si="145"/>
        <v>32.114373892467036</v>
      </c>
      <c r="U262" s="147">
        <f t="shared" si="145"/>
        <v>34.933390923040839</v>
      </c>
      <c r="V262" s="147">
        <f t="shared" si="145"/>
        <v>37.751200189583706</v>
      </c>
      <c r="W262" s="147">
        <f t="shared" si="145"/>
        <v>40.555616297005301</v>
      </c>
      <c r="X262" s="147">
        <f t="shared" si="145"/>
        <v>1.3801503036642727E-2</v>
      </c>
      <c r="Y262" s="147">
        <f t="shared" si="145"/>
        <v>0.10250810373022921</v>
      </c>
      <c r="Z262" s="147">
        <f t="shared" si="145"/>
        <v>0.32140060564134304</v>
      </c>
      <c r="AA262" s="147">
        <f t="shared" si="145"/>
        <v>0.70819088008020181</v>
      </c>
      <c r="AB262" s="147">
        <f t="shared" si="145"/>
        <v>1.2865903014343147</v>
      </c>
      <c r="AC262" s="147">
        <f t="shared" si="145"/>
        <v>2.0692648651289542</v>
      </c>
      <c r="AD262" s="147">
        <f t="shared" si="145"/>
        <v>3.0602740346849182</v>
      </c>
      <c r="AE262" s="147">
        <f t="shared" si="145"/>
        <v>4.2570757029793187</v>
      </c>
      <c r="AF262" s="147">
        <f t="shared" si="145"/>
        <v>5.6521671458405169</v>
      </c>
      <c r="AG262" s="147">
        <f t="shared" si="145"/>
        <v>7.2344211823897746</v>
      </c>
      <c r="AH262" s="147">
        <f t="shared" si="145"/>
        <v>8.9901676693851371</v>
      </c>
      <c r="AI262" s="147">
        <f t="shared" si="145"/>
        <v>10.904062717666822</v>
      </c>
      <c r="AJ262" s="147">
        <f t="shared" si="145"/>
        <v>12.959781431811036</v>
      </c>
      <c r="AK262" s="147">
        <f t="shared" si="145"/>
        <v>15.140564371508987</v>
      </c>
      <c r="AL262" s="147">
        <f t="shared" si="145"/>
        <v>17.4296431713258</v>
      </c>
      <c r="AM262" s="147">
        <f t="shared" si="145"/>
        <v>13.66476740036437</v>
      </c>
      <c r="AN262" s="147">
        <f t="shared" si="145"/>
        <v>16.035559123443939</v>
      </c>
      <c r="AO262" s="147">
        <f t="shared" si="145"/>
        <v>18.527527970913457</v>
      </c>
      <c r="AP262" s="147">
        <f t="shared" si="145"/>
        <v>21.120152861367568</v>
      </c>
      <c r="AQ262" s="147">
        <f t="shared" si="145"/>
        <v>23.793522615035624</v>
      </c>
      <c r="AR262" s="147">
        <f t="shared" si="145"/>
        <v>26.528664181090228</v>
      </c>
      <c r="AS262" s="147">
        <f t="shared" si="145"/>
        <v>29.3077747349577</v>
      </c>
      <c r="AT262" s="147">
        <f t="shared" si="145"/>
        <v>32.114373892467036</v>
      </c>
      <c r="AU262" s="147">
        <f t="shared" si="145"/>
        <v>34.933390923040839</v>
      </c>
      <c r="AV262" s="147">
        <f t="shared" si="145"/>
        <v>37.751200189583706</v>
      </c>
    </row>
    <row r="263" spans="2:48" ht="12.95" customHeight="1" x14ac:dyDescent="0.2">
      <c r="B263" s="14"/>
      <c r="C263" s="253" t="s">
        <v>863</v>
      </c>
      <c r="F263" s="253" t="s">
        <v>492</v>
      </c>
      <c r="G263" s="253" t="s">
        <v>395</v>
      </c>
      <c r="H263" s="147"/>
      <c r="I263" s="147"/>
      <c r="J263" s="147"/>
      <c r="K263" s="147"/>
      <c r="L263" s="147"/>
      <c r="M263" s="147">
        <f t="shared" ref="M263:AV263" si="146">M180*(1-M222)</f>
        <v>17.4296431713258</v>
      </c>
      <c r="N263" s="147">
        <f t="shared" si="146"/>
        <v>13.66476740036437</v>
      </c>
      <c r="O263" s="147">
        <f t="shared" si="146"/>
        <v>16.035559123443939</v>
      </c>
      <c r="P263" s="147">
        <f t="shared" si="146"/>
        <v>18.527527970913457</v>
      </c>
      <c r="Q263" s="147">
        <f t="shared" si="146"/>
        <v>21.120152861367568</v>
      </c>
      <c r="R263" s="147">
        <f t="shared" si="146"/>
        <v>23.793522615035624</v>
      </c>
      <c r="S263" s="147">
        <f t="shared" si="146"/>
        <v>26.528664181090228</v>
      </c>
      <c r="T263" s="147">
        <f t="shared" si="146"/>
        <v>29.3077747349577</v>
      </c>
      <c r="U263" s="147">
        <f t="shared" si="146"/>
        <v>32.114373892467036</v>
      </c>
      <c r="V263" s="147">
        <f t="shared" si="146"/>
        <v>34.933390923040839</v>
      </c>
      <c r="W263" s="147">
        <f t="shared" si="146"/>
        <v>37.751200189583706</v>
      </c>
      <c r="X263" s="147">
        <f t="shared" si="146"/>
        <v>40.555616297005301</v>
      </c>
      <c r="Y263" s="147">
        <f t="shared" si="146"/>
        <v>1.3801503036642727E-2</v>
      </c>
      <c r="Z263" s="147">
        <f t="shared" si="146"/>
        <v>0.10250810373022921</v>
      </c>
      <c r="AA263" s="147">
        <f t="shared" si="146"/>
        <v>0.32140060564134304</v>
      </c>
      <c r="AB263" s="147">
        <f t="shared" si="146"/>
        <v>0.70819088008020181</v>
      </c>
      <c r="AC263" s="147">
        <f t="shared" si="146"/>
        <v>1.2865903014343147</v>
      </c>
      <c r="AD263" s="147">
        <f t="shared" si="146"/>
        <v>2.0692648651289542</v>
      </c>
      <c r="AE263" s="147">
        <f t="shared" si="146"/>
        <v>3.0602740346849182</v>
      </c>
      <c r="AF263" s="147">
        <f t="shared" si="146"/>
        <v>4.2570757029793187</v>
      </c>
      <c r="AG263" s="147">
        <f t="shared" si="146"/>
        <v>5.6521671458405169</v>
      </c>
      <c r="AH263" s="147">
        <f t="shared" si="146"/>
        <v>7.2344211823897746</v>
      </c>
      <c r="AI263" s="147">
        <f t="shared" si="146"/>
        <v>8.9901676693851371</v>
      </c>
      <c r="AJ263" s="147">
        <f t="shared" si="146"/>
        <v>10.904062717666822</v>
      </c>
      <c r="AK263" s="147">
        <f t="shared" si="146"/>
        <v>12.959781431811036</v>
      </c>
      <c r="AL263" s="147">
        <f t="shared" si="146"/>
        <v>15.140564371508987</v>
      </c>
      <c r="AM263" s="147">
        <f t="shared" si="146"/>
        <v>17.4296431713258</v>
      </c>
      <c r="AN263" s="147">
        <f t="shared" si="146"/>
        <v>13.66476740036437</v>
      </c>
      <c r="AO263" s="147">
        <f t="shared" si="146"/>
        <v>16.035559123443939</v>
      </c>
      <c r="AP263" s="147">
        <f t="shared" si="146"/>
        <v>18.527527970913457</v>
      </c>
      <c r="AQ263" s="147">
        <f t="shared" si="146"/>
        <v>21.120152861367568</v>
      </c>
      <c r="AR263" s="147">
        <f t="shared" si="146"/>
        <v>23.793522615035624</v>
      </c>
      <c r="AS263" s="147">
        <f t="shared" si="146"/>
        <v>26.528664181090228</v>
      </c>
      <c r="AT263" s="147">
        <f t="shared" si="146"/>
        <v>29.3077747349577</v>
      </c>
      <c r="AU263" s="147">
        <f t="shared" si="146"/>
        <v>32.114373892467036</v>
      </c>
      <c r="AV263" s="147">
        <f t="shared" si="146"/>
        <v>34.933390923040839</v>
      </c>
    </row>
    <row r="264" spans="2:48" ht="12.95" customHeight="1" x14ac:dyDescent="0.2">
      <c r="B264" s="14"/>
      <c r="C264" s="253" t="s">
        <v>864</v>
      </c>
      <c r="F264" s="253" t="s">
        <v>492</v>
      </c>
      <c r="G264" s="253" t="s">
        <v>395</v>
      </c>
      <c r="H264" s="147"/>
      <c r="I264" s="147"/>
      <c r="J264" s="147"/>
      <c r="K264" s="147"/>
      <c r="L264" s="147"/>
      <c r="M264" s="147"/>
      <c r="N264" s="147">
        <f t="shared" ref="N264:AV264" si="147">N181*(1-N223)</f>
        <v>17.4296431713258</v>
      </c>
      <c r="O264" s="147">
        <f t="shared" si="147"/>
        <v>13.66476740036437</v>
      </c>
      <c r="P264" s="147">
        <f t="shared" si="147"/>
        <v>16.035559123443939</v>
      </c>
      <c r="Q264" s="147">
        <f t="shared" si="147"/>
        <v>18.527527970913457</v>
      </c>
      <c r="R264" s="147">
        <f t="shared" si="147"/>
        <v>21.120152861367568</v>
      </c>
      <c r="S264" s="147">
        <f t="shared" si="147"/>
        <v>23.793522615035624</v>
      </c>
      <c r="T264" s="147">
        <f t="shared" si="147"/>
        <v>26.528664181090228</v>
      </c>
      <c r="U264" s="147">
        <f t="shared" si="147"/>
        <v>29.3077747349577</v>
      </c>
      <c r="V264" s="147">
        <f t="shared" si="147"/>
        <v>32.114373892467036</v>
      </c>
      <c r="W264" s="147">
        <f t="shared" si="147"/>
        <v>34.933390923040839</v>
      </c>
      <c r="X264" s="147">
        <f t="shared" si="147"/>
        <v>37.751200189583706</v>
      </c>
      <c r="Y264" s="147">
        <f t="shared" si="147"/>
        <v>40.555616297005301</v>
      </c>
      <c r="Z264" s="147">
        <f t="shared" si="147"/>
        <v>1.3801503036642727E-2</v>
      </c>
      <c r="AA264" s="147">
        <f t="shared" si="147"/>
        <v>0.10250810373022921</v>
      </c>
      <c r="AB264" s="147">
        <f t="shared" si="147"/>
        <v>0.32140060564134304</v>
      </c>
      <c r="AC264" s="147">
        <f t="shared" si="147"/>
        <v>0.70819088008020181</v>
      </c>
      <c r="AD264" s="147">
        <f t="shared" si="147"/>
        <v>1.2865903014343147</v>
      </c>
      <c r="AE264" s="147">
        <f t="shared" si="147"/>
        <v>2.0692648651289542</v>
      </c>
      <c r="AF264" s="147">
        <f t="shared" si="147"/>
        <v>3.0602740346849182</v>
      </c>
      <c r="AG264" s="147">
        <f t="shared" si="147"/>
        <v>4.2570757029793187</v>
      </c>
      <c r="AH264" s="147">
        <f t="shared" si="147"/>
        <v>5.6521671458405169</v>
      </c>
      <c r="AI264" s="147">
        <f t="shared" si="147"/>
        <v>7.2344211823897746</v>
      </c>
      <c r="AJ264" s="147">
        <f t="shared" si="147"/>
        <v>8.9901676693851371</v>
      </c>
      <c r="AK264" s="147">
        <f t="shared" si="147"/>
        <v>10.904062717666822</v>
      </c>
      <c r="AL264" s="147">
        <f t="shared" si="147"/>
        <v>12.959781431811036</v>
      </c>
      <c r="AM264" s="147">
        <f t="shared" si="147"/>
        <v>15.140564371508987</v>
      </c>
      <c r="AN264" s="147">
        <f t="shared" si="147"/>
        <v>17.4296431713258</v>
      </c>
      <c r="AO264" s="147">
        <f t="shared" si="147"/>
        <v>13.66476740036437</v>
      </c>
      <c r="AP264" s="147">
        <f t="shared" si="147"/>
        <v>16.035559123443939</v>
      </c>
      <c r="AQ264" s="147">
        <f t="shared" si="147"/>
        <v>18.527527970913457</v>
      </c>
      <c r="AR264" s="147">
        <f t="shared" si="147"/>
        <v>21.120152861367568</v>
      </c>
      <c r="AS264" s="147">
        <f t="shared" si="147"/>
        <v>23.793522615035624</v>
      </c>
      <c r="AT264" s="147">
        <f t="shared" si="147"/>
        <v>26.528664181090228</v>
      </c>
      <c r="AU264" s="147">
        <f t="shared" si="147"/>
        <v>29.3077747349577</v>
      </c>
      <c r="AV264" s="147">
        <f t="shared" si="147"/>
        <v>32.114373892467036</v>
      </c>
    </row>
    <row r="265" spans="2:48" ht="12.95" customHeight="1" x14ac:dyDescent="0.2">
      <c r="B265" s="14"/>
      <c r="C265" s="253" t="s">
        <v>865</v>
      </c>
      <c r="F265" s="253" t="s">
        <v>492</v>
      </c>
      <c r="G265" s="253" t="s">
        <v>395</v>
      </c>
      <c r="H265" s="147"/>
      <c r="I265" s="147"/>
      <c r="J265" s="147"/>
      <c r="K265" s="147"/>
      <c r="L265" s="147"/>
      <c r="M265" s="147"/>
      <c r="N265" s="147"/>
      <c r="O265" s="147">
        <f t="shared" ref="O265:AV265" si="148">O182*(1-O224)</f>
        <v>17.4296431713258</v>
      </c>
      <c r="P265" s="147">
        <f t="shared" si="148"/>
        <v>13.66476740036437</v>
      </c>
      <c r="Q265" s="147">
        <f t="shared" si="148"/>
        <v>16.035559123443939</v>
      </c>
      <c r="R265" s="147">
        <f t="shared" si="148"/>
        <v>18.527527970913457</v>
      </c>
      <c r="S265" s="147">
        <f t="shared" si="148"/>
        <v>21.120152861367568</v>
      </c>
      <c r="T265" s="147">
        <f t="shared" si="148"/>
        <v>23.793522615035624</v>
      </c>
      <c r="U265" s="147">
        <f t="shared" si="148"/>
        <v>26.528664181090228</v>
      </c>
      <c r="V265" s="147">
        <f t="shared" si="148"/>
        <v>29.3077747349577</v>
      </c>
      <c r="W265" s="147">
        <f t="shared" si="148"/>
        <v>32.114373892467036</v>
      </c>
      <c r="X265" s="147">
        <f t="shared" si="148"/>
        <v>34.933390923040839</v>
      </c>
      <c r="Y265" s="147">
        <f t="shared" si="148"/>
        <v>37.751200189583706</v>
      </c>
      <c r="Z265" s="147">
        <f t="shared" si="148"/>
        <v>40.555616297005301</v>
      </c>
      <c r="AA265" s="147">
        <f t="shared" si="148"/>
        <v>1.3801503036642727E-2</v>
      </c>
      <c r="AB265" s="147">
        <f t="shared" si="148"/>
        <v>0.10250810373022921</v>
      </c>
      <c r="AC265" s="147">
        <f t="shared" si="148"/>
        <v>0.32140060564134304</v>
      </c>
      <c r="AD265" s="147">
        <f t="shared" si="148"/>
        <v>0.70819088008020181</v>
      </c>
      <c r="AE265" s="147">
        <f t="shared" si="148"/>
        <v>1.2865903014343147</v>
      </c>
      <c r="AF265" s="147">
        <f t="shared" si="148"/>
        <v>2.0692648651289542</v>
      </c>
      <c r="AG265" s="147">
        <f t="shared" si="148"/>
        <v>3.0602740346849182</v>
      </c>
      <c r="AH265" s="147">
        <f t="shared" si="148"/>
        <v>4.2570757029793187</v>
      </c>
      <c r="AI265" s="147">
        <f t="shared" si="148"/>
        <v>5.6521671458405169</v>
      </c>
      <c r="AJ265" s="147">
        <f t="shared" si="148"/>
        <v>7.2344211823897746</v>
      </c>
      <c r="AK265" s="147">
        <f t="shared" si="148"/>
        <v>8.9901676693851371</v>
      </c>
      <c r="AL265" s="147">
        <f t="shared" si="148"/>
        <v>10.904062717666822</v>
      </c>
      <c r="AM265" s="147">
        <f t="shared" si="148"/>
        <v>12.959781431811036</v>
      </c>
      <c r="AN265" s="147">
        <f t="shared" si="148"/>
        <v>15.140564371508987</v>
      </c>
      <c r="AO265" s="147">
        <f t="shared" si="148"/>
        <v>17.4296431713258</v>
      </c>
      <c r="AP265" s="147">
        <f t="shared" si="148"/>
        <v>13.66476740036437</v>
      </c>
      <c r="AQ265" s="147">
        <f t="shared" si="148"/>
        <v>16.035559123443939</v>
      </c>
      <c r="AR265" s="147">
        <f t="shared" si="148"/>
        <v>18.527527970913457</v>
      </c>
      <c r="AS265" s="147">
        <f t="shared" si="148"/>
        <v>21.120152861367568</v>
      </c>
      <c r="AT265" s="147">
        <f t="shared" si="148"/>
        <v>23.793522615035624</v>
      </c>
      <c r="AU265" s="147">
        <f t="shared" si="148"/>
        <v>26.528664181090228</v>
      </c>
      <c r="AV265" s="147">
        <f t="shared" si="148"/>
        <v>29.3077747349577</v>
      </c>
    </row>
    <row r="266" spans="2:48" ht="12.95" customHeight="1" x14ac:dyDescent="0.2">
      <c r="B266" s="14"/>
      <c r="C266" s="253" t="s">
        <v>866</v>
      </c>
      <c r="F266" s="253" t="s">
        <v>492</v>
      </c>
      <c r="G266" s="253" t="s">
        <v>395</v>
      </c>
      <c r="H266" s="147"/>
      <c r="I266" s="147"/>
      <c r="J266" s="147"/>
      <c r="K266" s="147"/>
      <c r="L266" s="147"/>
      <c r="M266" s="147"/>
      <c r="N266" s="147"/>
      <c r="O266" s="147"/>
      <c r="P266" s="147">
        <f t="shared" ref="P266:AV266" si="149">P183*(1-P225)</f>
        <v>17.4296431713258</v>
      </c>
      <c r="Q266" s="147">
        <f t="shared" si="149"/>
        <v>13.66476740036437</v>
      </c>
      <c r="R266" s="147">
        <f t="shared" si="149"/>
        <v>16.035559123443939</v>
      </c>
      <c r="S266" s="147">
        <f t="shared" si="149"/>
        <v>18.527527970913457</v>
      </c>
      <c r="T266" s="147">
        <f t="shared" si="149"/>
        <v>21.120152861367568</v>
      </c>
      <c r="U266" s="147">
        <f t="shared" si="149"/>
        <v>23.793522615035624</v>
      </c>
      <c r="V266" s="147">
        <f t="shared" si="149"/>
        <v>26.528664181090228</v>
      </c>
      <c r="W266" s="147">
        <f t="shared" si="149"/>
        <v>29.3077747349577</v>
      </c>
      <c r="X266" s="147">
        <f t="shared" si="149"/>
        <v>32.114373892467036</v>
      </c>
      <c r="Y266" s="147">
        <f t="shared" si="149"/>
        <v>34.933390923040839</v>
      </c>
      <c r="Z266" s="147">
        <f t="shared" si="149"/>
        <v>37.751200189583706</v>
      </c>
      <c r="AA266" s="147">
        <f t="shared" si="149"/>
        <v>40.555616297005301</v>
      </c>
      <c r="AB266" s="147">
        <f t="shared" si="149"/>
        <v>1.3801503036642727E-2</v>
      </c>
      <c r="AC266" s="147">
        <f t="shared" si="149"/>
        <v>0.10250810373022921</v>
      </c>
      <c r="AD266" s="147">
        <f t="shared" si="149"/>
        <v>0.32140060564134304</v>
      </c>
      <c r="AE266" s="147">
        <f t="shared" si="149"/>
        <v>0.70819088008020181</v>
      </c>
      <c r="AF266" s="147">
        <f t="shared" si="149"/>
        <v>1.2865903014343147</v>
      </c>
      <c r="AG266" s="147">
        <f t="shared" si="149"/>
        <v>2.0692648651289542</v>
      </c>
      <c r="AH266" s="147">
        <f t="shared" si="149"/>
        <v>3.0602740346849182</v>
      </c>
      <c r="AI266" s="147">
        <f t="shared" si="149"/>
        <v>4.2570757029793187</v>
      </c>
      <c r="AJ266" s="147">
        <f t="shared" si="149"/>
        <v>5.6521671458405169</v>
      </c>
      <c r="AK266" s="147">
        <f t="shared" si="149"/>
        <v>7.2344211823897746</v>
      </c>
      <c r="AL266" s="147">
        <f t="shared" si="149"/>
        <v>8.9901676693851371</v>
      </c>
      <c r="AM266" s="147">
        <f t="shared" si="149"/>
        <v>10.904062717666822</v>
      </c>
      <c r="AN266" s="147">
        <f t="shared" si="149"/>
        <v>12.959781431811036</v>
      </c>
      <c r="AO266" s="147">
        <f t="shared" si="149"/>
        <v>15.140564371508987</v>
      </c>
      <c r="AP266" s="147">
        <f t="shared" si="149"/>
        <v>17.4296431713258</v>
      </c>
      <c r="AQ266" s="147">
        <f t="shared" si="149"/>
        <v>13.66476740036437</v>
      </c>
      <c r="AR266" s="147">
        <f t="shared" si="149"/>
        <v>16.035559123443939</v>
      </c>
      <c r="AS266" s="147">
        <f t="shared" si="149"/>
        <v>18.527527970913457</v>
      </c>
      <c r="AT266" s="147">
        <f t="shared" si="149"/>
        <v>21.120152861367568</v>
      </c>
      <c r="AU266" s="147">
        <f t="shared" si="149"/>
        <v>23.793522615035624</v>
      </c>
      <c r="AV266" s="147">
        <f t="shared" si="149"/>
        <v>26.528664181090228</v>
      </c>
    </row>
    <row r="267" spans="2:48" ht="12.95" customHeight="1" x14ac:dyDescent="0.2">
      <c r="B267" s="14"/>
      <c r="C267" s="253" t="s">
        <v>867</v>
      </c>
      <c r="F267" s="253" t="s">
        <v>492</v>
      </c>
      <c r="G267" s="253" t="s">
        <v>395</v>
      </c>
      <c r="H267" s="147"/>
      <c r="I267" s="147"/>
      <c r="J267" s="147"/>
      <c r="K267" s="147"/>
      <c r="L267" s="147"/>
      <c r="M267" s="147"/>
      <c r="N267" s="147"/>
      <c r="O267" s="147"/>
      <c r="P267" s="147"/>
      <c r="Q267" s="147">
        <f t="shared" ref="Q267:AV267" si="150">Q184*(1-Q226)</f>
        <v>17.4296431713258</v>
      </c>
      <c r="R267" s="147">
        <f t="shared" si="150"/>
        <v>13.66476740036437</v>
      </c>
      <c r="S267" s="147">
        <f t="shared" si="150"/>
        <v>16.035559123443939</v>
      </c>
      <c r="T267" s="147">
        <f t="shared" si="150"/>
        <v>18.527527970913457</v>
      </c>
      <c r="U267" s="147">
        <f t="shared" si="150"/>
        <v>21.120152861367568</v>
      </c>
      <c r="V267" s="147">
        <f t="shared" si="150"/>
        <v>23.793522615035624</v>
      </c>
      <c r="W267" s="147">
        <f t="shared" si="150"/>
        <v>26.528664181090228</v>
      </c>
      <c r="X267" s="147">
        <f t="shared" si="150"/>
        <v>29.3077747349577</v>
      </c>
      <c r="Y267" s="147">
        <f t="shared" si="150"/>
        <v>32.114373892467036</v>
      </c>
      <c r="Z267" s="147">
        <f t="shared" si="150"/>
        <v>34.933390923040839</v>
      </c>
      <c r="AA267" s="147">
        <f t="shared" si="150"/>
        <v>37.751200189583706</v>
      </c>
      <c r="AB267" s="147">
        <f t="shared" si="150"/>
        <v>40.555616297005301</v>
      </c>
      <c r="AC267" s="147">
        <f t="shared" si="150"/>
        <v>1.3801503036642727E-2</v>
      </c>
      <c r="AD267" s="147">
        <f t="shared" si="150"/>
        <v>0.10250810373022921</v>
      </c>
      <c r="AE267" s="147">
        <f t="shared" si="150"/>
        <v>0.32140060564134304</v>
      </c>
      <c r="AF267" s="147">
        <f t="shared" si="150"/>
        <v>0.70819088008020181</v>
      </c>
      <c r="AG267" s="147">
        <f t="shared" si="150"/>
        <v>1.2865903014343147</v>
      </c>
      <c r="AH267" s="147">
        <f t="shared" si="150"/>
        <v>2.0692648651289542</v>
      </c>
      <c r="AI267" s="147">
        <f t="shared" si="150"/>
        <v>3.0602740346849182</v>
      </c>
      <c r="AJ267" s="147">
        <f t="shared" si="150"/>
        <v>4.2570757029793187</v>
      </c>
      <c r="AK267" s="147">
        <f t="shared" si="150"/>
        <v>5.6521671458405169</v>
      </c>
      <c r="AL267" s="147">
        <f t="shared" si="150"/>
        <v>7.2344211823897746</v>
      </c>
      <c r="AM267" s="147">
        <f t="shared" si="150"/>
        <v>8.9901676693851371</v>
      </c>
      <c r="AN267" s="147">
        <f t="shared" si="150"/>
        <v>10.904062717666822</v>
      </c>
      <c r="AO267" s="147">
        <f t="shared" si="150"/>
        <v>12.959781431811036</v>
      </c>
      <c r="AP267" s="147">
        <f t="shared" si="150"/>
        <v>15.140564371508987</v>
      </c>
      <c r="AQ267" s="147">
        <f t="shared" si="150"/>
        <v>17.4296431713258</v>
      </c>
      <c r="AR267" s="147">
        <f t="shared" si="150"/>
        <v>13.66476740036437</v>
      </c>
      <c r="AS267" s="147">
        <f t="shared" si="150"/>
        <v>16.035559123443939</v>
      </c>
      <c r="AT267" s="147">
        <f t="shared" si="150"/>
        <v>18.527527970913457</v>
      </c>
      <c r="AU267" s="147">
        <f t="shared" si="150"/>
        <v>21.120152861367568</v>
      </c>
      <c r="AV267" s="147">
        <f t="shared" si="150"/>
        <v>23.793522615035624</v>
      </c>
    </row>
    <row r="268" spans="2:48" ht="12.95" customHeight="1" x14ac:dyDescent="0.2">
      <c r="B268" s="14"/>
      <c r="C268" s="253" t="s">
        <v>868</v>
      </c>
      <c r="F268" s="253" t="s">
        <v>492</v>
      </c>
      <c r="G268" s="253" t="s">
        <v>395</v>
      </c>
      <c r="H268" s="147"/>
      <c r="I268" s="147"/>
      <c r="J268" s="147"/>
      <c r="K268" s="147"/>
      <c r="L268" s="147"/>
      <c r="M268" s="147"/>
      <c r="N268" s="147"/>
      <c r="O268" s="147"/>
      <c r="P268" s="147"/>
      <c r="Q268" s="147"/>
      <c r="R268" s="147">
        <f t="shared" ref="R268:AV268" si="151">R185*(1-R227)</f>
        <v>17.4296431713258</v>
      </c>
      <c r="S268" s="147">
        <f t="shared" si="151"/>
        <v>13.66476740036437</v>
      </c>
      <c r="T268" s="147">
        <f t="shared" si="151"/>
        <v>16.035559123443939</v>
      </c>
      <c r="U268" s="147">
        <f t="shared" si="151"/>
        <v>18.527527970913457</v>
      </c>
      <c r="V268" s="147">
        <f t="shared" si="151"/>
        <v>21.120152861367568</v>
      </c>
      <c r="W268" s="147">
        <f t="shared" si="151"/>
        <v>23.793522615035624</v>
      </c>
      <c r="X268" s="147">
        <f t="shared" si="151"/>
        <v>26.528664181090228</v>
      </c>
      <c r="Y268" s="147">
        <f t="shared" si="151"/>
        <v>29.3077747349577</v>
      </c>
      <c r="Z268" s="147">
        <f t="shared" si="151"/>
        <v>32.114373892467036</v>
      </c>
      <c r="AA268" s="147">
        <f t="shared" si="151"/>
        <v>34.933390923040839</v>
      </c>
      <c r="AB268" s="147">
        <f t="shared" si="151"/>
        <v>37.751200189583706</v>
      </c>
      <c r="AC268" s="147">
        <f t="shared" si="151"/>
        <v>40.555616297005301</v>
      </c>
      <c r="AD268" s="147">
        <f t="shared" si="151"/>
        <v>1.3801503036642727E-2</v>
      </c>
      <c r="AE268" s="147">
        <f t="shared" si="151"/>
        <v>0.10250810373022921</v>
      </c>
      <c r="AF268" s="147">
        <f t="shared" si="151"/>
        <v>0.32140060564134304</v>
      </c>
      <c r="AG268" s="147">
        <f t="shared" si="151"/>
        <v>0.70819088008020181</v>
      </c>
      <c r="AH268" s="147">
        <f t="shared" si="151"/>
        <v>1.2865903014343147</v>
      </c>
      <c r="AI268" s="147">
        <f t="shared" si="151"/>
        <v>2.0692648651289542</v>
      </c>
      <c r="AJ268" s="147">
        <f t="shared" si="151"/>
        <v>3.0602740346849182</v>
      </c>
      <c r="AK268" s="147">
        <f t="shared" si="151"/>
        <v>4.2570757029793187</v>
      </c>
      <c r="AL268" s="147">
        <f t="shared" si="151"/>
        <v>5.6521671458405169</v>
      </c>
      <c r="AM268" s="147">
        <f t="shared" si="151"/>
        <v>7.2344211823897746</v>
      </c>
      <c r="AN268" s="147">
        <f t="shared" si="151"/>
        <v>8.9901676693851371</v>
      </c>
      <c r="AO268" s="147">
        <f t="shared" si="151"/>
        <v>10.904062717666822</v>
      </c>
      <c r="AP268" s="147">
        <f t="shared" si="151"/>
        <v>12.959781431811036</v>
      </c>
      <c r="AQ268" s="147">
        <f t="shared" si="151"/>
        <v>15.140564371508987</v>
      </c>
      <c r="AR268" s="147">
        <f t="shared" si="151"/>
        <v>17.4296431713258</v>
      </c>
      <c r="AS268" s="147">
        <f t="shared" si="151"/>
        <v>13.66476740036437</v>
      </c>
      <c r="AT268" s="147">
        <f t="shared" si="151"/>
        <v>16.035559123443939</v>
      </c>
      <c r="AU268" s="147">
        <f t="shared" si="151"/>
        <v>18.527527970913457</v>
      </c>
      <c r="AV268" s="147">
        <f t="shared" si="151"/>
        <v>21.120152861367568</v>
      </c>
    </row>
    <row r="269" spans="2:48" ht="12.95" customHeight="1" x14ac:dyDescent="0.2">
      <c r="B269" s="14"/>
      <c r="C269" s="253" t="s">
        <v>869</v>
      </c>
      <c r="F269" s="253" t="s">
        <v>492</v>
      </c>
      <c r="G269" s="253" t="s">
        <v>395</v>
      </c>
      <c r="H269" s="147"/>
      <c r="I269" s="147"/>
      <c r="J269" s="147"/>
      <c r="K269" s="147"/>
      <c r="L269" s="147"/>
      <c r="M269" s="147"/>
      <c r="N269" s="147"/>
      <c r="O269" s="147"/>
      <c r="P269" s="147"/>
      <c r="Q269" s="147"/>
      <c r="R269" s="147"/>
      <c r="S269" s="147">
        <f t="shared" ref="S269:AV269" si="152">S186*(1-S228)</f>
        <v>17.4296431713258</v>
      </c>
      <c r="T269" s="147">
        <f t="shared" si="152"/>
        <v>13.66476740036437</v>
      </c>
      <c r="U269" s="147">
        <f t="shared" si="152"/>
        <v>16.035559123443939</v>
      </c>
      <c r="V269" s="147">
        <f t="shared" si="152"/>
        <v>18.527527970913457</v>
      </c>
      <c r="W269" s="147">
        <f t="shared" si="152"/>
        <v>21.120152861367568</v>
      </c>
      <c r="X269" s="147">
        <f t="shared" si="152"/>
        <v>23.793522615035624</v>
      </c>
      <c r="Y269" s="147">
        <f t="shared" si="152"/>
        <v>26.528664181090228</v>
      </c>
      <c r="Z269" s="147">
        <f t="shared" si="152"/>
        <v>29.3077747349577</v>
      </c>
      <c r="AA269" s="147">
        <f t="shared" si="152"/>
        <v>32.114373892467036</v>
      </c>
      <c r="AB269" s="147">
        <f t="shared" si="152"/>
        <v>34.933390923040839</v>
      </c>
      <c r="AC269" s="147">
        <f t="shared" si="152"/>
        <v>37.751200189583706</v>
      </c>
      <c r="AD269" s="147">
        <f t="shared" si="152"/>
        <v>40.555616297005301</v>
      </c>
      <c r="AE269" s="147">
        <f t="shared" si="152"/>
        <v>1.3801503036642727E-2</v>
      </c>
      <c r="AF269" s="147">
        <f t="shared" si="152"/>
        <v>0.10250810373022921</v>
      </c>
      <c r="AG269" s="147">
        <f t="shared" si="152"/>
        <v>0.32140060564134304</v>
      </c>
      <c r="AH269" s="147">
        <f t="shared" si="152"/>
        <v>0.70819088008020181</v>
      </c>
      <c r="AI269" s="147">
        <f t="shared" si="152"/>
        <v>1.2865903014343147</v>
      </c>
      <c r="AJ269" s="147">
        <f t="shared" si="152"/>
        <v>2.0692648651289542</v>
      </c>
      <c r="AK269" s="147">
        <f t="shared" si="152"/>
        <v>3.0602740346849182</v>
      </c>
      <c r="AL269" s="147">
        <f t="shared" si="152"/>
        <v>4.2570757029793187</v>
      </c>
      <c r="AM269" s="147">
        <f t="shared" si="152"/>
        <v>5.6521671458405169</v>
      </c>
      <c r="AN269" s="147">
        <f t="shared" si="152"/>
        <v>7.2344211823897746</v>
      </c>
      <c r="AO269" s="147">
        <f t="shared" si="152"/>
        <v>8.9901676693851371</v>
      </c>
      <c r="AP269" s="147">
        <f t="shared" si="152"/>
        <v>10.904062717666822</v>
      </c>
      <c r="AQ269" s="147">
        <f t="shared" si="152"/>
        <v>12.959781431811036</v>
      </c>
      <c r="AR269" s="147">
        <f t="shared" si="152"/>
        <v>15.140564371508987</v>
      </c>
      <c r="AS269" s="147">
        <f t="shared" si="152"/>
        <v>17.4296431713258</v>
      </c>
      <c r="AT269" s="147">
        <f t="shared" si="152"/>
        <v>13.66476740036437</v>
      </c>
      <c r="AU269" s="147">
        <f t="shared" si="152"/>
        <v>16.035559123443939</v>
      </c>
      <c r="AV269" s="147">
        <f t="shared" si="152"/>
        <v>18.527527970913457</v>
      </c>
    </row>
    <row r="270" spans="2:48" ht="12.95" customHeight="1" x14ac:dyDescent="0.2">
      <c r="B270" s="14"/>
      <c r="C270" s="253" t="s">
        <v>870</v>
      </c>
      <c r="F270" s="253" t="s">
        <v>492</v>
      </c>
      <c r="G270" s="253" t="s">
        <v>395</v>
      </c>
      <c r="H270" s="147"/>
      <c r="I270" s="147"/>
      <c r="J270" s="147"/>
      <c r="K270" s="147"/>
      <c r="L270" s="147"/>
      <c r="M270" s="147"/>
      <c r="N270" s="147"/>
      <c r="O270" s="147"/>
      <c r="P270" s="147"/>
      <c r="Q270" s="147"/>
      <c r="R270" s="147"/>
      <c r="S270" s="147"/>
      <c r="T270" s="147">
        <f t="shared" ref="T270:AV270" si="153">T187*(1-T229)</f>
        <v>17.4296431713258</v>
      </c>
      <c r="U270" s="147">
        <f t="shared" si="153"/>
        <v>13.66476740036437</v>
      </c>
      <c r="V270" s="147">
        <f t="shared" si="153"/>
        <v>16.035559123443939</v>
      </c>
      <c r="W270" s="147">
        <f t="shared" si="153"/>
        <v>18.527527970913457</v>
      </c>
      <c r="X270" s="147">
        <f t="shared" si="153"/>
        <v>21.120152861367568</v>
      </c>
      <c r="Y270" s="147">
        <f t="shared" si="153"/>
        <v>23.793522615035624</v>
      </c>
      <c r="Z270" s="147">
        <f t="shared" si="153"/>
        <v>26.528664181090228</v>
      </c>
      <c r="AA270" s="147">
        <f t="shared" si="153"/>
        <v>29.3077747349577</v>
      </c>
      <c r="AB270" s="147">
        <f t="shared" si="153"/>
        <v>32.114373892467036</v>
      </c>
      <c r="AC270" s="147">
        <f t="shared" si="153"/>
        <v>34.933390923040839</v>
      </c>
      <c r="AD270" s="147">
        <f t="shared" si="153"/>
        <v>37.751200189583706</v>
      </c>
      <c r="AE270" s="147">
        <f t="shared" si="153"/>
        <v>40.555616297005301</v>
      </c>
      <c r="AF270" s="147">
        <f t="shared" si="153"/>
        <v>1.3801503036642727E-2</v>
      </c>
      <c r="AG270" s="147">
        <f t="shared" si="153"/>
        <v>0.10250810373022921</v>
      </c>
      <c r="AH270" s="147">
        <f t="shared" si="153"/>
        <v>0.32140060564134304</v>
      </c>
      <c r="AI270" s="147">
        <f t="shared" si="153"/>
        <v>0.70819088008020181</v>
      </c>
      <c r="AJ270" s="147">
        <f t="shared" si="153"/>
        <v>1.2865903014343147</v>
      </c>
      <c r="AK270" s="147">
        <f t="shared" si="153"/>
        <v>2.0692648651289542</v>
      </c>
      <c r="AL270" s="147">
        <f t="shared" si="153"/>
        <v>3.0602740346849182</v>
      </c>
      <c r="AM270" s="147">
        <f t="shared" si="153"/>
        <v>4.2570757029793187</v>
      </c>
      <c r="AN270" s="147">
        <f t="shared" si="153"/>
        <v>5.6521671458405169</v>
      </c>
      <c r="AO270" s="147">
        <f t="shared" si="153"/>
        <v>7.2344211823897746</v>
      </c>
      <c r="AP270" s="147">
        <f t="shared" si="153"/>
        <v>8.9901676693851371</v>
      </c>
      <c r="AQ270" s="147">
        <f t="shared" si="153"/>
        <v>10.904062717666822</v>
      </c>
      <c r="AR270" s="147">
        <f t="shared" si="153"/>
        <v>12.959781431811036</v>
      </c>
      <c r="AS270" s="147">
        <f t="shared" si="153"/>
        <v>15.140564371508987</v>
      </c>
      <c r="AT270" s="147">
        <f t="shared" si="153"/>
        <v>17.4296431713258</v>
      </c>
      <c r="AU270" s="147">
        <f t="shared" si="153"/>
        <v>13.66476740036437</v>
      </c>
      <c r="AV270" s="147">
        <f t="shared" si="153"/>
        <v>16.035559123443939</v>
      </c>
    </row>
    <row r="271" spans="2:48" ht="12.95" customHeight="1" x14ac:dyDescent="0.2">
      <c r="B271" s="14"/>
      <c r="C271" s="253" t="s">
        <v>871</v>
      </c>
      <c r="F271" s="253" t="s">
        <v>492</v>
      </c>
      <c r="G271" s="253" t="s">
        <v>395</v>
      </c>
      <c r="H271" s="147"/>
      <c r="I271" s="147"/>
      <c r="J271" s="147"/>
      <c r="K271" s="147"/>
      <c r="L271" s="147"/>
      <c r="M271" s="147"/>
      <c r="N271" s="147"/>
      <c r="O271" s="147"/>
      <c r="P271" s="147"/>
      <c r="Q271" s="147"/>
      <c r="R271" s="147"/>
      <c r="S271" s="147"/>
      <c r="T271" s="147"/>
      <c r="U271" s="147">
        <f t="shared" ref="U271:AV271" si="154">U188*(1-U230)</f>
        <v>17.4296431713258</v>
      </c>
      <c r="V271" s="147">
        <f t="shared" si="154"/>
        <v>13.66476740036437</v>
      </c>
      <c r="W271" s="147">
        <f t="shared" si="154"/>
        <v>16.035559123443939</v>
      </c>
      <c r="X271" s="147">
        <f t="shared" si="154"/>
        <v>18.527527970913457</v>
      </c>
      <c r="Y271" s="147">
        <f t="shared" si="154"/>
        <v>21.120152861367568</v>
      </c>
      <c r="Z271" s="147">
        <f t="shared" si="154"/>
        <v>23.793522615035624</v>
      </c>
      <c r="AA271" s="147">
        <f t="shared" si="154"/>
        <v>26.528664181090228</v>
      </c>
      <c r="AB271" s="147">
        <f t="shared" si="154"/>
        <v>29.3077747349577</v>
      </c>
      <c r="AC271" s="147">
        <f t="shared" si="154"/>
        <v>32.114373892467036</v>
      </c>
      <c r="AD271" s="147">
        <f t="shared" si="154"/>
        <v>34.933390923040839</v>
      </c>
      <c r="AE271" s="147">
        <f t="shared" si="154"/>
        <v>37.751200189583706</v>
      </c>
      <c r="AF271" s="147">
        <f t="shared" si="154"/>
        <v>40.555616297005301</v>
      </c>
      <c r="AG271" s="147">
        <f t="shared" si="154"/>
        <v>1.3801503036642727E-2</v>
      </c>
      <c r="AH271" s="147">
        <f t="shared" si="154"/>
        <v>0.10250810373022921</v>
      </c>
      <c r="AI271" s="147">
        <f t="shared" si="154"/>
        <v>0.32140060564134304</v>
      </c>
      <c r="AJ271" s="147">
        <f t="shared" si="154"/>
        <v>0.70819088008020181</v>
      </c>
      <c r="AK271" s="147">
        <f t="shared" si="154"/>
        <v>1.2865903014343147</v>
      </c>
      <c r="AL271" s="147">
        <f t="shared" si="154"/>
        <v>2.0692648651289542</v>
      </c>
      <c r="AM271" s="147">
        <f t="shared" si="154"/>
        <v>3.0602740346849182</v>
      </c>
      <c r="AN271" s="147">
        <f t="shared" si="154"/>
        <v>4.2570757029793187</v>
      </c>
      <c r="AO271" s="147">
        <f t="shared" si="154"/>
        <v>5.6521671458405169</v>
      </c>
      <c r="AP271" s="147">
        <f t="shared" si="154"/>
        <v>7.2344211823897746</v>
      </c>
      <c r="AQ271" s="147">
        <f t="shared" si="154"/>
        <v>8.9901676693851371</v>
      </c>
      <c r="AR271" s="147">
        <f t="shared" si="154"/>
        <v>10.904062717666822</v>
      </c>
      <c r="AS271" s="147">
        <f t="shared" si="154"/>
        <v>12.959781431811036</v>
      </c>
      <c r="AT271" s="147">
        <f t="shared" si="154"/>
        <v>15.140564371508987</v>
      </c>
      <c r="AU271" s="147">
        <f t="shared" si="154"/>
        <v>17.4296431713258</v>
      </c>
      <c r="AV271" s="147">
        <f t="shared" si="154"/>
        <v>13.66476740036437</v>
      </c>
    </row>
    <row r="272" spans="2:48" ht="12.95" customHeight="1" x14ac:dyDescent="0.2">
      <c r="B272" s="14"/>
      <c r="C272" s="253" t="s">
        <v>872</v>
      </c>
      <c r="F272" s="253" t="s">
        <v>492</v>
      </c>
      <c r="G272" s="253" t="s">
        <v>395</v>
      </c>
      <c r="H272" s="147"/>
      <c r="I272" s="147"/>
      <c r="J272" s="147"/>
      <c r="K272" s="147"/>
      <c r="L272" s="147"/>
      <c r="M272" s="147"/>
      <c r="N272" s="147"/>
      <c r="O272" s="147"/>
      <c r="P272" s="147"/>
      <c r="Q272" s="147"/>
      <c r="R272" s="147"/>
      <c r="S272" s="147"/>
      <c r="T272" s="147"/>
      <c r="U272" s="147"/>
      <c r="V272" s="147">
        <f t="shared" ref="V272:AV272" si="155">V189*(1-V231)</f>
        <v>17.4296431713258</v>
      </c>
      <c r="W272" s="147">
        <f t="shared" si="155"/>
        <v>13.66476740036437</v>
      </c>
      <c r="X272" s="147">
        <f t="shared" si="155"/>
        <v>16.035559123443939</v>
      </c>
      <c r="Y272" s="147">
        <f t="shared" si="155"/>
        <v>18.527527970913457</v>
      </c>
      <c r="Z272" s="147">
        <f t="shared" si="155"/>
        <v>21.120152861367568</v>
      </c>
      <c r="AA272" s="147">
        <f t="shared" si="155"/>
        <v>23.793522615035624</v>
      </c>
      <c r="AB272" s="147">
        <f t="shared" si="155"/>
        <v>26.528664181090228</v>
      </c>
      <c r="AC272" s="147">
        <f t="shared" si="155"/>
        <v>29.3077747349577</v>
      </c>
      <c r="AD272" s="147">
        <f t="shared" si="155"/>
        <v>32.114373892467036</v>
      </c>
      <c r="AE272" s="147">
        <f t="shared" si="155"/>
        <v>34.933390923040839</v>
      </c>
      <c r="AF272" s="147">
        <f t="shared" si="155"/>
        <v>37.751200189583706</v>
      </c>
      <c r="AG272" s="147">
        <f t="shared" si="155"/>
        <v>40.555616297005301</v>
      </c>
      <c r="AH272" s="147">
        <f t="shared" si="155"/>
        <v>1.3801503036642727E-2</v>
      </c>
      <c r="AI272" s="147">
        <f t="shared" si="155"/>
        <v>0.10250810373022921</v>
      </c>
      <c r="AJ272" s="147">
        <f t="shared" si="155"/>
        <v>0.32140060564134304</v>
      </c>
      <c r="AK272" s="147">
        <f t="shared" si="155"/>
        <v>0.70819088008020181</v>
      </c>
      <c r="AL272" s="147">
        <f t="shared" si="155"/>
        <v>1.2865903014343147</v>
      </c>
      <c r="AM272" s="147">
        <f t="shared" si="155"/>
        <v>2.0692648651289542</v>
      </c>
      <c r="AN272" s="147">
        <f t="shared" si="155"/>
        <v>3.0602740346849182</v>
      </c>
      <c r="AO272" s="147">
        <f t="shared" si="155"/>
        <v>4.2570757029793187</v>
      </c>
      <c r="AP272" s="147">
        <f t="shared" si="155"/>
        <v>5.6521671458405169</v>
      </c>
      <c r="AQ272" s="147">
        <f t="shared" si="155"/>
        <v>7.2344211823897746</v>
      </c>
      <c r="AR272" s="147">
        <f t="shared" si="155"/>
        <v>8.9901676693851371</v>
      </c>
      <c r="AS272" s="147">
        <f t="shared" si="155"/>
        <v>10.904062717666822</v>
      </c>
      <c r="AT272" s="147">
        <f t="shared" si="155"/>
        <v>12.959781431811036</v>
      </c>
      <c r="AU272" s="147">
        <f t="shared" si="155"/>
        <v>15.140564371508987</v>
      </c>
      <c r="AV272" s="147">
        <f t="shared" si="155"/>
        <v>17.4296431713258</v>
      </c>
    </row>
    <row r="273" spans="2:48" ht="12.95" customHeight="1" x14ac:dyDescent="0.2">
      <c r="B273" s="14"/>
      <c r="C273" s="253" t="s">
        <v>873</v>
      </c>
      <c r="F273" s="253" t="s">
        <v>492</v>
      </c>
      <c r="G273" s="253" t="s">
        <v>395</v>
      </c>
      <c r="H273" s="147"/>
      <c r="I273" s="147"/>
      <c r="J273" s="147"/>
      <c r="K273" s="147"/>
      <c r="L273" s="147"/>
      <c r="M273" s="147"/>
      <c r="N273" s="147"/>
      <c r="O273" s="147"/>
      <c r="P273" s="147"/>
      <c r="Q273" s="147"/>
      <c r="R273" s="147"/>
      <c r="S273" s="147"/>
      <c r="T273" s="147"/>
      <c r="U273" s="147"/>
      <c r="V273" s="147"/>
      <c r="W273" s="147">
        <f t="shared" ref="W273:AV273" si="156">W190*(1-W232)</f>
        <v>17.4296431713258</v>
      </c>
      <c r="X273" s="147">
        <f t="shared" si="156"/>
        <v>13.66476740036437</v>
      </c>
      <c r="Y273" s="147">
        <f t="shared" si="156"/>
        <v>16.035559123443939</v>
      </c>
      <c r="Z273" s="147">
        <f t="shared" si="156"/>
        <v>18.527527970913457</v>
      </c>
      <c r="AA273" s="147">
        <f t="shared" si="156"/>
        <v>21.120152861367568</v>
      </c>
      <c r="AB273" s="147">
        <f t="shared" si="156"/>
        <v>23.793522615035624</v>
      </c>
      <c r="AC273" s="147">
        <f t="shared" si="156"/>
        <v>26.528664181090228</v>
      </c>
      <c r="AD273" s="147">
        <f t="shared" si="156"/>
        <v>29.3077747349577</v>
      </c>
      <c r="AE273" s="147">
        <f t="shared" si="156"/>
        <v>32.114373892467036</v>
      </c>
      <c r="AF273" s="147">
        <f t="shared" si="156"/>
        <v>34.933390923040839</v>
      </c>
      <c r="AG273" s="147">
        <f t="shared" si="156"/>
        <v>37.751200189583706</v>
      </c>
      <c r="AH273" s="147">
        <f t="shared" si="156"/>
        <v>40.555616297005301</v>
      </c>
      <c r="AI273" s="147">
        <f t="shared" si="156"/>
        <v>1.3801503036642727E-2</v>
      </c>
      <c r="AJ273" s="147">
        <f t="shared" si="156"/>
        <v>0.10250810373022921</v>
      </c>
      <c r="AK273" s="147">
        <f t="shared" si="156"/>
        <v>0.32140060564134304</v>
      </c>
      <c r="AL273" s="147">
        <f t="shared" si="156"/>
        <v>0.70819088008020181</v>
      </c>
      <c r="AM273" s="147">
        <f t="shared" si="156"/>
        <v>1.2865903014343147</v>
      </c>
      <c r="AN273" s="147">
        <f t="shared" si="156"/>
        <v>2.0692648651289542</v>
      </c>
      <c r="AO273" s="147">
        <f t="shared" si="156"/>
        <v>3.0602740346849182</v>
      </c>
      <c r="AP273" s="147">
        <f t="shared" si="156"/>
        <v>4.2570757029793187</v>
      </c>
      <c r="AQ273" s="147">
        <f t="shared" si="156"/>
        <v>5.6521671458405169</v>
      </c>
      <c r="AR273" s="147">
        <f t="shared" si="156"/>
        <v>7.2344211823897746</v>
      </c>
      <c r="AS273" s="147">
        <f t="shared" si="156"/>
        <v>8.9901676693851371</v>
      </c>
      <c r="AT273" s="147">
        <f t="shared" si="156"/>
        <v>10.904062717666822</v>
      </c>
      <c r="AU273" s="147">
        <f t="shared" si="156"/>
        <v>12.959781431811036</v>
      </c>
      <c r="AV273" s="147">
        <f t="shared" si="156"/>
        <v>15.140564371508987</v>
      </c>
    </row>
    <row r="274" spans="2:48" ht="12.95" customHeight="1" x14ac:dyDescent="0.2">
      <c r="B274" s="14"/>
      <c r="C274" s="253" t="s">
        <v>874</v>
      </c>
      <c r="F274" s="253" t="s">
        <v>492</v>
      </c>
      <c r="G274" s="253" t="s">
        <v>395</v>
      </c>
      <c r="H274" s="147"/>
      <c r="I274" s="147"/>
      <c r="J274" s="147"/>
      <c r="K274" s="147"/>
      <c r="L274" s="147"/>
      <c r="M274" s="147"/>
      <c r="N274" s="147"/>
      <c r="O274" s="147"/>
      <c r="P274" s="147"/>
      <c r="Q274" s="147"/>
      <c r="R274" s="147"/>
      <c r="S274" s="147"/>
      <c r="T274" s="147"/>
      <c r="U274" s="147"/>
      <c r="V274" s="147"/>
      <c r="W274" s="147"/>
      <c r="X274" s="147">
        <f t="shared" ref="X274:AV274" si="157">X191*(1-X233)</f>
        <v>17.4296431713258</v>
      </c>
      <c r="Y274" s="147">
        <f t="shared" si="157"/>
        <v>13.66476740036437</v>
      </c>
      <c r="Z274" s="147">
        <f t="shared" si="157"/>
        <v>16.035559123443939</v>
      </c>
      <c r="AA274" s="147">
        <f t="shared" si="157"/>
        <v>18.527527970913457</v>
      </c>
      <c r="AB274" s="147">
        <f t="shared" si="157"/>
        <v>21.120152861367568</v>
      </c>
      <c r="AC274" s="147">
        <f t="shared" si="157"/>
        <v>23.793522615035624</v>
      </c>
      <c r="AD274" s="147">
        <f t="shared" si="157"/>
        <v>26.528664181090228</v>
      </c>
      <c r="AE274" s="147">
        <f t="shared" si="157"/>
        <v>29.3077747349577</v>
      </c>
      <c r="AF274" s="147">
        <f t="shared" si="157"/>
        <v>32.114373892467036</v>
      </c>
      <c r="AG274" s="147">
        <f t="shared" si="157"/>
        <v>34.933390923040839</v>
      </c>
      <c r="AH274" s="147">
        <f t="shared" si="157"/>
        <v>37.751200189583706</v>
      </c>
      <c r="AI274" s="147">
        <f t="shared" si="157"/>
        <v>40.555616297005301</v>
      </c>
      <c r="AJ274" s="147">
        <f t="shared" si="157"/>
        <v>1.3801503036642727E-2</v>
      </c>
      <c r="AK274" s="147">
        <f t="shared" si="157"/>
        <v>0.10250810373022921</v>
      </c>
      <c r="AL274" s="147">
        <f t="shared" si="157"/>
        <v>0.32140060564134304</v>
      </c>
      <c r="AM274" s="147">
        <f t="shared" si="157"/>
        <v>0.70819088008020181</v>
      </c>
      <c r="AN274" s="147">
        <f t="shared" si="157"/>
        <v>1.2865903014343147</v>
      </c>
      <c r="AO274" s="147">
        <f t="shared" si="157"/>
        <v>2.0692648651289542</v>
      </c>
      <c r="AP274" s="147">
        <f t="shared" si="157"/>
        <v>3.0602740346849182</v>
      </c>
      <c r="AQ274" s="147">
        <f t="shared" si="157"/>
        <v>4.2570757029793187</v>
      </c>
      <c r="AR274" s="147">
        <f t="shared" si="157"/>
        <v>5.6521671458405169</v>
      </c>
      <c r="AS274" s="147">
        <f t="shared" si="157"/>
        <v>7.2344211823897746</v>
      </c>
      <c r="AT274" s="147">
        <f t="shared" si="157"/>
        <v>8.9901676693851371</v>
      </c>
      <c r="AU274" s="147">
        <f t="shared" si="157"/>
        <v>10.904062717666822</v>
      </c>
      <c r="AV274" s="147">
        <f t="shared" si="157"/>
        <v>12.959781431811036</v>
      </c>
    </row>
    <row r="275" spans="2:48" ht="12.95" customHeight="1" x14ac:dyDescent="0.2">
      <c r="B275" s="14"/>
      <c r="C275" s="253" t="s">
        <v>875</v>
      </c>
      <c r="F275" s="253" t="s">
        <v>492</v>
      </c>
      <c r="G275" s="253" t="s">
        <v>395</v>
      </c>
      <c r="H275" s="147"/>
      <c r="I275" s="147"/>
      <c r="J275" s="147"/>
      <c r="K275" s="147"/>
      <c r="L275" s="147"/>
      <c r="M275" s="147"/>
      <c r="N275" s="147"/>
      <c r="O275" s="147"/>
      <c r="P275" s="147"/>
      <c r="Q275" s="147"/>
      <c r="R275" s="147"/>
      <c r="S275" s="147"/>
      <c r="T275" s="147"/>
      <c r="U275" s="147"/>
      <c r="V275" s="147"/>
      <c r="W275" s="147"/>
      <c r="X275" s="147"/>
      <c r="Y275" s="147">
        <f t="shared" ref="Y275:AV275" si="158">Y192*(1-Y234)</f>
        <v>17.4296431713258</v>
      </c>
      <c r="Z275" s="147">
        <f t="shared" si="158"/>
        <v>13.66476740036437</v>
      </c>
      <c r="AA275" s="147">
        <f t="shared" si="158"/>
        <v>16.035559123443939</v>
      </c>
      <c r="AB275" s="147">
        <f t="shared" si="158"/>
        <v>18.527527970913457</v>
      </c>
      <c r="AC275" s="147">
        <f t="shared" si="158"/>
        <v>21.120152861367568</v>
      </c>
      <c r="AD275" s="147">
        <f t="shared" si="158"/>
        <v>23.793522615035624</v>
      </c>
      <c r="AE275" s="147">
        <f t="shared" si="158"/>
        <v>26.528664181090228</v>
      </c>
      <c r="AF275" s="147">
        <f t="shared" si="158"/>
        <v>29.3077747349577</v>
      </c>
      <c r="AG275" s="147">
        <f t="shared" si="158"/>
        <v>32.114373892467036</v>
      </c>
      <c r="AH275" s="147">
        <f t="shared" si="158"/>
        <v>34.933390923040839</v>
      </c>
      <c r="AI275" s="147">
        <f t="shared" si="158"/>
        <v>37.751200189583706</v>
      </c>
      <c r="AJ275" s="147">
        <f t="shared" si="158"/>
        <v>40.555616297005301</v>
      </c>
      <c r="AK275" s="147">
        <f t="shared" si="158"/>
        <v>1.3801503036642727E-2</v>
      </c>
      <c r="AL275" s="147">
        <f t="shared" si="158"/>
        <v>0.10250810373022921</v>
      </c>
      <c r="AM275" s="147">
        <f t="shared" si="158"/>
        <v>0.32140060564134304</v>
      </c>
      <c r="AN275" s="147">
        <f t="shared" si="158"/>
        <v>0.70819088008020181</v>
      </c>
      <c r="AO275" s="147">
        <f t="shared" si="158"/>
        <v>1.2865903014343147</v>
      </c>
      <c r="AP275" s="147">
        <f t="shared" si="158"/>
        <v>2.0692648651289542</v>
      </c>
      <c r="AQ275" s="147">
        <f t="shared" si="158"/>
        <v>3.0602740346849182</v>
      </c>
      <c r="AR275" s="147">
        <f t="shared" si="158"/>
        <v>4.2570757029793187</v>
      </c>
      <c r="AS275" s="147">
        <f t="shared" si="158"/>
        <v>5.6521671458405169</v>
      </c>
      <c r="AT275" s="147">
        <f t="shared" si="158"/>
        <v>7.2344211823897746</v>
      </c>
      <c r="AU275" s="147">
        <f t="shared" si="158"/>
        <v>8.9901676693851371</v>
      </c>
      <c r="AV275" s="147">
        <f t="shared" si="158"/>
        <v>10.904062717666822</v>
      </c>
    </row>
    <row r="276" spans="2:48" ht="12.95" customHeight="1" x14ac:dyDescent="0.2">
      <c r="B276" s="14"/>
      <c r="C276" s="253" t="s">
        <v>876</v>
      </c>
      <c r="F276" s="253" t="s">
        <v>492</v>
      </c>
      <c r="G276" s="253" t="s">
        <v>395</v>
      </c>
      <c r="H276" s="147"/>
      <c r="I276" s="147"/>
      <c r="J276" s="147"/>
      <c r="K276" s="147"/>
      <c r="L276" s="147"/>
      <c r="M276" s="147"/>
      <c r="N276" s="147"/>
      <c r="O276" s="147"/>
      <c r="P276" s="147"/>
      <c r="Q276" s="147"/>
      <c r="R276" s="147"/>
      <c r="S276" s="147"/>
      <c r="T276" s="147"/>
      <c r="U276" s="147"/>
      <c r="V276" s="147"/>
      <c r="W276" s="147"/>
      <c r="X276" s="147"/>
      <c r="Y276" s="147"/>
      <c r="Z276" s="147">
        <f t="shared" ref="Z276:AV276" si="159">Z193*(1-Z235)</f>
        <v>17.4296431713258</v>
      </c>
      <c r="AA276" s="147">
        <f t="shared" si="159"/>
        <v>13.66476740036437</v>
      </c>
      <c r="AB276" s="147">
        <f t="shared" si="159"/>
        <v>16.035559123443939</v>
      </c>
      <c r="AC276" s="147">
        <f t="shared" si="159"/>
        <v>18.527527970913457</v>
      </c>
      <c r="AD276" s="147">
        <f t="shared" si="159"/>
        <v>21.120152861367568</v>
      </c>
      <c r="AE276" s="147">
        <f t="shared" si="159"/>
        <v>23.793522615035624</v>
      </c>
      <c r="AF276" s="147">
        <f t="shared" si="159"/>
        <v>26.528664181090228</v>
      </c>
      <c r="AG276" s="147">
        <f t="shared" si="159"/>
        <v>29.3077747349577</v>
      </c>
      <c r="AH276" s="147">
        <f t="shared" si="159"/>
        <v>32.114373892467036</v>
      </c>
      <c r="AI276" s="147">
        <f t="shared" si="159"/>
        <v>34.933390923040839</v>
      </c>
      <c r="AJ276" s="147">
        <f t="shared" si="159"/>
        <v>37.751200189583706</v>
      </c>
      <c r="AK276" s="147">
        <f t="shared" si="159"/>
        <v>40.555616297005301</v>
      </c>
      <c r="AL276" s="147">
        <f t="shared" si="159"/>
        <v>1.3801503036642727E-2</v>
      </c>
      <c r="AM276" s="147">
        <f t="shared" si="159"/>
        <v>0.10250810373022921</v>
      </c>
      <c r="AN276" s="147">
        <f t="shared" si="159"/>
        <v>0.32140060564134304</v>
      </c>
      <c r="AO276" s="147">
        <f t="shared" si="159"/>
        <v>0.70819088008020181</v>
      </c>
      <c r="AP276" s="147">
        <f t="shared" si="159"/>
        <v>1.2865903014343147</v>
      </c>
      <c r="AQ276" s="147">
        <f t="shared" si="159"/>
        <v>2.0692648651289542</v>
      </c>
      <c r="AR276" s="147">
        <f t="shared" si="159"/>
        <v>3.0602740346849182</v>
      </c>
      <c r="AS276" s="147">
        <f t="shared" si="159"/>
        <v>4.2570757029793187</v>
      </c>
      <c r="AT276" s="147">
        <f t="shared" si="159"/>
        <v>5.6521671458405169</v>
      </c>
      <c r="AU276" s="147">
        <f t="shared" si="159"/>
        <v>7.2344211823897746</v>
      </c>
      <c r="AV276" s="147">
        <f t="shared" si="159"/>
        <v>8.9901676693851371</v>
      </c>
    </row>
    <row r="277" spans="2:48" ht="12.95" customHeight="1" x14ac:dyDescent="0.2">
      <c r="B277" s="14"/>
      <c r="C277" s="253" t="s">
        <v>877</v>
      </c>
      <c r="F277" s="253" t="s">
        <v>492</v>
      </c>
      <c r="G277" s="253" t="s">
        <v>395</v>
      </c>
      <c r="H277" s="147"/>
      <c r="I277" s="147"/>
      <c r="J277" s="147"/>
      <c r="K277" s="147"/>
      <c r="L277" s="147"/>
      <c r="M277" s="147"/>
      <c r="N277" s="147"/>
      <c r="O277" s="147"/>
      <c r="P277" s="147"/>
      <c r="Q277" s="147"/>
      <c r="R277" s="147"/>
      <c r="S277" s="147"/>
      <c r="T277" s="147"/>
      <c r="U277" s="147"/>
      <c r="V277" s="147"/>
      <c r="W277" s="147"/>
      <c r="X277" s="147"/>
      <c r="Y277" s="147"/>
      <c r="Z277" s="147"/>
      <c r="AA277" s="147">
        <f t="shared" ref="AA277:AV277" si="160">AA194*(1-AA236)</f>
        <v>17.4296431713258</v>
      </c>
      <c r="AB277" s="147">
        <f t="shared" si="160"/>
        <v>13.66476740036437</v>
      </c>
      <c r="AC277" s="147">
        <f t="shared" si="160"/>
        <v>16.035559123443939</v>
      </c>
      <c r="AD277" s="147">
        <f t="shared" si="160"/>
        <v>18.527527970913457</v>
      </c>
      <c r="AE277" s="147">
        <f t="shared" si="160"/>
        <v>21.120152861367568</v>
      </c>
      <c r="AF277" s="147">
        <f t="shared" si="160"/>
        <v>23.793522615035624</v>
      </c>
      <c r="AG277" s="147">
        <f t="shared" si="160"/>
        <v>26.528664181090228</v>
      </c>
      <c r="AH277" s="147">
        <f t="shared" si="160"/>
        <v>29.3077747349577</v>
      </c>
      <c r="AI277" s="147">
        <f t="shared" si="160"/>
        <v>32.114373892467036</v>
      </c>
      <c r="AJ277" s="147">
        <f t="shared" si="160"/>
        <v>34.933390923040839</v>
      </c>
      <c r="AK277" s="147">
        <f t="shared" si="160"/>
        <v>37.751200189583706</v>
      </c>
      <c r="AL277" s="147">
        <f t="shared" si="160"/>
        <v>40.555616297005301</v>
      </c>
      <c r="AM277" s="147">
        <f t="shared" si="160"/>
        <v>1.3801503036642727E-2</v>
      </c>
      <c r="AN277" s="147">
        <f t="shared" si="160"/>
        <v>0.10250810373022921</v>
      </c>
      <c r="AO277" s="147">
        <f t="shared" si="160"/>
        <v>0.32140060564134304</v>
      </c>
      <c r="AP277" s="147">
        <f t="shared" si="160"/>
        <v>0.70819088008020181</v>
      </c>
      <c r="AQ277" s="147">
        <f t="shared" si="160"/>
        <v>1.2865903014343147</v>
      </c>
      <c r="AR277" s="147">
        <f t="shared" si="160"/>
        <v>2.0692648651289542</v>
      </c>
      <c r="AS277" s="147">
        <f t="shared" si="160"/>
        <v>3.0602740346849182</v>
      </c>
      <c r="AT277" s="147">
        <f t="shared" si="160"/>
        <v>4.2570757029793187</v>
      </c>
      <c r="AU277" s="147">
        <f t="shared" si="160"/>
        <v>5.6521671458405169</v>
      </c>
      <c r="AV277" s="147">
        <f t="shared" si="160"/>
        <v>7.2344211823897746</v>
      </c>
    </row>
    <row r="278" spans="2:48" ht="12.95" customHeight="1" x14ac:dyDescent="0.2">
      <c r="B278" s="14"/>
      <c r="C278" s="253" t="s">
        <v>878</v>
      </c>
      <c r="F278" s="253" t="s">
        <v>492</v>
      </c>
      <c r="G278" s="253" t="s">
        <v>395</v>
      </c>
      <c r="H278" s="147"/>
      <c r="I278" s="147"/>
      <c r="J278" s="147"/>
      <c r="K278" s="147"/>
      <c r="L278" s="147"/>
      <c r="M278" s="147"/>
      <c r="N278" s="147"/>
      <c r="O278" s="147"/>
      <c r="P278" s="147"/>
      <c r="Q278" s="147"/>
      <c r="R278" s="147"/>
      <c r="S278" s="147"/>
      <c r="T278" s="147"/>
      <c r="U278" s="147"/>
      <c r="V278" s="147"/>
      <c r="W278" s="147"/>
      <c r="X278" s="147"/>
      <c r="Y278" s="147"/>
      <c r="Z278" s="147"/>
      <c r="AA278" s="147"/>
      <c r="AB278" s="147">
        <f t="shared" ref="AB278:AV278" si="161">AB195*(1-AB237)</f>
        <v>17.4296431713258</v>
      </c>
      <c r="AC278" s="147">
        <f t="shared" si="161"/>
        <v>13.66476740036437</v>
      </c>
      <c r="AD278" s="147">
        <f t="shared" si="161"/>
        <v>16.035559123443939</v>
      </c>
      <c r="AE278" s="147">
        <f t="shared" si="161"/>
        <v>18.527527970913457</v>
      </c>
      <c r="AF278" s="147">
        <f t="shared" si="161"/>
        <v>21.120152861367568</v>
      </c>
      <c r="AG278" s="147">
        <f t="shared" si="161"/>
        <v>23.793522615035624</v>
      </c>
      <c r="AH278" s="147">
        <f t="shared" si="161"/>
        <v>26.528664181090228</v>
      </c>
      <c r="AI278" s="147">
        <f t="shared" si="161"/>
        <v>29.3077747349577</v>
      </c>
      <c r="AJ278" s="147">
        <f t="shared" si="161"/>
        <v>32.114373892467036</v>
      </c>
      <c r="AK278" s="147">
        <f t="shared" si="161"/>
        <v>34.933390923040839</v>
      </c>
      <c r="AL278" s="147">
        <f t="shared" si="161"/>
        <v>37.751200189583706</v>
      </c>
      <c r="AM278" s="147">
        <f t="shared" si="161"/>
        <v>40.555616297005301</v>
      </c>
      <c r="AN278" s="147">
        <f t="shared" si="161"/>
        <v>1.3801503036642727E-2</v>
      </c>
      <c r="AO278" s="147">
        <f t="shared" si="161"/>
        <v>0.10250810373022921</v>
      </c>
      <c r="AP278" s="147">
        <f t="shared" si="161"/>
        <v>0.32140060564134304</v>
      </c>
      <c r="AQ278" s="147">
        <f t="shared" si="161"/>
        <v>0.70819088008020181</v>
      </c>
      <c r="AR278" s="147">
        <f t="shared" si="161"/>
        <v>1.2865903014343147</v>
      </c>
      <c r="AS278" s="147">
        <f t="shared" si="161"/>
        <v>2.0692648651289542</v>
      </c>
      <c r="AT278" s="147">
        <f t="shared" si="161"/>
        <v>3.0602740346849182</v>
      </c>
      <c r="AU278" s="147">
        <f t="shared" si="161"/>
        <v>4.2570757029793187</v>
      </c>
      <c r="AV278" s="147">
        <f t="shared" si="161"/>
        <v>5.6521671458405169</v>
      </c>
    </row>
    <row r="279" spans="2:48" ht="12.95" customHeight="1" x14ac:dyDescent="0.2">
      <c r="B279" s="14"/>
      <c r="C279" s="253" t="s">
        <v>879</v>
      </c>
      <c r="F279" s="253" t="s">
        <v>492</v>
      </c>
      <c r="G279" s="253" t="s">
        <v>395</v>
      </c>
      <c r="H279" s="147"/>
      <c r="I279" s="147"/>
      <c r="J279" s="147"/>
      <c r="K279" s="147"/>
      <c r="L279" s="147"/>
      <c r="M279" s="147"/>
      <c r="N279" s="147"/>
      <c r="O279" s="147"/>
      <c r="P279" s="147"/>
      <c r="Q279" s="147"/>
      <c r="R279" s="147"/>
      <c r="S279" s="147"/>
      <c r="T279" s="147"/>
      <c r="U279" s="147"/>
      <c r="V279" s="147"/>
      <c r="W279" s="147"/>
      <c r="X279" s="147"/>
      <c r="Y279" s="147"/>
      <c r="Z279" s="147"/>
      <c r="AA279" s="147"/>
      <c r="AB279" s="147"/>
      <c r="AC279" s="147">
        <f t="shared" ref="AC279:AV279" si="162">AC196*(1-AC238)</f>
        <v>17.4296431713258</v>
      </c>
      <c r="AD279" s="147">
        <f t="shared" si="162"/>
        <v>13.66476740036437</v>
      </c>
      <c r="AE279" s="147">
        <f t="shared" si="162"/>
        <v>16.035559123443939</v>
      </c>
      <c r="AF279" s="147">
        <f t="shared" si="162"/>
        <v>18.527527970913457</v>
      </c>
      <c r="AG279" s="147">
        <f t="shared" si="162"/>
        <v>21.120152861367568</v>
      </c>
      <c r="AH279" s="147">
        <f t="shared" si="162"/>
        <v>23.793522615035624</v>
      </c>
      <c r="AI279" s="147">
        <f t="shared" si="162"/>
        <v>26.528664181090228</v>
      </c>
      <c r="AJ279" s="147">
        <f t="shared" si="162"/>
        <v>29.3077747349577</v>
      </c>
      <c r="AK279" s="147">
        <f t="shared" si="162"/>
        <v>32.114373892467036</v>
      </c>
      <c r="AL279" s="147">
        <f t="shared" si="162"/>
        <v>34.933390923040839</v>
      </c>
      <c r="AM279" s="147">
        <f t="shared" si="162"/>
        <v>37.751200189583706</v>
      </c>
      <c r="AN279" s="147">
        <f t="shared" si="162"/>
        <v>40.555616297005301</v>
      </c>
      <c r="AO279" s="147">
        <f t="shared" si="162"/>
        <v>1.3801503036642727E-2</v>
      </c>
      <c r="AP279" s="147">
        <f t="shared" si="162"/>
        <v>0.10250810373022921</v>
      </c>
      <c r="AQ279" s="147">
        <f t="shared" si="162"/>
        <v>0.32140060564134304</v>
      </c>
      <c r="AR279" s="147">
        <f t="shared" si="162"/>
        <v>0.70819088008020181</v>
      </c>
      <c r="AS279" s="147">
        <f t="shared" si="162"/>
        <v>1.2865903014343147</v>
      </c>
      <c r="AT279" s="147">
        <f t="shared" si="162"/>
        <v>2.0692648651289542</v>
      </c>
      <c r="AU279" s="147">
        <f t="shared" si="162"/>
        <v>3.0602740346849182</v>
      </c>
      <c r="AV279" s="147">
        <f t="shared" si="162"/>
        <v>4.2570757029793187</v>
      </c>
    </row>
    <row r="280" spans="2:48" ht="12.95" customHeight="1" x14ac:dyDescent="0.2">
      <c r="B280" s="14"/>
      <c r="C280" s="253" t="s">
        <v>880</v>
      </c>
      <c r="F280" s="253" t="s">
        <v>492</v>
      </c>
      <c r="G280" s="253" t="s">
        <v>395</v>
      </c>
      <c r="H280" s="147"/>
      <c r="I280" s="147"/>
      <c r="J280" s="147"/>
      <c r="K280" s="147"/>
      <c r="L280" s="147"/>
      <c r="M280" s="147"/>
      <c r="N280" s="147"/>
      <c r="O280" s="147"/>
      <c r="P280" s="147"/>
      <c r="Q280" s="147"/>
      <c r="R280" s="147"/>
      <c r="S280" s="147"/>
      <c r="T280" s="147"/>
      <c r="U280" s="147"/>
      <c r="V280" s="147"/>
      <c r="W280" s="147"/>
      <c r="X280" s="147"/>
      <c r="Y280" s="147"/>
      <c r="Z280" s="147"/>
      <c r="AA280" s="147"/>
      <c r="AB280" s="147"/>
      <c r="AC280" s="147"/>
      <c r="AD280" s="147">
        <f t="shared" ref="AD280:AV280" si="163">AD197*(1-AD239)</f>
        <v>17.4296431713258</v>
      </c>
      <c r="AE280" s="147">
        <f t="shared" si="163"/>
        <v>13.66476740036437</v>
      </c>
      <c r="AF280" s="147">
        <f t="shared" si="163"/>
        <v>16.035559123443939</v>
      </c>
      <c r="AG280" s="147">
        <f t="shared" si="163"/>
        <v>18.527527970913457</v>
      </c>
      <c r="AH280" s="147">
        <f t="shared" si="163"/>
        <v>21.120152861367568</v>
      </c>
      <c r="AI280" s="147">
        <f t="shared" si="163"/>
        <v>23.793522615035624</v>
      </c>
      <c r="AJ280" s="147">
        <f t="shared" si="163"/>
        <v>26.528664181090228</v>
      </c>
      <c r="AK280" s="147">
        <f t="shared" si="163"/>
        <v>29.3077747349577</v>
      </c>
      <c r="AL280" s="147">
        <f t="shared" si="163"/>
        <v>32.114373892467036</v>
      </c>
      <c r="AM280" s="147">
        <f t="shared" si="163"/>
        <v>34.933390923040839</v>
      </c>
      <c r="AN280" s="147">
        <f t="shared" si="163"/>
        <v>37.751200189583706</v>
      </c>
      <c r="AO280" s="147">
        <f t="shared" si="163"/>
        <v>40.555616297005301</v>
      </c>
      <c r="AP280" s="147">
        <f t="shared" si="163"/>
        <v>1.3801503036642727E-2</v>
      </c>
      <c r="AQ280" s="147">
        <f t="shared" si="163"/>
        <v>0.10250810373022921</v>
      </c>
      <c r="AR280" s="147">
        <f t="shared" si="163"/>
        <v>0.32140060564134304</v>
      </c>
      <c r="AS280" s="147">
        <f t="shared" si="163"/>
        <v>0.70819088008020181</v>
      </c>
      <c r="AT280" s="147">
        <f t="shared" si="163"/>
        <v>1.2865903014343147</v>
      </c>
      <c r="AU280" s="147">
        <f t="shared" si="163"/>
        <v>2.0692648651289542</v>
      </c>
      <c r="AV280" s="147">
        <f t="shared" si="163"/>
        <v>3.0602740346849182</v>
      </c>
    </row>
    <row r="281" spans="2:48" ht="12.95" customHeight="1" x14ac:dyDescent="0.2">
      <c r="B281" s="14"/>
      <c r="C281" s="253" t="s">
        <v>881</v>
      </c>
      <c r="F281" s="253" t="s">
        <v>492</v>
      </c>
      <c r="G281" s="253" t="s">
        <v>395</v>
      </c>
      <c r="H281" s="147"/>
      <c r="I281" s="147"/>
      <c r="J281" s="147"/>
      <c r="K281" s="147"/>
      <c r="L281" s="147"/>
      <c r="M281" s="147"/>
      <c r="N281" s="147"/>
      <c r="O281" s="147"/>
      <c r="P281" s="147"/>
      <c r="Q281" s="147"/>
      <c r="R281" s="147"/>
      <c r="S281" s="147"/>
      <c r="T281" s="147"/>
      <c r="U281" s="147"/>
      <c r="V281" s="147"/>
      <c r="W281" s="147"/>
      <c r="X281" s="147"/>
      <c r="Y281" s="147"/>
      <c r="Z281" s="147"/>
      <c r="AA281" s="147"/>
      <c r="AB281" s="147"/>
      <c r="AC281" s="147"/>
      <c r="AD281" s="147"/>
      <c r="AE281" s="147">
        <f t="shared" ref="AE281:AV281" si="164">AE198*(1-AE240)</f>
        <v>17.4296431713258</v>
      </c>
      <c r="AF281" s="147">
        <f t="shared" si="164"/>
        <v>13.66476740036437</v>
      </c>
      <c r="AG281" s="147">
        <f t="shared" si="164"/>
        <v>16.035559123443939</v>
      </c>
      <c r="AH281" s="147">
        <f t="shared" si="164"/>
        <v>18.527527970913457</v>
      </c>
      <c r="AI281" s="147">
        <f t="shared" si="164"/>
        <v>21.120152861367568</v>
      </c>
      <c r="AJ281" s="147">
        <f t="shared" si="164"/>
        <v>23.793522615035624</v>
      </c>
      <c r="AK281" s="147">
        <f t="shared" si="164"/>
        <v>26.528664181090228</v>
      </c>
      <c r="AL281" s="147">
        <f t="shared" si="164"/>
        <v>29.3077747349577</v>
      </c>
      <c r="AM281" s="147">
        <f t="shared" si="164"/>
        <v>32.114373892467036</v>
      </c>
      <c r="AN281" s="147">
        <f t="shared" si="164"/>
        <v>34.933390923040839</v>
      </c>
      <c r="AO281" s="147">
        <f t="shared" si="164"/>
        <v>37.751200189583706</v>
      </c>
      <c r="AP281" s="147">
        <f t="shared" si="164"/>
        <v>40.555616297005301</v>
      </c>
      <c r="AQ281" s="147">
        <f t="shared" si="164"/>
        <v>1.3801503036642727E-2</v>
      </c>
      <c r="AR281" s="147">
        <f t="shared" si="164"/>
        <v>0.10250810373022921</v>
      </c>
      <c r="AS281" s="147">
        <f t="shared" si="164"/>
        <v>0.32140060564134304</v>
      </c>
      <c r="AT281" s="147">
        <f t="shared" si="164"/>
        <v>0.70819088008020181</v>
      </c>
      <c r="AU281" s="147">
        <f t="shared" si="164"/>
        <v>1.2865903014343147</v>
      </c>
      <c r="AV281" s="147">
        <f t="shared" si="164"/>
        <v>2.0692648651289542</v>
      </c>
    </row>
    <row r="282" spans="2:48" ht="12.95" customHeight="1" x14ac:dyDescent="0.2">
      <c r="B282" s="14"/>
      <c r="C282" s="253" t="s">
        <v>882</v>
      </c>
      <c r="F282" s="253" t="s">
        <v>492</v>
      </c>
      <c r="G282" s="253" t="s">
        <v>395</v>
      </c>
      <c r="H282" s="147"/>
      <c r="I282" s="147"/>
      <c r="J282" s="147"/>
      <c r="K282" s="147"/>
      <c r="L282" s="147"/>
      <c r="M282" s="147"/>
      <c r="N282" s="147"/>
      <c r="O282" s="147"/>
      <c r="P282" s="147"/>
      <c r="Q282" s="147"/>
      <c r="R282" s="147"/>
      <c r="S282" s="147"/>
      <c r="T282" s="147"/>
      <c r="U282" s="147"/>
      <c r="V282" s="147"/>
      <c r="W282" s="147"/>
      <c r="X282" s="147"/>
      <c r="Y282" s="147"/>
      <c r="Z282" s="147"/>
      <c r="AA282" s="147"/>
      <c r="AB282" s="147"/>
      <c r="AC282" s="147"/>
      <c r="AD282" s="147"/>
      <c r="AE282" s="147"/>
      <c r="AF282" s="147">
        <f t="shared" ref="AF282:AV282" si="165">AF199*(1-AF241)</f>
        <v>17.4296431713258</v>
      </c>
      <c r="AG282" s="147">
        <f t="shared" si="165"/>
        <v>13.66476740036437</v>
      </c>
      <c r="AH282" s="147">
        <f t="shared" si="165"/>
        <v>16.035559123443939</v>
      </c>
      <c r="AI282" s="147">
        <f t="shared" si="165"/>
        <v>18.527527970913457</v>
      </c>
      <c r="AJ282" s="147">
        <f t="shared" si="165"/>
        <v>21.120152861367568</v>
      </c>
      <c r="AK282" s="147">
        <f t="shared" si="165"/>
        <v>23.793522615035624</v>
      </c>
      <c r="AL282" s="147">
        <f t="shared" si="165"/>
        <v>26.528664181090228</v>
      </c>
      <c r="AM282" s="147">
        <f t="shared" si="165"/>
        <v>29.3077747349577</v>
      </c>
      <c r="AN282" s="147">
        <f t="shared" si="165"/>
        <v>32.114373892467036</v>
      </c>
      <c r="AO282" s="147">
        <f t="shared" si="165"/>
        <v>34.933390923040839</v>
      </c>
      <c r="AP282" s="147">
        <f t="shared" si="165"/>
        <v>37.751200189583706</v>
      </c>
      <c r="AQ282" s="147">
        <f t="shared" si="165"/>
        <v>40.555616297005301</v>
      </c>
      <c r="AR282" s="147">
        <f t="shared" si="165"/>
        <v>1.3801503036642727E-2</v>
      </c>
      <c r="AS282" s="147">
        <f t="shared" si="165"/>
        <v>0.10250810373022921</v>
      </c>
      <c r="AT282" s="147">
        <f t="shared" si="165"/>
        <v>0.32140060564134304</v>
      </c>
      <c r="AU282" s="147">
        <f t="shared" si="165"/>
        <v>0.70819088008020181</v>
      </c>
      <c r="AV282" s="147">
        <f t="shared" si="165"/>
        <v>1.2865903014343147</v>
      </c>
    </row>
    <row r="283" spans="2:48" ht="12.95" customHeight="1" x14ac:dyDescent="0.2">
      <c r="B283" s="14"/>
      <c r="C283" s="253" t="s">
        <v>883</v>
      </c>
      <c r="F283" s="253" t="s">
        <v>492</v>
      </c>
      <c r="G283" s="253" t="s">
        <v>395</v>
      </c>
      <c r="H283" s="147"/>
      <c r="I283" s="147"/>
      <c r="J283" s="147"/>
      <c r="K283" s="147"/>
      <c r="L283" s="147"/>
      <c r="M283" s="147"/>
      <c r="N283" s="147"/>
      <c r="O283" s="147"/>
      <c r="P283" s="147"/>
      <c r="Q283" s="147"/>
      <c r="R283" s="147"/>
      <c r="S283" s="147"/>
      <c r="T283" s="147"/>
      <c r="U283" s="147"/>
      <c r="V283" s="147"/>
      <c r="W283" s="147"/>
      <c r="X283" s="147"/>
      <c r="Y283" s="147"/>
      <c r="Z283" s="147"/>
      <c r="AA283" s="147"/>
      <c r="AB283" s="147"/>
      <c r="AC283" s="147"/>
      <c r="AD283" s="147"/>
      <c r="AE283" s="147"/>
      <c r="AF283" s="147"/>
      <c r="AG283" s="147">
        <f t="shared" ref="AG283:AV283" si="166">AG200*(1-AG242)</f>
        <v>17.4296431713258</v>
      </c>
      <c r="AH283" s="147">
        <f t="shared" si="166"/>
        <v>13.66476740036437</v>
      </c>
      <c r="AI283" s="147">
        <f t="shared" si="166"/>
        <v>16.035559123443939</v>
      </c>
      <c r="AJ283" s="147">
        <f t="shared" si="166"/>
        <v>18.527527970913457</v>
      </c>
      <c r="AK283" s="147">
        <f t="shared" si="166"/>
        <v>21.120152861367568</v>
      </c>
      <c r="AL283" s="147">
        <f t="shared" si="166"/>
        <v>23.793522615035624</v>
      </c>
      <c r="AM283" s="147">
        <f t="shared" si="166"/>
        <v>26.528664181090228</v>
      </c>
      <c r="AN283" s="147">
        <f t="shared" si="166"/>
        <v>29.3077747349577</v>
      </c>
      <c r="AO283" s="147">
        <f t="shared" si="166"/>
        <v>32.114373892467036</v>
      </c>
      <c r="AP283" s="147">
        <f t="shared" si="166"/>
        <v>34.933390923040839</v>
      </c>
      <c r="AQ283" s="147">
        <f t="shared" si="166"/>
        <v>37.751200189583706</v>
      </c>
      <c r="AR283" s="147">
        <f t="shared" si="166"/>
        <v>40.555616297005301</v>
      </c>
      <c r="AS283" s="147">
        <f t="shared" si="166"/>
        <v>1.3801503036642727E-2</v>
      </c>
      <c r="AT283" s="147">
        <f t="shared" si="166"/>
        <v>0.10250810373022921</v>
      </c>
      <c r="AU283" s="147">
        <f t="shared" si="166"/>
        <v>0.32140060564134304</v>
      </c>
      <c r="AV283" s="147">
        <f t="shared" si="166"/>
        <v>0.70819088008020181</v>
      </c>
    </row>
    <row r="284" spans="2:48" ht="12.95" customHeight="1" x14ac:dyDescent="0.2">
      <c r="B284" s="14"/>
      <c r="C284" s="253" t="s">
        <v>884</v>
      </c>
      <c r="F284" s="253" t="s">
        <v>492</v>
      </c>
      <c r="G284" s="253" t="s">
        <v>395</v>
      </c>
      <c r="H284" s="147"/>
      <c r="I284" s="147"/>
      <c r="J284" s="147"/>
      <c r="K284" s="147"/>
      <c r="L284" s="147"/>
      <c r="M284" s="147"/>
      <c r="N284" s="147"/>
      <c r="O284" s="147"/>
      <c r="P284" s="147"/>
      <c r="Q284" s="147"/>
      <c r="R284" s="147"/>
      <c r="S284" s="147"/>
      <c r="T284" s="147"/>
      <c r="U284" s="147"/>
      <c r="V284" s="147"/>
      <c r="W284" s="147"/>
      <c r="X284" s="147"/>
      <c r="Y284" s="147"/>
      <c r="Z284" s="147"/>
      <c r="AA284" s="147"/>
      <c r="AB284" s="147"/>
      <c r="AC284" s="147"/>
      <c r="AD284" s="147"/>
      <c r="AE284" s="147"/>
      <c r="AF284" s="147"/>
      <c r="AG284" s="147"/>
      <c r="AH284" s="147">
        <f t="shared" ref="AH284:AV284" si="167">AH201*(1-AH243)</f>
        <v>0</v>
      </c>
      <c r="AI284" s="147">
        <f t="shared" si="167"/>
        <v>0</v>
      </c>
      <c r="AJ284" s="147">
        <f t="shared" si="167"/>
        <v>0</v>
      </c>
      <c r="AK284" s="147">
        <f t="shared" si="167"/>
        <v>0</v>
      </c>
      <c r="AL284" s="147">
        <f t="shared" si="167"/>
        <v>0</v>
      </c>
      <c r="AM284" s="147">
        <f t="shared" si="167"/>
        <v>0</v>
      </c>
      <c r="AN284" s="147">
        <f t="shared" si="167"/>
        <v>0</v>
      </c>
      <c r="AO284" s="147">
        <f t="shared" si="167"/>
        <v>0</v>
      </c>
      <c r="AP284" s="147">
        <f t="shared" si="167"/>
        <v>0</v>
      </c>
      <c r="AQ284" s="147">
        <f t="shared" si="167"/>
        <v>0</v>
      </c>
      <c r="AR284" s="147">
        <f t="shared" si="167"/>
        <v>0</v>
      </c>
      <c r="AS284" s="147">
        <f t="shared" si="167"/>
        <v>0</v>
      </c>
      <c r="AT284" s="147">
        <f t="shared" si="167"/>
        <v>0</v>
      </c>
      <c r="AU284" s="147">
        <f t="shared" si="167"/>
        <v>0</v>
      </c>
      <c r="AV284" s="147">
        <f t="shared" si="167"/>
        <v>0</v>
      </c>
    </row>
    <row r="285" spans="2:48" ht="12.95" customHeight="1" x14ac:dyDescent="0.2">
      <c r="B285" s="14"/>
      <c r="C285" s="253" t="s">
        <v>885</v>
      </c>
      <c r="F285" s="253" t="s">
        <v>492</v>
      </c>
      <c r="G285" s="253" t="s">
        <v>395</v>
      </c>
      <c r="H285" s="147"/>
      <c r="I285" s="147"/>
      <c r="J285" s="147"/>
      <c r="K285" s="147"/>
      <c r="L285" s="147"/>
      <c r="M285" s="147"/>
      <c r="N285" s="147"/>
      <c r="O285" s="147"/>
      <c r="P285" s="147"/>
      <c r="Q285" s="147"/>
      <c r="R285" s="147"/>
      <c r="S285" s="147"/>
      <c r="T285" s="147"/>
      <c r="U285" s="147"/>
      <c r="V285" s="147"/>
      <c r="W285" s="147"/>
      <c r="X285" s="147"/>
      <c r="Y285" s="147"/>
      <c r="Z285" s="147"/>
      <c r="AA285" s="147"/>
      <c r="AB285" s="147"/>
      <c r="AC285" s="147"/>
      <c r="AD285" s="147"/>
      <c r="AE285" s="147"/>
      <c r="AF285" s="147"/>
      <c r="AG285" s="147"/>
      <c r="AH285" s="147"/>
      <c r="AI285" s="147">
        <f t="shared" ref="AI285:AV285" si="168">AI202*(1-AI244)</f>
        <v>0</v>
      </c>
      <c r="AJ285" s="147">
        <f t="shared" si="168"/>
        <v>0</v>
      </c>
      <c r="AK285" s="147">
        <f t="shared" si="168"/>
        <v>0</v>
      </c>
      <c r="AL285" s="147">
        <f t="shared" si="168"/>
        <v>0</v>
      </c>
      <c r="AM285" s="147">
        <f t="shared" si="168"/>
        <v>0</v>
      </c>
      <c r="AN285" s="147">
        <f t="shared" si="168"/>
        <v>0</v>
      </c>
      <c r="AO285" s="147">
        <f t="shared" si="168"/>
        <v>0</v>
      </c>
      <c r="AP285" s="147">
        <f t="shared" si="168"/>
        <v>0</v>
      </c>
      <c r="AQ285" s="147">
        <f t="shared" si="168"/>
        <v>0</v>
      </c>
      <c r="AR285" s="147">
        <f t="shared" si="168"/>
        <v>0</v>
      </c>
      <c r="AS285" s="147">
        <f t="shared" si="168"/>
        <v>0</v>
      </c>
      <c r="AT285" s="147">
        <f t="shared" si="168"/>
        <v>0</v>
      </c>
      <c r="AU285" s="147">
        <f t="shared" si="168"/>
        <v>0</v>
      </c>
      <c r="AV285" s="147">
        <f t="shared" si="168"/>
        <v>0</v>
      </c>
    </row>
    <row r="286" spans="2:48" ht="12.95" customHeight="1" x14ac:dyDescent="0.2">
      <c r="B286" s="14"/>
      <c r="C286" s="253" t="s">
        <v>886</v>
      </c>
      <c r="F286" s="253" t="s">
        <v>492</v>
      </c>
      <c r="G286" s="253" t="s">
        <v>395</v>
      </c>
      <c r="H286" s="147"/>
      <c r="I286" s="147"/>
      <c r="J286" s="147"/>
      <c r="K286" s="147"/>
      <c r="L286" s="147"/>
      <c r="M286" s="147"/>
      <c r="N286" s="147"/>
      <c r="O286" s="147"/>
      <c r="P286" s="147"/>
      <c r="Q286" s="147"/>
      <c r="R286" s="147"/>
      <c r="S286" s="147"/>
      <c r="T286" s="147"/>
      <c r="U286" s="147"/>
      <c r="V286" s="147"/>
      <c r="W286" s="147"/>
      <c r="X286" s="147"/>
      <c r="Y286" s="147"/>
      <c r="Z286" s="147"/>
      <c r="AA286" s="147"/>
      <c r="AB286" s="147"/>
      <c r="AC286" s="147"/>
      <c r="AD286" s="147"/>
      <c r="AE286" s="147"/>
      <c r="AF286" s="147"/>
      <c r="AG286" s="147"/>
      <c r="AH286" s="147"/>
      <c r="AI286" s="147"/>
      <c r="AJ286" s="147">
        <f t="shared" ref="AJ286:AV286" si="169">AJ203*(1-AJ245)</f>
        <v>0</v>
      </c>
      <c r="AK286" s="147">
        <f t="shared" si="169"/>
        <v>0</v>
      </c>
      <c r="AL286" s="147">
        <f t="shared" si="169"/>
        <v>0</v>
      </c>
      <c r="AM286" s="147">
        <f t="shared" si="169"/>
        <v>0</v>
      </c>
      <c r="AN286" s="147">
        <f t="shared" si="169"/>
        <v>0</v>
      </c>
      <c r="AO286" s="147">
        <f t="shared" si="169"/>
        <v>0</v>
      </c>
      <c r="AP286" s="147">
        <f t="shared" si="169"/>
        <v>0</v>
      </c>
      <c r="AQ286" s="147">
        <f t="shared" si="169"/>
        <v>0</v>
      </c>
      <c r="AR286" s="147">
        <f t="shared" si="169"/>
        <v>0</v>
      </c>
      <c r="AS286" s="147">
        <f t="shared" si="169"/>
        <v>0</v>
      </c>
      <c r="AT286" s="147">
        <f t="shared" si="169"/>
        <v>0</v>
      </c>
      <c r="AU286" s="147">
        <f t="shared" si="169"/>
        <v>0</v>
      </c>
      <c r="AV286" s="147">
        <f t="shared" si="169"/>
        <v>0</v>
      </c>
    </row>
    <row r="287" spans="2:48" ht="12.95" customHeight="1" x14ac:dyDescent="0.2">
      <c r="B287" s="14"/>
      <c r="C287" s="253" t="s">
        <v>887</v>
      </c>
      <c r="F287" s="253" t="s">
        <v>492</v>
      </c>
      <c r="G287" s="253" t="s">
        <v>395</v>
      </c>
      <c r="H287" s="147"/>
      <c r="I287" s="147"/>
      <c r="J287" s="147"/>
      <c r="K287" s="147"/>
      <c r="L287" s="147"/>
      <c r="M287" s="147"/>
      <c r="N287" s="147"/>
      <c r="O287" s="147"/>
      <c r="P287" s="147"/>
      <c r="Q287" s="147"/>
      <c r="R287" s="147"/>
      <c r="S287" s="147"/>
      <c r="T287" s="147"/>
      <c r="U287" s="147"/>
      <c r="V287" s="147"/>
      <c r="W287" s="147"/>
      <c r="X287" s="147"/>
      <c r="Y287" s="147"/>
      <c r="Z287" s="147"/>
      <c r="AA287" s="147"/>
      <c r="AB287" s="147"/>
      <c r="AC287" s="147"/>
      <c r="AD287" s="147"/>
      <c r="AE287" s="147"/>
      <c r="AF287" s="147"/>
      <c r="AG287" s="147"/>
      <c r="AH287" s="147"/>
      <c r="AI287" s="147"/>
      <c r="AJ287" s="147"/>
      <c r="AK287" s="147">
        <f t="shared" ref="AK287:AV287" si="170">AK204*(1-AK246)</f>
        <v>0</v>
      </c>
      <c r="AL287" s="147">
        <f t="shared" si="170"/>
        <v>0</v>
      </c>
      <c r="AM287" s="147">
        <f t="shared" si="170"/>
        <v>0</v>
      </c>
      <c r="AN287" s="147">
        <f t="shared" si="170"/>
        <v>0</v>
      </c>
      <c r="AO287" s="147">
        <f t="shared" si="170"/>
        <v>0</v>
      </c>
      <c r="AP287" s="147">
        <f t="shared" si="170"/>
        <v>0</v>
      </c>
      <c r="AQ287" s="147">
        <f t="shared" si="170"/>
        <v>0</v>
      </c>
      <c r="AR287" s="147">
        <f t="shared" si="170"/>
        <v>0</v>
      </c>
      <c r="AS287" s="147">
        <f t="shared" si="170"/>
        <v>0</v>
      </c>
      <c r="AT287" s="147">
        <f t="shared" si="170"/>
        <v>0</v>
      </c>
      <c r="AU287" s="147">
        <f t="shared" si="170"/>
        <v>0</v>
      </c>
      <c r="AV287" s="147">
        <f t="shared" si="170"/>
        <v>0</v>
      </c>
    </row>
    <row r="288" spans="2:48" ht="12.95" customHeight="1" x14ac:dyDescent="0.2">
      <c r="B288" s="14"/>
      <c r="C288" s="253" t="s">
        <v>888</v>
      </c>
      <c r="F288" s="253" t="s">
        <v>492</v>
      </c>
      <c r="G288" s="253" t="s">
        <v>395</v>
      </c>
      <c r="H288" s="147"/>
      <c r="I288" s="147"/>
      <c r="J288" s="147"/>
      <c r="K288" s="147"/>
      <c r="L288" s="147"/>
      <c r="M288" s="147"/>
      <c r="N288" s="147"/>
      <c r="O288" s="147"/>
      <c r="P288" s="147"/>
      <c r="Q288" s="147"/>
      <c r="R288" s="147"/>
      <c r="S288" s="147"/>
      <c r="T288" s="147"/>
      <c r="U288" s="147"/>
      <c r="V288" s="147"/>
      <c r="W288" s="147"/>
      <c r="X288" s="147"/>
      <c r="Y288" s="147"/>
      <c r="Z288" s="147"/>
      <c r="AA288" s="147"/>
      <c r="AB288" s="147"/>
      <c r="AC288" s="147"/>
      <c r="AD288" s="147"/>
      <c r="AE288" s="147"/>
      <c r="AF288" s="147"/>
      <c r="AG288" s="147"/>
      <c r="AH288" s="147"/>
      <c r="AI288" s="147"/>
      <c r="AJ288" s="147"/>
      <c r="AK288" s="147"/>
      <c r="AL288" s="147">
        <f t="shared" ref="AL288:AV288" si="171">AL205*(1-AL247)</f>
        <v>0</v>
      </c>
      <c r="AM288" s="147">
        <f t="shared" si="171"/>
        <v>0</v>
      </c>
      <c r="AN288" s="147">
        <f t="shared" si="171"/>
        <v>0</v>
      </c>
      <c r="AO288" s="147">
        <f t="shared" si="171"/>
        <v>0</v>
      </c>
      <c r="AP288" s="147">
        <f t="shared" si="171"/>
        <v>0</v>
      </c>
      <c r="AQ288" s="147">
        <f t="shared" si="171"/>
        <v>0</v>
      </c>
      <c r="AR288" s="147">
        <f t="shared" si="171"/>
        <v>0</v>
      </c>
      <c r="AS288" s="147">
        <f t="shared" si="171"/>
        <v>0</v>
      </c>
      <c r="AT288" s="147">
        <f t="shared" si="171"/>
        <v>0</v>
      </c>
      <c r="AU288" s="147">
        <f t="shared" si="171"/>
        <v>0</v>
      </c>
      <c r="AV288" s="147">
        <f t="shared" si="171"/>
        <v>0</v>
      </c>
    </row>
    <row r="289" spans="2:48" ht="12.95" customHeight="1" x14ac:dyDescent="0.2">
      <c r="B289" s="14"/>
      <c r="C289" s="253" t="s">
        <v>889</v>
      </c>
      <c r="F289" s="253" t="s">
        <v>492</v>
      </c>
      <c r="G289" s="253" t="s">
        <v>395</v>
      </c>
      <c r="H289" s="147"/>
      <c r="I289" s="147"/>
      <c r="J289" s="147"/>
      <c r="K289" s="147"/>
      <c r="L289" s="147"/>
      <c r="M289" s="147"/>
      <c r="N289" s="147"/>
      <c r="O289" s="147"/>
      <c r="P289" s="147"/>
      <c r="Q289" s="147"/>
      <c r="R289" s="147"/>
      <c r="S289" s="147"/>
      <c r="T289" s="147"/>
      <c r="U289" s="147"/>
      <c r="V289" s="147"/>
      <c r="W289" s="147"/>
      <c r="X289" s="147"/>
      <c r="Y289" s="147"/>
      <c r="Z289" s="147"/>
      <c r="AA289" s="147"/>
      <c r="AB289" s="147"/>
      <c r="AC289" s="147"/>
      <c r="AD289" s="147"/>
      <c r="AE289" s="147"/>
      <c r="AF289" s="147"/>
      <c r="AG289" s="147"/>
      <c r="AH289" s="147"/>
      <c r="AI289" s="147"/>
      <c r="AJ289" s="147"/>
      <c r="AK289" s="147"/>
      <c r="AL289" s="147"/>
      <c r="AM289" s="147">
        <f t="shared" ref="AM289:AV289" si="172">AM206*(1-AM248)</f>
        <v>0</v>
      </c>
      <c r="AN289" s="147">
        <f t="shared" si="172"/>
        <v>0</v>
      </c>
      <c r="AO289" s="147">
        <f t="shared" si="172"/>
        <v>0</v>
      </c>
      <c r="AP289" s="147">
        <f t="shared" si="172"/>
        <v>0</v>
      </c>
      <c r="AQ289" s="147">
        <f t="shared" si="172"/>
        <v>0</v>
      </c>
      <c r="AR289" s="147">
        <f t="shared" si="172"/>
        <v>0</v>
      </c>
      <c r="AS289" s="147">
        <f t="shared" si="172"/>
        <v>0</v>
      </c>
      <c r="AT289" s="147">
        <f t="shared" si="172"/>
        <v>0</v>
      </c>
      <c r="AU289" s="147">
        <f t="shared" si="172"/>
        <v>0</v>
      </c>
      <c r="AV289" s="147">
        <f t="shared" si="172"/>
        <v>0</v>
      </c>
    </row>
    <row r="290" spans="2:48" ht="12.95" customHeight="1" x14ac:dyDescent="0.2">
      <c r="B290" s="14"/>
      <c r="C290" s="253" t="s">
        <v>890</v>
      </c>
      <c r="F290" s="253" t="s">
        <v>492</v>
      </c>
      <c r="G290" s="253" t="s">
        <v>395</v>
      </c>
      <c r="H290" s="147"/>
      <c r="I290" s="147"/>
      <c r="J290" s="147"/>
      <c r="K290" s="147"/>
      <c r="L290" s="147"/>
      <c r="M290" s="147"/>
      <c r="N290" s="147"/>
      <c r="O290" s="147"/>
      <c r="P290" s="147"/>
      <c r="Q290" s="147"/>
      <c r="R290" s="147"/>
      <c r="S290" s="147"/>
      <c r="T290" s="147"/>
      <c r="U290" s="147"/>
      <c r="V290" s="147"/>
      <c r="W290" s="147"/>
      <c r="X290" s="147"/>
      <c r="Y290" s="147"/>
      <c r="Z290" s="147"/>
      <c r="AA290" s="147"/>
      <c r="AB290" s="147"/>
      <c r="AC290" s="147"/>
      <c r="AD290" s="147"/>
      <c r="AE290" s="147"/>
      <c r="AF290" s="147"/>
      <c r="AG290" s="147"/>
      <c r="AH290" s="147"/>
      <c r="AI290" s="147"/>
      <c r="AJ290" s="147"/>
      <c r="AK290" s="147"/>
      <c r="AL290" s="147"/>
      <c r="AM290" s="147"/>
      <c r="AN290" s="147">
        <f t="shared" ref="AN290:AV290" si="173">AN207*(1-AN249)</f>
        <v>0</v>
      </c>
      <c r="AO290" s="147">
        <f t="shared" si="173"/>
        <v>0</v>
      </c>
      <c r="AP290" s="147">
        <f t="shared" si="173"/>
        <v>0</v>
      </c>
      <c r="AQ290" s="147">
        <f t="shared" si="173"/>
        <v>0</v>
      </c>
      <c r="AR290" s="147">
        <f t="shared" si="173"/>
        <v>0</v>
      </c>
      <c r="AS290" s="147">
        <f t="shared" si="173"/>
        <v>0</v>
      </c>
      <c r="AT290" s="147">
        <f t="shared" si="173"/>
        <v>0</v>
      </c>
      <c r="AU290" s="147">
        <f t="shared" si="173"/>
        <v>0</v>
      </c>
      <c r="AV290" s="147">
        <f t="shared" si="173"/>
        <v>0</v>
      </c>
    </row>
    <row r="291" spans="2:48" ht="12.95" customHeight="1" x14ac:dyDescent="0.2">
      <c r="B291" s="14"/>
      <c r="C291" s="253" t="s">
        <v>891</v>
      </c>
      <c r="F291" s="253" t="s">
        <v>492</v>
      </c>
      <c r="G291" s="253" t="s">
        <v>395</v>
      </c>
      <c r="H291" s="147"/>
      <c r="I291" s="147"/>
      <c r="J291" s="147"/>
      <c r="K291" s="147"/>
      <c r="L291" s="147"/>
      <c r="M291" s="147"/>
      <c r="N291" s="147"/>
      <c r="O291" s="147"/>
      <c r="P291" s="147"/>
      <c r="Q291" s="147"/>
      <c r="R291" s="147"/>
      <c r="S291" s="147"/>
      <c r="T291" s="147"/>
      <c r="U291" s="147"/>
      <c r="V291" s="147"/>
      <c r="W291" s="147"/>
      <c r="X291" s="147"/>
      <c r="Y291" s="147"/>
      <c r="Z291" s="147"/>
      <c r="AA291" s="147"/>
      <c r="AB291" s="147"/>
      <c r="AC291" s="147"/>
      <c r="AD291" s="147"/>
      <c r="AE291" s="147"/>
      <c r="AF291" s="147"/>
      <c r="AG291" s="147"/>
      <c r="AH291" s="147"/>
      <c r="AI291" s="147"/>
      <c r="AJ291" s="147"/>
      <c r="AK291" s="147"/>
      <c r="AL291" s="147"/>
      <c r="AM291" s="147"/>
      <c r="AN291" s="147"/>
      <c r="AO291" s="147">
        <f t="shared" ref="AO291:AV291" si="174">AO208*(1-AO250)</f>
        <v>0</v>
      </c>
      <c r="AP291" s="147">
        <f t="shared" si="174"/>
        <v>0</v>
      </c>
      <c r="AQ291" s="147">
        <f t="shared" si="174"/>
        <v>0</v>
      </c>
      <c r="AR291" s="147">
        <f t="shared" si="174"/>
        <v>0</v>
      </c>
      <c r="AS291" s="147">
        <f t="shared" si="174"/>
        <v>0</v>
      </c>
      <c r="AT291" s="147">
        <f t="shared" si="174"/>
        <v>0</v>
      </c>
      <c r="AU291" s="147">
        <f t="shared" si="174"/>
        <v>0</v>
      </c>
      <c r="AV291" s="147">
        <f t="shared" si="174"/>
        <v>0</v>
      </c>
    </row>
    <row r="292" spans="2:48" ht="12.95" customHeight="1" x14ac:dyDescent="0.2">
      <c r="B292" s="14"/>
      <c r="C292" s="253" t="s">
        <v>892</v>
      </c>
      <c r="F292" s="253" t="s">
        <v>492</v>
      </c>
      <c r="G292" s="253" t="s">
        <v>395</v>
      </c>
      <c r="H292" s="147"/>
      <c r="I292" s="147"/>
      <c r="J292" s="147"/>
      <c r="K292" s="147"/>
      <c r="L292" s="147"/>
      <c r="M292" s="147"/>
      <c r="N292" s="147"/>
      <c r="O292" s="147"/>
      <c r="P292" s="147"/>
      <c r="Q292" s="147"/>
      <c r="R292" s="147"/>
      <c r="S292" s="147"/>
      <c r="T292" s="147"/>
      <c r="U292" s="147"/>
      <c r="V292" s="147"/>
      <c r="W292" s="147"/>
      <c r="X292" s="147"/>
      <c r="Y292" s="147"/>
      <c r="Z292" s="147"/>
      <c r="AA292" s="147"/>
      <c r="AB292" s="147"/>
      <c r="AC292" s="147"/>
      <c r="AD292" s="147"/>
      <c r="AE292" s="147"/>
      <c r="AF292" s="147"/>
      <c r="AG292" s="147"/>
      <c r="AH292" s="147"/>
      <c r="AI292" s="147"/>
      <c r="AJ292" s="147"/>
      <c r="AK292" s="147"/>
      <c r="AL292" s="147"/>
      <c r="AM292" s="147"/>
      <c r="AN292" s="147"/>
      <c r="AO292" s="147"/>
      <c r="AP292" s="147">
        <f t="shared" ref="AP292:AV292" si="175">AP209*(1-AP251)</f>
        <v>0</v>
      </c>
      <c r="AQ292" s="147">
        <f t="shared" si="175"/>
        <v>0</v>
      </c>
      <c r="AR292" s="147">
        <f t="shared" si="175"/>
        <v>0</v>
      </c>
      <c r="AS292" s="147">
        <f t="shared" si="175"/>
        <v>0</v>
      </c>
      <c r="AT292" s="147">
        <f t="shared" si="175"/>
        <v>0</v>
      </c>
      <c r="AU292" s="147">
        <f t="shared" si="175"/>
        <v>0</v>
      </c>
      <c r="AV292" s="147">
        <f t="shared" si="175"/>
        <v>0</v>
      </c>
    </row>
    <row r="293" spans="2:48" ht="12.95" customHeight="1" x14ac:dyDescent="0.2">
      <c r="B293" s="14"/>
      <c r="C293" s="253" t="s">
        <v>893</v>
      </c>
      <c r="F293" s="253" t="s">
        <v>492</v>
      </c>
      <c r="G293" s="253" t="s">
        <v>395</v>
      </c>
      <c r="H293" s="147"/>
      <c r="I293" s="147"/>
      <c r="J293" s="147"/>
      <c r="K293" s="147"/>
      <c r="L293" s="147"/>
      <c r="M293" s="147"/>
      <c r="N293" s="147"/>
      <c r="O293" s="147"/>
      <c r="P293" s="147"/>
      <c r="Q293" s="147"/>
      <c r="R293" s="147"/>
      <c r="S293" s="147"/>
      <c r="T293" s="147"/>
      <c r="U293" s="147"/>
      <c r="V293" s="147"/>
      <c r="W293" s="147"/>
      <c r="X293" s="147"/>
      <c r="Y293" s="147"/>
      <c r="Z293" s="147"/>
      <c r="AA293" s="147"/>
      <c r="AB293" s="147"/>
      <c r="AC293" s="147"/>
      <c r="AD293" s="147"/>
      <c r="AE293" s="147"/>
      <c r="AF293" s="147"/>
      <c r="AG293" s="147"/>
      <c r="AH293" s="147"/>
      <c r="AI293" s="147"/>
      <c r="AJ293" s="147"/>
      <c r="AK293" s="147"/>
      <c r="AL293" s="147"/>
      <c r="AM293" s="147"/>
      <c r="AN293" s="147"/>
      <c r="AO293" s="147"/>
      <c r="AP293" s="147"/>
      <c r="AQ293" s="147">
        <f t="shared" ref="AQ293:AV293" si="176">AQ210*(1-AQ252)</f>
        <v>0</v>
      </c>
      <c r="AR293" s="147">
        <f t="shared" si="176"/>
        <v>0</v>
      </c>
      <c r="AS293" s="147">
        <f t="shared" si="176"/>
        <v>0</v>
      </c>
      <c r="AT293" s="147">
        <f t="shared" si="176"/>
        <v>0</v>
      </c>
      <c r="AU293" s="147">
        <f t="shared" si="176"/>
        <v>0</v>
      </c>
      <c r="AV293" s="147">
        <f t="shared" si="176"/>
        <v>0</v>
      </c>
    </row>
    <row r="294" spans="2:48" ht="12.95" customHeight="1" x14ac:dyDescent="0.2">
      <c r="B294" s="14"/>
      <c r="C294" s="253" t="s">
        <v>894</v>
      </c>
      <c r="F294" s="253" t="s">
        <v>492</v>
      </c>
      <c r="G294" s="253" t="s">
        <v>395</v>
      </c>
      <c r="H294" s="147"/>
      <c r="I294" s="147"/>
      <c r="J294" s="147"/>
      <c r="K294" s="147"/>
      <c r="L294" s="147"/>
      <c r="M294" s="147"/>
      <c r="N294" s="147"/>
      <c r="O294" s="147"/>
      <c r="P294" s="147"/>
      <c r="Q294" s="147"/>
      <c r="R294" s="147"/>
      <c r="S294" s="147"/>
      <c r="T294" s="147"/>
      <c r="U294" s="147"/>
      <c r="V294" s="147"/>
      <c r="W294" s="147"/>
      <c r="X294" s="147"/>
      <c r="Y294" s="147"/>
      <c r="Z294" s="147"/>
      <c r="AA294" s="147"/>
      <c r="AB294" s="147"/>
      <c r="AC294" s="147"/>
      <c r="AD294" s="147"/>
      <c r="AE294" s="147"/>
      <c r="AF294" s="147"/>
      <c r="AG294" s="147"/>
      <c r="AH294" s="147"/>
      <c r="AI294" s="147"/>
      <c r="AJ294" s="147"/>
      <c r="AK294" s="147"/>
      <c r="AL294" s="147"/>
      <c r="AM294" s="147"/>
      <c r="AN294" s="147"/>
      <c r="AO294" s="147"/>
      <c r="AP294" s="147"/>
      <c r="AQ294" s="147"/>
      <c r="AR294" s="147">
        <f>AR211*(1-AR253)</f>
        <v>0</v>
      </c>
      <c r="AS294" s="147">
        <f>AS211*(1-AS253)</f>
        <v>0</v>
      </c>
      <c r="AT294" s="147">
        <f>AT211*(1-AT253)</f>
        <v>0</v>
      </c>
      <c r="AU294" s="147">
        <f>AU211*(1-AU253)</f>
        <v>0</v>
      </c>
      <c r="AV294" s="147">
        <f>AV211*(1-AV253)</f>
        <v>0</v>
      </c>
    </row>
    <row r="295" spans="2:48" ht="12.95" customHeight="1" x14ac:dyDescent="0.2">
      <c r="B295" s="14"/>
      <c r="C295" s="253" t="s">
        <v>895</v>
      </c>
      <c r="F295" s="253" t="s">
        <v>492</v>
      </c>
      <c r="G295" s="253" t="s">
        <v>395</v>
      </c>
      <c r="H295" s="147"/>
      <c r="I295" s="147"/>
      <c r="J295" s="147"/>
      <c r="K295" s="147"/>
      <c r="L295" s="147"/>
      <c r="M295" s="147"/>
      <c r="N295" s="147"/>
      <c r="O295" s="147"/>
      <c r="P295" s="147"/>
      <c r="Q295" s="147"/>
      <c r="R295" s="147"/>
      <c r="S295" s="147"/>
      <c r="T295" s="147"/>
      <c r="U295" s="147"/>
      <c r="V295" s="147"/>
      <c r="W295" s="147"/>
      <c r="X295" s="147"/>
      <c r="Y295" s="147"/>
      <c r="Z295" s="147"/>
      <c r="AA295" s="147"/>
      <c r="AB295" s="147"/>
      <c r="AC295" s="147"/>
      <c r="AD295" s="147"/>
      <c r="AE295" s="147"/>
      <c r="AF295" s="147"/>
      <c r="AG295" s="147"/>
      <c r="AH295" s="147"/>
      <c r="AI295" s="147"/>
      <c r="AJ295" s="147"/>
      <c r="AK295" s="147"/>
      <c r="AL295" s="147"/>
      <c r="AM295" s="147"/>
      <c r="AN295" s="147"/>
      <c r="AO295" s="147"/>
      <c r="AP295" s="147"/>
      <c r="AQ295" s="147"/>
      <c r="AR295" s="147"/>
      <c r="AS295" s="147">
        <f>AS212*(1-AS254)</f>
        <v>0</v>
      </c>
      <c r="AT295" s="147">
        <f>AT212*(1-AT254)</f>
        <v>0</v>
      </c>
      <c r="AU295" s="147">
        <f>AU212*(1-AU254)</f>
        <v>0</v>
      </c>
      <c r="AV295" s="147">
        <f>AV212*(1-AV254)</f>
        <v>0</v>
      </c>
    </row>
    <row r="296" spans="2:48" ht="12.95" customHeight="1" x14ac:dyDescent="0.2">
      <c r="B296" s="14"/>
      <c r="C296" s="253" t="s">
        <v>896</v>
      </c>
      <c r="F296" s="253" t="s">
        <v>492</v>
      </c>
      <c r="G296" s="253" t="s">
        <v>395</v>
      </c>
      <c r="H296" s="147"/>
      <c r="I296" s="147"/>
      <c r="J296" s="147"/>
      <c r="K296" s="147"/>
      <c r="L296" s="147"/>
      <c r="M296" s="147"/>
      <c r="N296" s="147"/>
      <c r="O296" s="147"/>
      <c r="P296" s="147"/>
      <c r="Q296" s="147"/>
      <c r="R296" s="147"/>
      <c r="S296" s="147"/>
      <c r="T296" s="147"/>
      <c r="U296" s="147"/>
      <c r="V296" s="147"/>
      <c r="W296" s="147"/>
      <c r="X296" s="147"/>
      <c r="Y296" s="147"/>
      <c r="Z296" s="147"/>
      <c r="AA296" s="147"/>
      <c r="AB296" s="147"/>
      <c r="AC296" s="147"/>
      <c r="AD296" s="147"/>
      <c r="AE296" s="147"/>
      <c r="AF296" s="147"/>
      <c r="AG296" s="147"/>
      <c r="AH296" s="147"/>
      <c r="AI296" s="147"/>
      <c r="AJ296" s="147"/>
      <c r="AK296" s="147"/>
      <c r="AL296" s="147"/>
      <c r="AM296" s="147"/>
      <c r="AN296" s="147"/>
      <c r="AO296" s="147"/>
      <c r="AP296" s="147"/>
      <c r="AQ296" s="147"/>
      <c r="AR296" s="147"/>
      <c r="AS296" s="147"/>
      <c r="AT296" s="147">
        <f>AT213*(1-AT255)</f>
        <v>0</v>
      </c>
      <c r="AU296" s="147">
        <f>AU213*(1-AU255)</f>
        <v>0</v>
      </c>
      <c r="AV296" s="147">
        <f>AV213*(1-AV255)</f>
        <v>0</v>
      </c>
    </row>
    <row r="297" spans="2:48" ht="12.95" customHeight="1" x14ac:dyDescent="0.2">
      <c r="B297" s="14"/>
      <c r="C297" s="253" t="s">
        <v>897</v>
      </c>
      <c r="F297" s="253" t="s">
        <v>492</v>
      </c>
      <c r="G297" s="253" t="s">
        <v>395</v>
      </c>
      <c r="H297" s="147"/>
      <c r="I297" s="147"/>
      <c r="J297" s="147"/>
      <c r="K297" s="147"/>
      <c r="L297" s="147"/>
      <c r="M297" s="147"/>
      <c r="N297" s="147"/>
      <c r="O297" s="147"/>
      <c r="P297" s="147"/>
      <c r="Q297" s="147"/>
      <c r="R297" s="147"/>
      <c r="S297" s="147"/>
      <c r="T297" s="147"/>
      <c r="U297" s="147"/>
      <c r="V297" s="147"/>
      <c r="W297" s="147"/>
      <c r="X297" s="147"/>
      <c r="Y297" s="147"/>
      <c r="Z297" s="147"/>
      <c r="AA297" s="147"/>
      <c r="AB297" s="147"/>
      <c r="AC297" s="147"/>
      <c r="AD297" s="147"/>
      <c r="AE297" s="147"/>
      <c r="AF297" s="147"/>
      <c r="AG297" s="147"/>
      <c r="AH297" s="147"/>
      <c r="AI297" s="147"/>
      <c r="AJ297" s="147"/>
      <c r="AK297" s="147"/>
      <c r="AL297" s="147"/>
      <c r="AM297" s="147"/>
      <c r="AN297" s="147"/>
      <c r="AO297" s="147"/>
      <c r="AP297" s="147"/>
      <c r="AQ297" s="147"/>
      <c r="AR297" s="147"/>
      <c r="AS297" s="147"/>
      <c r="AT297" s="147"/>
      <c r="AU297" s="147">
        <f>AU214*(1-AU256)</f>
        <v>0</v>
      </c>
      <c r="AV297" s="147">
        <f>AV214*(1-AV256)</f>
        <v>0</v>
      </c>
    </row>
    <row r="298" spans="2:48" ht="12.95" customHeight="1" x14ac:dyDescent="0.2">
      <c r="B298" s="14" t="s">
        <v>496</v>
      </c>
      <c r="H298" s="80"/>
      <c r="I298" s="171"/>
      <c r="J298" s="171"/>
      <c r="K298" s="171"/>
      <c r="L298" s="171"/>
      <c r="M298" s="171"/>
      <c r="N298" s="171"/>
      <c r="O298" s="171"/>
      <c r="P298" s="171"/>
      <c r="Q298" s="171"/>
      <c r="R298" s="171"/>
      <c r="S298" s="171"/>
      <c r="T298" s="171"/>
      <c r="U298" s="171"/>
      <c r="V298" s="171"/>
      <c r="W298" s="171"/>
      <c r="X298" s="171"/>
      <c r="Y298" s="171"/>
      <c r="Z298" s="171"/>
      <c r="AA298" s="171"/>
      <c r="AB298" s="171"/>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row>
    <row r="299" spans="2:48" ht="12.95" customHeight="1" x14ac:dyDescent="0.2">
      <c r="B299" s="14"/>
      <c r="C299" s="372">
        <v>1</v>
      </c>
      <c r="D299" s="372"/>
      <c r="E299" s="372"/>
      <c r="F299" s="253" t="s">
        <v>493</v>
      </c>
      <c r="G299" s="253" t="s">
        <v>395</v>
      </c>
      <c r="H299" s="147"/>
      <c r="I299" s="147">
        <f>_xlfn.SWITCH(I134,1,I258,THIN!$F$9+1,I258-THIN!$F$33*H258,I258-H258)</f>
        <v>0.59253502187002027</v>
      </c>
      <c r="J299" s="147">
        <f>_xlfn.SWITCH(J134,1,J258,THIN!$F$9+1,J258-THIN!$F$33*I258,J258-I258)</f>
        <v>2.3707917230795683</v>
      </c>
      <c r="K299" s="147">
        <f>_xlfn.SWITCH(K134,1,K258,THIN!$F$9+1,K258-THIN!$F$33*J258,K258-J258)</f>
        <v>2.4919688474695185</v>
      </c>
      <c r="L299" s="147">
        <f>_xlfn.SWITCH(L134,1,L258,THIN!$F$9+1,L258-THIN!$F$33*K258,L258-K258)</f>
        <v>2.5926248904541112</v>
      </c>
      <c r="M299" s="147">
        <f>_xlfn.SWITCH(M134,1,M258,THIN!$F$9+1,M258-THIN!$F$33*L258,M258-L258)</f>
        <v>2.6733697536680552</v>
      </c>
      <c r="N299" s="147">
        <f>_xlfn.SWITCH(N134,1,N258,THIN!$F$9+1,N258-THIN!$F$33*M258,N258-M258)</f>
        <v>2.7351415660546046</v>
      </c>
      <c r="O299" s="147">
        <f>_xlfn.SWITCH(O134,1,O258,THIN!$F$9+1,O258-THIN!$F$33*N258,O258-N258)</f>
        <v>2.7791105538674721</v>
      </c>
      <c r="P299" s="147">
        <f>_xlfn.SWITCH(P134,1,P258,THIN!$F$9+1,P258-THIN!$F$33*O258,P258-O258)</f>
        <v>2.8065991575093356</v>
      </c>
      <c r="Q299" s="147">
        <f>_xlfn.SWITCH(Q134,1,Q258,THIN!$F$9+1,Q258-THIN!$F$33*P258,Q258-P258)</f>
        <v>2.8190170305738036</v>
      </c>
      <c r="R299" s="147">
        <f>_xlfn.SWITCH(R134,1,R258,THIN!$F$9+1,R258-THIN!$F$33*Q258,R258-Q258)</f>
        <v>2.8178092665428665</v>
      </c>
      <c r="S299" s="147">
        <f>_xlfn.SWITCH(S134,1,S258,THIN!$F$9+1,S258-THIN!$F$33*R258,S258-R258)</f>
        <v>2.804416107421595</v>
      </c>
      <c r="T299" s="147">
        <f>_xlfn.SWITCH(T134,1,T258,THIN!$F$9+1,T258-THIN!$F$33*S258,T258-S258)</f>
        <v>1.3801503036642727E-2</v>
      </c>
      <c r="U299" s="147">
        <f>_xlfn.SWITCH(U134,1,U258,THIN!$F$9+1,U258-THIN!$F$33*T258,U258-T258)</f>
        <v>8.870660069358649E-2</v>
      </c>
      <c r="V299" s="147">
        <f>_xlfn.SWITCH(V134,1,V258,THIN!$F$9+1,V258-THIN!$F$33*U258,V258-U258)</f>
        <v>0.21889250191111381</v>
      </c>
      <c r="W299" s="147">
        <f>_xlfn.SWITCH(W134,1,W258,THIN!$F$9+1,W258-THIN!$F$33*V258,W258-V258)</f>
        <v>0.38679027443885877</v>
      </c>
      <c r="X299" s="147">
        <f>_xlfn.SWITCH(X134,1,X258,THIN!$F$9+1,X258-THIN!$F$33*W258,X258-W258)</f>
        <v>0.57839942135411293</v>
      </c>
      <c r="Y299" s="147">
        <f>_xlfn.SWITCH(Y134,1,Y258,THIN!$F$9+1,Y258-THIN!$F$33*X258,Y258-X258)</f>
        <v>0.7826745636946395</v>
      </c>
      <c r="Z299" s="147">
        <f>_xlfn.SWITCH(Z134,1,Z258,THIN!$F$9+1,Z258-THIN!$F$33*Y258,Z258-Y258)</f>
        <v>0.99100916955596396</v>
      </c>
      <c r="AA299" s="147">
        <f>_xlfn.SWITCH(AA134,1,AA258,THIN!$F$9+1,AA258-THIN!$F$33*Z258,AA258-Z258)</f>
        <v>1.1968016682944005</v>
      </c>
      <c r="AB299" s="147">
        <f>_xlfn.SWITCH(AB134,1,AB258,THIN!$F$9+1,AB258-THIN!$F$33*AA258,AB258-AA258)</f>
        <v>1.3950914428611982</v>
      </c>
      <c r="AC299" s="147">
        <f>_xlfn.SWITCH(AC134,1,AC258,THIN!$F$9+1,AC258-THIN!$F$33*AB258,AC258-AB258)</f>
        <v>1.5822540365492577</v>
      </c>
      <c r="AD299" s="147">
        <f>_xlfn.SWITCH(AD134,1,AD258,THIN!$F$9+1,AD258-THIN!$F$33*AC258,AD258-AC258)</f>
        <v>1.7557464869953625</v>
      </c>
      <c r="AE299" s="147">
        <f>_xlfn.SWITCH(AE134,1,AE258,THIN!$F$9+1,AE258-THIN!$F$33*AD258,AE258-AD258)</f>
        <v>1.9138950482816846</v>
      </c>
      <c r="AF299" s="147">
        <f>_xlfn.SWITCH(AF134,1,AF258,THIN!$F$9+1,AF258-THIN!$F$33*AE258,AF258-AE258)</f>
        <v>2.0557187141442146</v>
      </c>
      <c r="AG299" s="147">
        <f>_xlfn.SWITCH(AG134,1,AG258,THIN!$F$9+1,AG258-THIN!$F$33*AF258,AG258-AF258)</f>
        <v>2.1807829396979503</v>
      </c>
      <c r="AH299" s="147">
        <f>_xlfn.SWITCH(AH134,1,AH258,THIN!$F$9+1,AH258-THIN!$F$33*AG258,AH258-AG258)</f>
        <v>2.2890787998168136</v>
      </c>
      <c r="AI299" s="147">
        <f>_xlfn.SWITCH(AI134,1,AI258,THIN!$F$9+1,AI258-THIN!$F$33*AH258,AI258-AH258)</f>
        <v>0.59253502187002027</v>
      </c>
      <c r="AJ299" s="147">
        <f>_xlfn.SWITCH(AJ134,1,AJ258,THIN!$F$9+1,AJ258-THIN!$F$33*AI258,AJ258-AI258)</f>
        <v>2.3707917230795683</v>
      </c>
      <c r="AK299" s="147">
        <f>_xlfn.SWITCH(AK134,1,AK258,THIN!$F$9+1,AK258-THIN!$F$33*AJ258,AK258-AJ258)</f>
        <v>2.4919688474695185</v>
      </c>
      <c r="AL299" s="147">
        <f>_xlfn.SWITCH(AL134,1,AL258,THIN!$F$9+1,AL258-THIN!$F$33*AK258,AL258-AK258)</f>
        <v>2.5926248904541112</v>
      </c>
      <c r="AM299" s="147">
        <f>_xlfn.SWITCH(AM134,1,AM258,THIN!$F$9+1,AM258-THIN!$F$33*AL258,AM258-AL258)</f>
        <v>2.6733697536680552</v>
      </c>
      <c r="AN299" s="147">
        <f>_xlfn.SWITCH(AN134,1,AN258,THIN!$F$9+1,AN258-THIN!$F$33*AM258,AN258-AM258)</f>
        <v>2.7351415660546046</v>
      </c>
      <c r="AO299" s="147">
        <f>_xlfn.SWITCH(AO134,1,AO258,THIN!$F$9+1,AO258-THIN!$F$33*AN258,AO258-AN258)</f>
        <v>2.7791105538674721</v>
      </c>
      <c r="AP299" s="147">
        <f>_xlfn.SWITCH(AP134,1,AP258,THIN!$F$9+1,AP258-THIN!$F$33*AO258,AP258-AO258)</f>
        <v>2.8065991575093356</v>
      </c>
      <c r="AQ299" s="147">
        <f>_xlfn.SWITCH(AQ134,1,AQ258,THIN!$F$9+1,AQ258-THIN!$F$33*AP258,AQ258-AP258)</f>
        <v>2.8190170305738036</v>
      </c>
      <c r="AR299" s="147">
        <f>_xlfn.SWITCH(AR134,1,AR258,THIN!$F$9+1,AR258-THIN!$F$33*AQ258,AR258-AQ258)</f>
        <v>2.8178092665428665</v>
      </c>
      <c r="AS299" s="147">
        <f>_xlfn.SWITCH(AS134,1,AS258,THIN!$F$9+1,AS258-THIN!$F$33*AR258,AS258-AR258)</f>
        <v>2.804416107421595</v>
      </c>
      <c r="AT299" s="147">
        <f>_xlfn.SWITCH(AT134,1,AT258,THIN!$F$9+1,AT258-THIN!$F$33*AS258,AT258-AS258)</f>
        <v>1.3801503036642727E-2</v>
      </c>
      <c r="AU299" s="147">
        <f>_xlfn.SWITCH(AU134,1,AU258,THIN!$F$9+1,AU258-THIN!$F$33*AT258,AU258-AT258)</f>
        <v>8.870660069358649E-2</v>
      </c>
      <c r="AV299" s="147">
        <f>_xlfn.SWITCH(AV134,1,AV258,THIN!$F$9+1,AV258-THIN!$F$33*AU258,AV258-AU258)</f>
        <v>0.21889250191111381</v>
      </c>
    </row>
    <row r="300" spans="2:48" ht="12.95" customHeight="1" x14ac:dyDescent="0.2">
      <c r="B300" s="14"/>
      <c r="C300" s="372">
        <v>2</v>
      </c>
      <c r="D300" s="372"/>
      <c r="E300" s="372"/>
      <c r="F300" s="253" t="s">
        <v>493</v>
      </c>
      <c r="G300" s="253" t="s">
        <v>395</v>
      </c>
      <c r="H300" s="147"/>
      <c r="I300" s="147"/>
      <c r="J300" s="147">
        <f>_xlfn.SWITCH(J135,1,J259,THIN!$F$9+1,J259-THIN!$F$33*I259,J259-I259)</f>
        <v>0.59253502187002027</v>
      </c>
      <c r="K300" s="147">
        <f>_xlfn.SWITCH(K135,1,K259,THIN!$F$9+1,K259-THIN!$F$33*J259,K259-J259)</f>
        <v>2.3707917230795683</v>
      </c>
      <c r="L300" s="147">
        <f>_xlfn.SWITCH(L135,1,L259,THIN!$F$9+1,L259-THIN!$F$33*K259,L259-K259)</f>
        <v>2.4919688474695185</v>
      </c>
      <c r="M300" s="147">
        <f>_xlfn.SWITCH(M135,1,M259,THIN!$F$9+1,M259-THIN!$F$33*L259,M259-L259)</f>
        <v>2.5926248904541112</v>
      </c>
      <c r="N300" s="147">
        <f>_xlfn.SWITCH(N135,1,N259,THIN!$F$9+1,N259-THIN!$F$33*M259,N259-M259)</f>
        <v>2.6733697536680552</v>
      </c>
      <c r="O300" s="147">
        <f>_xlfn.SWITCH(O135,1,O259,THIN!$F$9+1,O259-THIN!$F$33*N259,O259-N259)</f>
        <v>2.7351415660546046</v>
      </c>
      <c r="P300" s="147">
        <f>_xlfn.SWITCH(P135,1,P259,THIN!$F$9+1,P259-THIN!$F$33*O259,P259-O259)</f>
        <v>2.7791105538674721</v>
      </c>
      <c r="Q300" s="147">
        <f>_xlfn.SWITCH(Q135,1,Q259,THIN!$F$9+1,Q259-THIN!$F$33*P259,Q259-P259)</f>
        <v>2.8065991575093356</v>
      </c>
      <c r="R300" s="147">
        <f>_xlfn.SWITCH(R135,1,R259,THIN!$F$9+1,R259-THIN!$F$33*Q259,R259-Q259)</f>
        <v>2.8190170305738036</v>
      </c>
      <c r="S300" s="147">
        <f>_xlfn.SWITCH(S135,1,S259,THIN!$F$9+1,S259-THIN!$F$33*R259,S259-R259)</f>
        <v>2.8178092665428665</v>
      </c>
      <c r="T300" s="147">
        <f>_xlfn.SWITCH(T135,1,T259,THIN!$F$9+1,T259-THIN!$F$33*S259,T259-S259)</f>
        <v>2.804416107421595</v>
      </c>
      <c r="U300" s="147">
        <f>_xlfn.SWITCH(U135,1,U259,THIN!$F$9+1,U259-THIN!$F$33*T259,U259-T259)</f>
        <v>1.3801503036642727E-2</v>
      </c>
      <c r="V300" s="147">
        <f>_xlfn.SWITCH(V135,1,V259,THIN!$F$9+1,V259-THIN!$F$33*U259,V259-U259)</f>
        <v>8.870660069358649E-2</v>
      </c>
      <c r="W300" s="147">
        <f>_xlfn.SWITCH(W135,1,W259,THIN!$F$9+1,W259-THIN!$F$33*V259,W259-V259)</f>
        <v>0.21889250191111381</v>
      </c>
      <c r="X300" s="147">
        <f>_xlfn.SWITCH(X135,1,X259,THIN!$F$9+1,X259-THIN!$F$33*W259,X259-W259)</f>
        <v>0.38679027443885877</v>
      </c>
      <c r="Y300" s="147">
        <f>_xlfn.SWITCH(Y135,1,Y259,THIN!$F$9+1,Y259-THIN!$F$33*X259,Y259-X259)</f>
        <v>0.57839942135411293</v>
      </c>
      <c r="Z300" s="147">
        <f>_xlfn.SWITCH(Z135,1,Z259,THIN!$F$9+1,Z259-THIN!$F$33*Y259,Z259-Y259)</f>
        <v>0.7826745636946395</v>
      </c>
      <c r="AA300" s="147">
        <f>_xlfn.SWITCH(AA135,1,AA259,THIN!$F$9+1,AA259-THIN!$F$33*Z259,AA259-Z259)</f>
        <v>0.99100916955596396</v>
      </c>
      <c r="AB300" s="147">
        <f>_xlfn.SWITCH(AB135,1,AB259,THIN!$F$9+1,AB259-THIN!$F$33*AA259,AB259-AA259)</f>
        <v>1.1968016682944005</v>
      </c>
      <c r="AC300" s="147">
        <f>_xlfn.SWITCH(AC135,1,AC259,THIN!$F$9+1,AC259-THIN!$F$33*AB259,AC259-AB259)</f>
        <v>1.3950914428611982</v>
      </c>
      <c r="AD300" s="147">
        <f>_xlfn.SWITCH(AD135,1,AD259,THIN!$F$9+1,AD259-THIN!$F$33*AC259,AD259-AC259)</f>
        <v>1.5822540365492577</v>
      </c>
      <c r="AE300" s="147">
        <f>_xlfn.SWITCH(AE135,1,AE259,THIN!$F$9+1,AE259-THIN!$F$33*AD259,AE259-AD259)</f>
        <v>1.7557464869953625</v>
      </c>
      <c r="AF300" s="147">
        <f>_xlfn.SWITCH(AF135,1,AF259,THIN!$F$9+1,AF259-THIN!$F$33*AE259,AF259-AE259)</f>
        <v>1.9138950482816846</v>
      </c>
      <c r="AG300" s="147">
        <f>_xlfn.SWITCH(AG135,1,AG259,THIN!$F$9+1,AG259-THIN!$F$33*AF259,AG259-AF259)</f>
        <v>2.0557187141442146</v>
      </c>
      <c r="AH300" s="147">
        <f>_xlfn.SWITCH(AH135,1,AH259,THIN!$F$9+1,AH259-THIN!$F$33*AG259,AH259-AG259)</f>
        <v>2.1807829396979503</v>
      </c>
      <c r="AI300" s="147">
        <f>_xlfn.SWITCH(AI135,1,AI259,THIN!$F$9+1,AI259-THIN!$F$33*AH259,AI259-AH259)</f>
        <v>2.2890787998168136</v>
      </c>
      <c r="AJ300" s="147">
        <f>_xlfn.SWITCH(AJ135,1,AJ259,THIN!$F$9+1,AJ259-THIN!$F$33*AI259,AJ259-AI259)</f>
        <v>0.59253502187002027</v>
      </c>
      <c r="AK300" s="147">
        <f>_xlfn.SWITCH(AK135,1,AK259,THIN!$F$9+1,AK259-THIN!$F$33*AJ259,AK259-AJ259)</f>
        <v>2.3707917230795683</v>
      </c>
      <c r="AL300" s="147">
        <f>_xlfn.SWITCH(AL135,1,AL259,THIN!$F$9+1,AL259-THIN!$F$33*AK259,AL259-AK259)</f>
        <v>2.4919688474695185</v>
      </c>
      <c r="AM300" s="147">
        <f>_xlfn.SWITCH(AM135,1,AM259,THIN!$F$9+1,AM259-THIN!$F$33*AL259,AM259-AL259)</f>
        <v>2.5926248904541112</v>
      </c>
      <c r="AN300" s="147">
        <f>_xlfn.SWITCH(AN135,1,AN259,THIN!$F$9+1,AN259-THIN!$F$33*AM259,AN259-AM259)</f>
        <v>2.6733697536680552</v>
      </c>
      <c r="AO300" s="147">
        <f>_xlfn.SWITCH(AO135,1,AO259,THIN!$F$9+1,AO259-THIN!$F$33*AN259,AO259-AN259)</f>
        <v>2.7351415660546046</v>
      </c>
      <c r="AP300" s="147">
        <f>_xlfn.SWITCH(AP135,1,AP259,THIN!$F$9+1,AP259-THIN!$F$33*AO259,AP259-AO259)</f>
        <v>2.7791105538674721</v>
      </c>
      <c r="AQ300" s="147">
        <f>_xlfn.SWITCH(AQ135,1,AQ259,THIN!$F$9+1,AQ259-THIN!$F$33*AP259,AQ259-AP259)</f>
        <v>2.8065991575093356</v>
      </c>
      <c r="AR300" s="147">
        <f>_xlfn.SWITCH(AR135,1,AR259,THIN!$F$9+1,AR259-THIN!$F$33*AQ259,AR259-AQ259)</f>
        <v>2.8190170305738036</v>
      </c>
      <c r="AS300" s="147">
        <f>_xlfn.SWITCH(AS135,1,AS259,THIN!$F$9+1,AS259-THIN!$F$33*AR259,AS259-AR259)</f>
        <v>2.8178092665428665</v>
      </c>
      <c r="AT300" s="147">
        <f>_xlfn.SWITCH(AT135,1,AT259,THIN!$F$9+1,AT259-THIN!$F$33*AS259,AT259-AS259)</f>
        <v>2.804416107421595</v>
      </c>
      <c r="AU300" s="147">
        <f>_xlfn.SWITCH(AU135,1,AU259,THIN!$F$9+1,AU259-THIN!$F$33*AT259,AU259-AT259)</f>
        <v>1.3801503036642727E-2</v>
      </c>
      <c r="AV300" s="147">
        <f>_xlfn.SWITCH(AV135,1,AV259,THIN!$F$9+1,AV259-THIN!$F$33*AU259,AV259-AU259)</f>
        <v>8.870660069358649E-2</v>
      </c>
    </row>
    <row r="301" spans="2:48" ht="12.95" customHeight="1" x14ac:dyDescent="0.2">
      <c r="B301" s="14"/>
      <c r="C301" s="372">
        <v>3</v>
      </c>
      <c r="D301" s="372"/>
      <c r="E301" s="372"/>
      <c r="F301" s="253" t="s">
        <v>493</v>
      </c>
      <c r="G301" s="253" t="s">
        <v>395</v>
      </c>
      <c r="H301" s="277"/>
      <c r="I301" s="147"/>
      <c r="J301" s="147"/>
      <c r="K301" s="147">
        <f>_xlfn.SWITCH(K136,1,K260,THIN!$F$9+1,K260-THIN!$F$33*J260,K260-J260)</f>
        <v>0.59253502187002027</v>
      </c>
      <c r="L301" s="147">
        <f>_xlfn.SWITCH(L136,1,L260,THIN!$F$9+1,L260-THIN!$F$33*K260,L260-K260)</f>
        <v>2.3707917230795683</v>
      </c>
      <c r="M301" s="147">
        <f>_xlfn.SWITCH(M136,1,M260,THIN!$F$9+1,M260-THIN!$F$33*L260,M260-L260)</f>
        <v>2.4919688474695185</v>
      </c>
      <c r="N301" s="147">
        <f>_xlfn.SWITCH(N136,1,N260,THIN!$F$9+1,N260-THIN!$F$33*M260,N260-M260)</f>
        <v>2.5926248904541112</v>
      </c>
      <c r="O301" s="147">
        <f>_xlfn.SWITCH(O136,1,O260,THIN!$F$9+1,O260-THIN!$F$33*N260,O260-N260)</f>
        <v>2.6733697536680552</v>
      </c>
      <c r="P301" s="147">
        <f>_xlfn.SWITCH(P136,1,P260,THIN!$F$9+1,P260-THIN!$F$33*O260,P260-O260)</f>
        <v>2.7351415660546046</v>
      </c>
      <c r="Q301" s="147">
        <f>_xlfn.SWITCH(Q136,1,Q260,THIN!$F$9+1,Q260-THIN!$F$33*P260,Q260-P260)</f>
        <v>2.7791105538674721</v>
      </c>
      <c r="R301" s="147">
        <f>_xlfn.SWITCH(R136,1,R260,THIN!$F$9+1,R260-THIN!$F$33*Q260,R260-Q260)</f>
        <v>2.8065991575093356</v>
      </c>
      <c r="S301" s="147">
        <f>_xlfn.SWITCH(S136,1,S260,THIN!$F$9+1,S260-THIN!$F$33*R260,S260-R260)</f>
        <v>2.8190170305738036</v>
      </c>
      <c r="T301" s="147">
        <f>_xlfn.SWITCH(T136,1,T260,THIN!$F$9+1,T260-THIN!$F$33*S260,T260-S260)</f>
        <v>2.8178092665428665</v>
      </c>
      <c r="U301" s="147">
        <f>_xlfn.SWITCH(U136,1,U260,THIN!$F$9+1,U260-THIN!$F$33*T260,U260-T260)</f>
        <v>2.804416107421595</v>
      </c>
      <c r="V301" s="147">
        <f>_xlfn.SWITCH(V136,1,V260,THIN!$F$9+1,V260-THIN!$F$33*U260,V260-U260)</f>
        <v>1.3801503036642727E-2</v>
      </c>
      <c r="W301" s="147">
        <f>_xlfn.SWITCH(W136,1,W260,THIN!$F$9+1,W260-THIN!$F$33*V260,W260-V260)</f>
        <v>8.870660069358649E-2</v>
      </c>
      <c r="X301" s="147">
        <f>_xlfn.SWITCH(X136,1,X260,THIN!$F$9+1,X260-THIN!$F$33*W260,X260-W260)</f>
        <v>0.21889250191111381</v>
      </c>
      <c r="Y301" s="147">
        <f>_xlfn.SWITCH(Y136,1,Y260,THIN!$F$9+1,Y260-THIN!$F$33*X260,Y260-X260)</f>
        <v>0.38679027443885877</v>
      </c>
      <c r="Z301" s="147">
        <f>_xlfn.SWITCH(Z136,1,Z260,THIN!$F$9+1,Z260-THIN!$F$33*Y260,Z260-Y260)</f>
        <v>0.57839942135411293</v>
      </c>
      <c r="AA301" s="147">
        <f>_xlfn.SWITCH(AA136,1,AA260,THIN!$F$9+1,AA260-THIN!$F$33*Z260,AA260-Z260)</f>
        <v>0.7826745636946395</v>
      </c>
      <c r="AB301" s="147">
        <f>_xlfn.SWITCH(AB136,1,AB260,THIN!$F$9+1,AB260-THIN!$F$33*AA260,AB260-AA260)</f>
        <v>0.99100916955596396</v>
      </c>
      <c r="AC301" s="147">
        <f>_xlfn.SWITCH(AC136,1,AC260,THIN!$F$9+1,AC260-THIN!$F$33*AB260,AC260-AB260)</f>
        <v>1.1968016682944005</v>
      </c>
      <c r="AD301" s="147">
        <f>_xlfn.SWITCH(AD136,1,AD260,THIN!$F$9+1,AD260-THIN!$F$33*AC260,AD260-AC260)</f>
        <v>1.3950914428611982</v>
      </c>
      <c r="AE301" s="147">
        <f>_xlfn.SWITCH(AE136,1,AE260,THIN!$F$9+1,AE260-THIN!$F$33*AD260,AE260-AD260)</f>
        <v>1.5822540365492577</v>
      </c>
      <c r="AF301" s="147">
        <f>_xlfn.SWITCH(AF136,1,AF260,THIN!$F$9+1,AF260-THIN!$F$33*AE260,AF260-AE260)</f>
        <v>1.7557464869953625</v>
      </c>
      <c r="AG301" s="147">
        <f>_xlfn.SWITCH(AG136,1,AG260,THIN!$F$9+1,AG260-THIN!$F$33*AF260,AG260-AF260)</f>
        <v>1.9138950482816846</v>
      </c>
      <c r="AH301" s="147">
        <f>_xlfn.SWITCH(AH136,1,AH260,THIN!$F$9+1,AH260-THIN!$F$33*AG260,AH260-AG260)</f>
        <v>2.0557187141442146</v>
      </c>
      <c r="AI301" s="147">
        <f>_xlfn.SWITCH(AI136,1,AI260,THIN!$F$9+1,AI260-THIN!$F$33*AH260,AI260-AH260)</f>
        <v>2.1807829396979503</v>
      </c>
      <c r="AJ301" s="147">
        <f>_xlfn.SWITCH(AJ136,1,AJ260,THIN!$F$9+1,AJ260-THIN!$F$33*AI260,AJ260-AI260)</f>
        <v>2.2890787998168136</v>
      </c>
      <c r="AK301" s="147">
        <f>_xlfn.SWITCH(AK136,1,AK260,THIN!$F$9+1,AK260-THIN!$F$33*AJ260,AK260-AJ260)</f>
        <v>0.59253502187002027</v>
      </c>
      <c r="AL301" s="147">
        <f>_xlfn.SWITCH(AL136,1,AL260,THIN!$F$9+1,AL260-THIN!$F$33*AK260,AL260-AK260)</f>
        <v>2.3707917230795683</v>
      </c>
      <c r="AM301" s="147">
        <f>_xlfn.SWITCH(AM136,1,AM260,THIN!$F$9+1,AM260-THIN!$F$33*AL260,AM260-AL260)</f>
        <v>2.4919688474695185</v>
      </c>
      <c r="AN301" s="147">
        <f>_xlfn.SWITCH(AN136,1,AN260,THIN!$F$9+1,AN260-THIN!$F$33*AM260,AN260-AM260)</f>
        <v>2.5926248904541112</v>
      </c>
      <c r="AO301" s="147">
        <f>_xlfn.SWITCH(AO136,1,AO260,THIN!$F$9+1,AO260-THIN!$F$33*AN260,AO260-AN260)</f>
        <v>2.6733697536680552</v>
      </c>
      <c r="AP301" s="147">
        <f>_xlfn.SWITCH(AP136,1,AP260,THIN!$F$9+1,AP260-THIN!$F$33*AO260,AP260-AO260)</f>
        <v>2.7351415660546046</v>
      </c>
      <c r="AQ301" s="147">
        <f>_xlfn.SWITCH(AQ136,1,AQ260,THIN!$F$9+1,AQ260-THIN!$F$33*AP260,AQ260-AP260)</f>
        <v>2.7791105538674721</v>
      </c>
      <c r="AR301" s="147">
        <f>_xlfn.SWITCH(AR136,1,AR260,THIN!$F$9+1,AR260-THIN!$F$33*AQ260,AR260-AQ260)</f>
        <v>2.8065991575093356</v>
      </c>
      <c r="AS301" s="147">
        <f>_xlfn.SWITCH(AS136,1,AS260,THIN!$F$9+1,AS260-THIN!$F$33*AR260,AS260-AR260)</f>
        <v>2.8190170305738036</v>
      </c>
      <c r="AT301" s="147">
        <f>_xlfn.SWITCH(AT136,1,AT260,THIN!$F$9+1,AT260-THIN!$F$33*AS260,AT260-AS260)</f>
        <v>2.8178092665428665</v>
      </c>
      <c r="AU301" s="147">
        <f>_xlfn.SWITCH(AU136,1,AU260,THIN!$F$9+1,AU260-THIN!$F$33*AT260,AU260-AT260)</f>
        <v>2.804416107421595</v>
      </c>
      <c r="AV301" s="147">
        <f>_xlfn.SWITCH(AV136,1,AV260,THIN!$F$9+1,AV260-THIN!$F$33*AU260,AV260-AU260)</f>
        <v>1.3801503036642727E-2</v>
      </c>
    </row>
    <row r="302" spans="2:48" ht="12.95" customHeight="1" x14ac:dyDescent="0.2">
      <c r="B302" s="14"/>
      <c r="C302" s="372">
        <v>4</v>
      </c>
      <c r="D302" s="372"/>
      <c r="E302" s="372"/>
      <c r="F302" s="253" t="s">
        <v>493</v>
      </c>
      <c r="G302" s="253" t="s">
        <v>395</v>
      </c>
      <c r="H302" s="277"/>
      <c r="I302" s="147"/>
      <c r="J302" s="147"/>
      <c r="K302" s="147"/>
      <c r="L302" s="147">
        <f>_xlfn.SWITCH(L137,1,L261,THIN!$F$9+1,L261-THIN!$F$33*K261,L261-K261)</f>
        <v>0.59253502187002027</v>
      </c>
      <c r="M302" s="147">
        <f>_xlfn.SWITCH(M137,1,M261,THIN!$F$9+1,M261-THIN!$F$33*L261,M261-L261)</f>
        <v>2.3707917230795683</v>
      </c>
      <c r="N302" s="147">
        <f>_xlfn.SWITCH(N137,1,N261,THIN!$F$9+1,N261-THIN!$F$33*M261,N261-M261)</f>
        <v>2.4919688474695185</v>
      </c>
      <c r="O302" s="147">
        <f>_xlfn.SWITCH(O137,1,O261,THIN!$F$9+1,O261-THIN!$F$33*N261,O261-N261)</f>
        <v>2.5926248904541112</v>
      </c>
      <c r="P302" s="147">
        <f>_xlfn.SWITCH(P137,1,P261,THIN!$F$9+1,P261-THIN!$F$33*O261,P261-O261)</f>
        <v>2.6733697536680552</v>
      </c>
      <c r="Q302" s="147">
        <f>_xlfn.SWITCH(Q137,1,Q261,THIN!$F$9+1,Q261-THIN!$F$33*P261,Q261-P261)</f>
        <v>2.7351415660546046</v>
      </c>
      <c r="R302" s="147">
        <f>_xlfn.SWITCH(R137,1,R261,THIN!$F$9+1,R261-THIN!$F$33*Q261,R261-Q261)</f>
        <v>2.7791105538674721</v>
      </c>
      <c r="S302" s="147">
        <f>_xlfn.SWITCH(S137,1,S261,THIN!$F$9+1,S261-THIN!$F$33*R261,S261-R261)</f>
        <v>2.8065991575093356</v>
      </c>
      <c r="T302" s="147">
        <f>_xlfn.SWITCH(T137,1,T261,THIN!$F$9+1,T261-THIN!$F$33*S261,T261-S261)</f>
        <v>2.8190170305738036</v>
      </c>
      <c r="U302" s="147">
        <f>_xlfn.SWITCH(U137,1,U261,THIN!$F$9+1,U261-THIN!$F$33*T261,U261-T261)</f>
        <v>2.8178092665428665</v>
      </c>
      <c r="V302" s="147">
        <f>_xlfn.SWITCH(V137,1,V261,THIN!$F$9+1,V261-THIN!$F$33*U261,V261-U261)</f>
        <v>2.804416107421595</v>
      </c>
      <c r="W302" s="147">
        <f>_xlfn.SWITCH(W137,1,W261,THIN!$F$9+1,W261-THIN!$F$33*V261,W261-V261)</f>
        <v>1.3801503036642727E-2</v>
      </c>
      <c r="X302" s="147">
        <f>_xlfn.SWITCH(X137,1,X261,THIN!$F$9+1,X261-THIN!$F$33*W261,X261-W261)</f>
        <v>8.870660069358649E-2</v>
      </c>
      <c r="Y302" s="147">
        <f>_xlfn.SWITCH(Y137,1,Y261,THIN!$F$9+1,Y261-THIN!$F$33*X261,Y261-X261)</f>
        <v>0.21889250191111381</v>
      </c>
      <c r="Z302" s="147">
        <f>_xlfn.SWITCH(Z137,1,Z261,THIN!$F$9+1,Z261-THIN!$F$33*Y261,Z261-Y261)</f>
        <v>0.38679027443885877</v>
      </c>
      <c r="AA302" s="147">
        <f>_xlfn.SWITCH(AA137,1,AA261,THIN!$F$9+1,AA261-THIN!$F$33*Z261,AA261-Z261)</f>
        <v>0.57839942135411293</v>
      </c>
      <c r="AB302" s="147">
        <f>_xlfn.SWITCH(AB137,1,AB261,THIN!$F$9+1,AB261-THIN!$F$33*AA261,AB261-AA261)</f>
        <v>0.7826745636946395</v>
      </c>
      <c r="AC302" s="147">
        <f>_xlfn.SWITCH(AC137,1,AC261,THIN!$F$9+1,AC261-THIN!$F$33*AB261,AC261-AB261)</f>
        <v>0.99100916955596396</v>
      </c>
      <c r="AD302" s="147">
        <f>_xlfn.SWITCH(AD137,1,AD261,THIN!$F$9+1,AD261-THIN!$F$33*AC261,AD261-AC261)</f>
        <v>1.1968016682944005</v>
      </c>
      <c r="AE302" s="147">
        <f>_xlfn.SWITCH(AE137,1,AE261,THIN!$F$9+1,AE261-THIN!$F$33*AD261,AE261-AD261)</f>
        <v>1.3950914428611982</v>
      </c>
      <c r="AF302" s="147">
        <f>_xlfn.SWITCH(AF137,1,AF261,THIN!$F$9+1,AF261-THIN!$F$33*AE261,AF261-AE261)</f>
        <v>1.5822540365492577</v>
      </c>
      <c r="AG302" s="147">
        <f>_xlfn.SWITCH(AG137,1,AG261,THIN!$F$9+1,AG261-THIN!$F$33*AF261,AG261-AF261)</f>
        <v>1.7557464869953625</v>
      </c>
      <c r="AH302" s="147">
        <f>_xlfn.SWITCH(AH137,1,AH261,THIN!$F$9+1,AH261-THIN!$F$33*AG261,AH261-AG261)</f>
        <v>1.9138950482816846</v>
      </c>
      <c r="AI302" s="147">
        <f>_xlfn.SWITCH(AI137,1,AI261,THIN!$F$9+1,AI261-THIN!$F$33*AH261,AI261-AH261)</f>
        <v>2.0557187141442146</v>
      </c>
      <c r="AJ302" s="147">
        <f>_xlfn.SWITCH(AJ137,1,AJ261,THIN!$F$9+1,AJ261-THIN!$F$33*AI261,AJ261-AI261)</f>
        <v>2.1807829396979503</v>
      </c>
      <c r="AK302" s="147">
        <f>_xlfn.SWITCH(AK137,1,AK261,THIN!$F$9+1,AK261-THIN!$F$33*AJ261,AK261-AJ261)</f>
        <v>2.2890787998168136</v>
      </c>
      <c r="AL302" s="147">
        <f>_xlfn.SWITCH(AL137,1,AL261,THIN!$F$9+1,AL261-THIN!$F$33*AK261,AL261-AK261)</f>
        <v>0.59253502187002027</v>
      </c>
      <c r="AM302" s="147">
        <f>_xlfn.SWITCH(AM137,1,AM261,THIN!$F$9+1,AM261-THIN!$F$33*AL261,AM261-AL261)</f>
        <v>2.3707917230795683</v>
      </c>
      <c r="AN302" s="147">
        <f>_xlfn.SWITCH(AN137,1,AN261,THIN!$F$9+1,AN261-THIN!$F$33*AM261,AN261-AM261)</f>
        <v>2.4919688474695185</v>
      </c>
      <c r="AO302" s="147">
        <f>_xlfn.SWITCH(AO137,1,AO261,THIN!$F$9+1,AO261-THIN!$F$33*AN261,AO261-AN261)</f>
        <v>2.5926248904541112</v>
      </c>
      <c r="AP302" s="147">
        <f>_xlfn.SWITCH(AP137,1,AP261,THIN!$F$9+1,AP261-THIN!$F$33*AO261,AP261-AO261)</f>
        <v>2.6733697536680552</v>
      </c>
      <c r="AQ302" s="147">
        <f>_xlfn.SWITCH(AQ137,1,AQ261,THIN!$F$9+1,AQ261-THIN!$F$33*AP261,AQ261-AP261)</f>
        <v>2.7351415660546046</v>
      </c>
      <c r="AR302" s="147">
        <f>_xlfn.SWITCH(AR137,1,AR261,THIN!$F$9+1,AR261-THIN!$F$33*AQ261,AR261-AQ261)</f>
        <v>2.7791105538674721</v>
      </c>
      <c r="AS302" s="147">
        <f>_xlfn.SWITCH(AS137,1,AS261,THIN!$F$9+1,AS261-THIN!$F$33*AR261,AS261-AR261)</f>
        <v>2.8065991575093356</v>
      </c>
      <c r="AT302" s="147">
        <f>_xlfn.SWITCH(AT137,1,AT261,THIN!$F$9+1,AT261-THIN!$F$33*AS261,AT261-AS261)</f>
        <v>2.8190170305738036</v>
      </c>
      <c r="AU302" s="147">
        <f>_xlfn.SWITCH(AU137,1,AU261,THIN!$F$9+1,AU261-THIN!$F$33*AT261,AU261-AT261)</f>
        <v>2.8178092665428665</v>
      </c>
      <c r="AV302" s="147">
        <f>_xlfn.SWITCH(AV137,1,AV261,THIN!$F$9+1,AV261-THIN!$F$33*AU261,AV261-AU261)</f>
        <v>2.804416107421595</v>
      </c>
    </row>
    <row r="303" spans="2:48" ht="12.95" customHeight="1" x14ac:dyDescent="0.2">
      <c r="B303" s="14"/>
      <c r="C303" s="372">
        <v>5</v>
      </c>
      <c r="D303" s="372"/>
      <c r="E303" s="372"/>
      <c r="F303" s="253" t="s">
        <v>493</v>
      </c>
      <c r="G303" s="253" t="s">
        <v>395</v>
      </c>
      <c r="H303" s="277"/>
      <c r="I303" s="147"/>
      <c r="J303" s="147"/>
      <c r="K303" s="147"/>
      <c r="L303" s="147"/>
      <c r="M303" s="147">
        <f>_xlfn.SWITCH(M138,1,M262,THIN!$F$9+1,M262-THIN!$F$33*L262,M262-L262)</f>
        <v>0.59253502187002027</v>
      </c>
      <c r="N303" s="147">
        <f>_xlfn.SWITCH(N138,1,N262,THIN!$F$9+1,N262-THIN!$F$33*M262,N262-M262)</f>
        <v>2.3707917230795683</v>
      </c>
      <c r="O303" s="147">
        <f>_xlfn.SWITCH(O138,1,O262,THIN!$F$9+1,O262-THIN!$F$33*N262,O262-N262)</f>
        <v>2.4919688474695185</v>
      </c>
      <c r="P303" s="147">
        <f>_xlfn.SWITCH(P138,1,P262,THIN!$F$9+1,P262-THIN!$F$33*O262,P262-O262)</f>
        <v>2.5926248904541112</v>
      </c>
      <c r="Q303" s="147">
        <f>_xlfn.SWITCH(Q138,1,Q262,THIN!$F$9+1,Q262-THIN!$F$33*P262,Q262-P262)</f>
        <v>2.6733697536680552</v>
      </c>
      <c r="R303" s="147">
        <f>_xlfn.SWITCH(R138,1,R262,THIN!$F$9+1,R262-THIN!$F$33*Q262,R262-Q262)</f>
        <v>2.7351415660546046</v>
      </c>
      <c r="S303" s="147">
        <f>_xlfn.SWITCH(S138,1,S262,THIN!$F$9+1,S262-THIN!$F$33*R262,S262-R262)</f>
        <v>2.7791105538674721</v>
      </c>
      <c r="T303" s="147">
        <f>_xlfn.SWITCH(T138,1,T262,THIN!$F$9+1,T262-THIN!$F$33*S262,T262-S262)</f>
        <v>2.8065991575093356</v>
      </c>
      <c r="U303" s="147">
        <f>_xlfn.SWITCH(U138,1,U262,THIN!$F$9+1,U262-THIN!$F$33*T262,U262-T262)</f>
        <v>2.8190170305738036</v>
      </c>
      <c r="V303" s="147">
        <f>_xlfn.SWITCH(V138,1,V262,THIN!$F$9+1,V262-THIN!$F$33*U262,V262-U262)</f>
        <v>2.8178092665428665</v>
      </c>
      <c r="W303" s="147">
        <f>_xlfn.SWITCH(W138,1,W262,THIN!$F$9+1,W262-THIN!$F$33*V262,W262-V262)</f>
        <v>2.804416107421595</v>
      </c>
      <c r="X303" s="147">
        <f>_xlfn.SWITCH(X138,1,X262,THIN!$F$9+1,X262-THIN!$F$33*W262,X262-W262)</f>
        <v>1.3801503036642727E-2</v>
      </c>
      <c r="Y303" s="147">
        <f>_xlfn.SWITCH(Y138,1,Y262,THIN!$F$9+1,Y262-THIN!$F$33*X262,Y262-X262)</f>
        <v>8.870660069358649E-2</v>
      </c>
      <c r="Z303" s="147">
        <f>_xlfn.SWITCH(Z138,1,Z262,THIN!$F$9+1,Z262-THIN!$F$33*Y262,Z262-Y262)</f>
        <v>0.21889250191111381</v>
      </c>
      <c r="AA303" s="147">
        <f>_xlfn.SWITCH(AA138,1,AA262,THIN!$F$9+1,AA262-THIN!$F$33*Z262,AA262-Z262)</f>
        <v>0.38679027443885877</v>
      </c>
      <c r="AB303" s="147">
        <f>_xlfn.SWITCH(AB138,1,AB262,THIN!$F$9+1,AB262-THIN!$F$33*AA262,AB262-AA262)</f>
        <v>0.57839942135411293</v>
      </c>
      <c r="AC303" s="147">
        <f>_xlfn.SWITCH(AC138,1,AC262,THIN!$F$9+1,AC262-THIN!$F$33*AB262,AC262-AB262)</f>
        <v>0.7826745636946395</v>
      </c>
      <c r="AD303" s="147">
        <f>_xlfn.SWITCH(AD138,1,AD262,THIN!$F$9+1,AD262-THIN!$F$33*AC262,AD262-AC262)</f>
        <v>0.99100916955596396</v>
      </c>
      <c r="AE303" s="147">
        <f>_xlfn.SWITCH(AE138,1,AE262,THIN!$F$9+1,AE262-THIN!$F$33*AD262,AE262-AD262)</f>
        <v>1.1968016682944005</v>
      </c>
      <c r="AF303" s="147">
        <f>_xlfn.SWITCH(AF138,1,AF262,THIN!$F$9+1,AF262-THIN!$F$33*AE262,AF262-AE262)</f>
        <v>1.3950914428611982</v>
      </c>
      <c r="AG303" s="147">
        <f>_xlfn.SWITCH(AG138,1,AG262,THIN!$F$9+1,AG262-THIN!$F$33*AF262,AG262-AF262)</f>
        <v>1.5822540365492577</v>
      </c>
      <c r="AH303" s="147">
        <f>_xlfn.SWITCH(AH138,1,AH262,THIN!$F$9+1,AH262-THIN!$F$33*AG262,AH262-AG262)</f>
        <v>1.7557464869953625</v>
      </c>
      <c r="AI303" s="147">
        <f>_xlfn.SWITCH(AI138,1,AI262,THIN!$F$9+1,AI262-THIN!$F$33*AH262,AI262-AH262)</f>
        <v>1.9138950482816846</v>
      </c>
      <c r="AJ303" s="147">
        <f>_xlfn.SWITCH(AJ138,1,AJ262,THIN!$F$9+1,AJ262-THIN!$F$33*AI262,AJ262-AI262)</f>
        <v>2.0557187141442146</v>
      </c>
      <c r="AK303" s="147">
        <f>_xlfn.SWITCH(AK138,1,AK262,THIN!$F$9+1,AK262-THIN!$F$33*AJ262,AK262-AJ262)</f>
        <v>2.1807829396979503</v>
      </c>
      <c r="AL303" s="147">
        <f>_xlfn.SWITCH(AL138,1,AL262,THIN!$F$9+1,AL262-THIN!$F$33*AK262,AL262-AK262)</f>
        <v>2.2890787998168136</v>
      </c>
      <c r="AM303" s="147">
        <f>_xlfn.SWITCH(AM138,1,AM262,THIN!$F$9+1,AM262-THIN!$F$33*AL262,AM262-AL262)</f>
        <v>0.59253502187002027</v>
      </c>
      <c r="AN303" s="147">
        <f>_xlfn.SWITCH(AN138,1,AN262,THIN!$F$9+1,AN262-THIN!$F$33*AM262,AN262-AM262)</f>
        <v>2.3707917230795683</v>
      </c>
      <c r="AO303" s="147">
        <f>_xlfn.SWITCH(AO138,1,AO262,THIN!$F$9+1,AO262-THIN!$F$33*AN262,AO262-AN262)</f>
        <v>2.4919688474695185</v>
      </c>
      <c r="AP303" s="147">
        <f>_xlfn.SWITCH(AP138,1,AP262,THIN!$F$9+1,AP262-THIN!$F$33*AO262,AP262-AO262)</f>
        <v>2.5926248904541112</v>
      </c>
      <c r="AQ303" s="147">
        <f>_xlfn.SWITCH(AQ138,1,AQ262,THIN!$F$9+1,AQ262-THIN!$F$33*AP262,AQ262-AP262)</f>
        <v>2.6733697536680552</v>
      </c>
      <c r="AR303" s="147">
        <f>_xlfn.SWITCH(AR138,1,AR262,THIN!$F$9+1,AR262-THIN!$F$33*AQ262,AR262-AQ262)</f>
        <v>2.7351415660546046</v>
      </c>
      <c r="AS303" s="147">
        <f>_xlfn.SWITCH(AS138,1,AS262,THIN!$F$9+1,AS262-THIN!$F$33*AR262,AS262-AR262)</f>
        <v>2.7791105538674721</v>
      </c>
      <c r="AT303" s="147">
        <f>_xlfn.SWITCH(AT138,1,AT262,THIN!$F$9+1,AT262-THIN!$F$33*AS262,AT262-AS262)</f>
        <v>2.8065991575093356</v>
      </c>
      <c r="AU303" s="147">
        <f>_xlfn.SWITCH(AU138,1,AU262,THIN!$F$9+1,AU262-THIN!$F$33*AT262,AU262-AT262)</f>
        <v>2.8190170305738036</v>
      </c>
      <c r="AV303" s="147">
        <f>_xlfn.SWITCH(AV138,1,AV262,THIN!$F$9+1,AV262-THIN!$F$33*AU262,AV262-AU262)</f>
        <v>2.8178092665428665</v>
      </c>
    </row>
    <row r="304" spans="2:48" ht="12.95" customHeight="1" x14ac:dyDescent="0.2">
      <c r="B304" s="14"/>
      <c r="C304" s="372">
        <v>6</v>
      </c>
      <c r="D304" s="372"/>
      <c r="E304" s="372"/>
      <c r="F304" s="253" t="s">
        <v>493</v>
      </c>
      <c r="G304" s="253" t="s">
        <v>395</v>
      </c>
      <c r="H304" s="277"/>
      <c r="I304" s="147"/>
      <c r="J304" s="147"/>
      <c r="K304" s="147"/>
      <c r="L304" s="147"/>
      <c r="M304" s="147"/>
      <c r="N304" s="147">
        <f>_xlfn.SWITCH(N139,1,N263,THIN!$F$9+1,N263-THIN!$F$33*M263,N263-M263)</f>
        <v>0.59253502187002027</v>
      </c>
      <c r="O304" s="147">
        <f>_xlfn.SWITCH(O139,1,O263,THIN!$F$9+1,O263-THIN!$F$33*N263,O263-N263)</f>
        <v>2.3707917230795683</v>
      </c>
      <c r="P304" s="147">
        <f>_xlfn.SWITCH(P139,1,P263,THIN!$F$9+1,P263-THIN!$F$33*O263,P263-O263)</f>
        <v>2.4919688474695185</v>
      </c>
      <c r="Q304" s="147">
        <f>_xlfn.SWITCH(Q139,1,Q263,THIN!$F$9+1,Q263-THIN!$F$33*P263,Q263-P263)</f>
        <v>2.5926248904541112</v>
      </c>
      <c r="R304" s="147">
        <f>_xlfn.SWITCH(R139,1,R263,THIN!$F$9+1,R263-THIN!$F$33*Q263,R263-Q263)</f>
        <v>2.6733697536680552</v>
      </c>
      <c r="S304" s="147">
        <f>_xlfn.SWITCH(S139,1,S263,THIN!$F$9+1,S263-THIN!$F$33*R263,S263-R263)</f>
        <v>2.7351415660546046</v>
      </c>
      <c r="T304" s="147">
        <f>_xlfn.SWITCH(T139,1,T263,THIN!$F$9+1,T263-THIN!$F$33*S263,T263-S263)</f>
        <v>2.7791105538674721</v>
      </c>
      <c r="U304" s="147">
        <f>_xlfn.SWITCH(U139,1,U263,THIN!$F$9+1,U263-THIN!$F$33*T263,U263-T263)</f>
        <v>2.8065991575093356</v>
      </c>
      <c r="V304" s="147">
        <f>_xlfn.SWITCH(V139,1,V263,THIN!$F$9+1,V263-THIN!$F$33*U263,V263-U263)</f>
        <v>2.8190170305738036</v>
      </c>
      <c r="W304" s="147">
        <f>_xlfn.SWITCH(W139,1,W263,THIN!$F$9+1,W263-THIN!$F$33*V263,W263-V263)</f>
        <v>2.8178092665428665</v>
      </c>
      <c r="X304" s="147">
        <f>_xlfn.SWITCH(X139,1,X263,THIN!$F$9+1,X263-THIN!$F$33*W263,X263-W263)</f>
        <v>2.804416107421595</v>
      </c>
      <c r="Y304" s="147">
        <f>_xlfn.SWITCH(Y139,1,Y263,THIN!$F$9+1,Y263-THIN!$F$33*X263,Y263-X263)</f>
        <v>1.3801503036642727E-2</v>
      </c>
      <c r="Z304" s="147">
        <f>_xlfn.SWITCH(Z139,1,Z263,THIN!$F$9+1,Z263-THIN!$F$33*Y263,Z263-Y263)</f>
        <v>8.870660069358649E-2</v>
      </c>
      <c r="AA304" s="147">
        <f>_xlfn.SWITCH(AA139,1,AA263,THIN!$F$9+1,AA263-THIN!$F$33*Z263,AA263-Z263)</f>
        <v>0.21889250191111381</v>
      </c>
      <c r="AB304" s="147">
        <f>_xlfn.SWITCH(AB139,1,AB263,THIN!$F$9+1,AB263-THIN!$F$33*AA263,AB263-AA263)</f>
        <v>0.38679027443885877</v>
      </c>
      <c r="AC304" s="147">
        <f>_xlfn.SWITCH(AC139,1,AC263,THIN!$F$9+1,AC263-THIN!$F$33*AB263,AC263-AB263)</f>
        <v>0.57839942135411293</v>
      </c>
      <c r="AD304" s="147">
        <f>_xlfn.SWITCH(AD139,1,AD263,THIN!$F$9+1,AD263-THIN!$F$33*AC263,AD263-AC263)</f>
        <v>0.7826745636946395</v>
      </c>
      <c r="AE304" s="147">
        <f>_xlfn.SWITCH(AE139,1,AE263,THIN!$F$9+1,AE263-THIN!$F$33*AD263,AE263-AD263)</f>
        <v>0.99100916955596396</v>
      </c>
      <c r="AF304" s="147">
        <f>_xlfn.SWITCH(AF139,1,AF263,THIN!$F$9+1,AF263-THIN!$F$33*AE263,AF263-AE263)</f>
        <v>1.1968016682944005</v>
      </c>
      <c r="AG304" s="147">
        <f>_xlfn.SWITCH(AG139,1,AG263,THIN!$F$9+1,AG263-THIN!$F$33*AF263,AG263-AF263)</f>
        <v>1.3950914428611982</v>
      </c>
      <c r="AH304" s="147">
        <f>_xlfn.SWITCH(AH139,1,AH263,THIN!$F$9+1,AH263-THIN!$F$33*AG263,AH263-AG263)</f>
        <v>1.5822540365492577</v>
      </c>
      <c r="AI304" s="147">
        <f>_xlfn.SWITCH(AI139,1,AI263,THIN!$F$9+1,AI263-THIN!$F$33*AH263,AI263-AH263)</f>
        <v>1.7557464869953625</v>
      </c>
      <c r="AJ304" s="147">
        <f>_xlfn.SWITCH(AJ139,1,AJ263,THIN!$F$9+1,AJ263-THIN!$F$33*AI263,AJ263-AI263)</f>
        <v>1.9138950482816846</v>
      </c>
      <c r="AK304" s="147">
        <f>_xlfn.SWITCH(AK139,1,AK263,THIN!$F$9+1,AK263-THIN!$F$33*AJ263,AK263-AJ263)</f>
        <v>2.0557187141442146</v>
      </c>
      <c r="AL304" s="147">
        <f>_xlfn.SWITCH(AL139,1,AL263,THIN!$F$9+1,AL263-THIN!$F$33*AK263,AL263-AK263)</f>
        <v>2.1807829396979503</v>
      </c>
      <c r="AM304" s="147">
        <f>_xlfn.SWITCH(AM139,1,AM263,THIN!$F$9+1,AM263-THIN!$F$33*AL263,AM263-AL263)</f>
        <v>2.2890787998168136</v>
      </c>
      <c r="AN304" s="147">
        <f>_xlfn.SWITCH(AN139,1,AN263,THIN!$F$9+1,AN263-THIN!$F$33*AM263,AN263-AM263)</f>
        <v>0.59253502187002027</v>
      </c>
      <c r="AO304" s="147">
        <f>_xlfn.SWITCH(AO139,1,AO263,THIN!$F$9+1,AO263-THIN!$F$33*AN263,AO263-AN263)</f>
        <v>2.3707917230795683</v>
      </c>
      <c r="AP304" s="147">
        <f>_xlfn.SWITCH(AP139,1,AP263,THIN!$F$9+1,AP263-THIN!$F$33*AO263,AP263-AO263)</f>
        <v>2.4919688474695185</v>
      </c>
      <c r="AQ304" s="147">
        <f>_xlfn.SWITCH(AQ139,1,AQ263,THIN!$F$9+1,AQ263-THIN!$F$33*AP263,AQ263-AP263)</f>
        <v>2.5926248904541112</v>
      </c>
      <c r="AR304" s="147">
        <f>_xlfn.SWITCH(AR139,1,AR263,THIN!$F$9+1,AR263-THIN!$F$33*AQ263,AR263-AQ263)</f>
        <v>2.6733697536680552</v>
      </c>
      <c r="AS304" s="147">
        <f>_xlfn.SWITCH(AS139,1,AS263,THIN!$F$9+1,AS263-THIN!$F$33*AR263,AS263-AR263)</f>
        <v>2.7351415660546046</v>
      </c>
      <c r="AT304" s="147">
        <f>_xlfn.SWITCH(AT139,1,AT263,THIN!$F$9+1,AT263-THIN!$F$33*AS263,AT263-AS263)</f>
        <v>2.7791105538674721</v>
      </c>
      <c r="AU304" s="147">
        <f>_xlfn.SWITCH(AU139,1,AU263,THIN!$F$9+1,AU263-THIN!$F$33*AT263,AU263-AT263)</f>
        <v>2.8065991575093356</v>
      </c>
      <c r="AV304" s="147">
        <f>_xlfn.SWITCH(AV139,1,AV263,THIN!$F$9+1,AV263-THIN!$F$33*AU263,AV263-AU263)</f>
        <v>2.8190170305738036</v>
      </c>
    </row>
    <row r="305" spans="2:48" ht="12.95" customHeight="1" x14ac:dyDescent="0.2">
      <c r="B305" s="14"/>
      <c r="C305" s="372">
        <v>7</v>
      </c>
      <c r="D305" s="372"/>
      <c r="E305" s="372"/>
      <c r="F305" s="253" t="s">
        <v>493</v>
      </c>
      <c r="G305" s="253" t="s">
        <v>395</v>
      </c>
      <c r="H305" s="277"/>
      <c r="I305" s="147"/>
      <c r="J305" s="147"/>
      <c r="K305" s="147"/>
      <c r="L305" s="147"/>
      <c r="M305" s="147"/>
      <c r="N305" s="147"/>
      <c r="O305" s="147">
        <f>_xlfn.SWITCH(O140,1,O264,THIN!$F$9+1,O264-THIN!$F$33*N264,O264-N264)</f>
        <v>0.59253502187002027</v>
      </c>
      <c r="P305" s="147">
        <f>_xlfn.SWITCH(P140,1,P264,THIN!$F$9+1,P264-THIN!$F$33*O264,P264-O264)</f>
        <v>2.3707917230795683</v>
      </c>
      <c r="Q305" s="147">
        <f>_xlfn.SWITCH(Q140,1,Q264,THIN!$F$9+1,Q264-THIN!$F$33*P264,Q264-P264)</f>
        <v>2.4919688474695185</v>
      </c>
      <c r="R305" s="147">
        <f>_xlfn.SWITCH(R140,1,R264,THIN!$F$9+1,R264-THIN!$F$33*Q264,R264-Q264)</f>
        <v>2.5926248904541112</v>
      </c>
      <c r="S305" s="147">
        <f>_xlfn.SWITCH(S140,1,S264,THIN!$F$9+1,S264-THIN!$F$33*R264,S264-R264)</f>
        <v>2.6733697536680552</v>
      </c>
      <c r="T305" s="147">
        <f>_xlfn.SWITCH(T140,1,T264,THIN!$F$9+1,T264-THIN!$F$33*S264,T264-S264)</f>
        <v>2.7351415660546046</v>
      </c>
      <c r="U305" s="147">
        <f>_xlfn.SWITCH(U140,1,U264,THIN!$F$9+1,U264-THIN!$F$33*T264,U264-T264)</f>
        <v>2.7791105538674721</v>
      </c>
      <c r="V305" s="147">
        <f>_xlfn.SWITCH(V140,1,V264,THIN!$F$9+1,V264-THIN!$F$33*U264,V264-U264)</f>
        <v>2.8065991575093356</v>
      </c>
      <c r="W305" s="147">
        <f>_xlfn.SWITCH(W140,1,W264,THIN!$F$9+1,W264-THIN!$F$33*V264,W264-V264)</f>
        <v>2.8190170305738036</v>
      </c>
      <c r="X305" s="147">
        <f>_xlfn.SWITCH(X140,1,X264,THIN!$F$9+1,X264-THIN!$F$33*W264,X264-W264)</f>
        <v>2.8178092665428665</v>
      </c>
      <c r="Y305" s="147">
        <f>_xlfn.SWITCH(Y140,1,Y264,THIN!$F$9+1,Y264-THIN!$F$33*X264,Y264-X264)</f>
        <v>2.804416107421595</v>
      </c>
      <c r="Z305" s="147">
        <f>_xlfn.SWITCH(Z140,1,Z264,THIN!$F$9+1,Z264-THIN!$F$33*Y264,Z264-Y264)</f>
        <v>1.3801503036642727E-2</v>
      </c>
      <c r="AA305" s="147">
        <f>_xlfn.SWITCH(AA140,1,AA264,THIN!$F$9+1,AA264-THIN!$F$33*Z264,AA264-Z264)</f>
        <v>8.870660069358649E-2</v>
      </c>
      <c r="AB305" s="147">
        <f>_xlfn.SWITCH(AB140,1,AB264,THIN!$F$9+1,AB264-THIN!$F$33*AA264,AB264-AA264)</f>
        <v>0.21889250191111381</v>
      </c>
      <c r="AC305" s="147">
        <f>_xlfn.SWITCH(AC140,1,AC264,THIN!$F$9+1,AC264-THIN!$F$33*AB264,AC264-AB264)</f>
        <v>0.38679027443885877</v>
      </c>
      <c r="AD305" s="147">
        <f>_xlfn.SWITCH(AD140,1,AD264,THIN!$F$9+1,AD264-THIN!$F$33*AC264,AD264-AC264)</f>
        <v>0.57839942135411293</v>
      </c>
      <c r="AE305" s="147">
        <f>_xlfn.SWITCH(AE140,1,AE264,THIN!$F$9+1,AE264-THIN!$F$33*AD264,AE264-AD264)</f>
        <v>0.7826745636946395</v>
      </c>
      <c r="AF305" s="147">
        <f>_xlfn.SWITCH(AF140,1,AF264,THIN!$F$9+1,AF264-THIN!$F$33*AE264,AF264-AE264)</f>
        <v>0.99100916955596396</v>
      </c>
      <c r="AG305" s="147">
        <f>_xlfn.SWITCH(AG140,1,AG264,THIN!$F$9+1,AG264-THIN!$F$33*AF264,AG264-AF264)</f>
        <v>1.1968016682944005</v>
      </c>
      <c r="AH305" s="147">
        <f>_xlfn.SWITCH(AH140,1,AH264,THIN!$F$9+1,AH264-THIN!$F$33*AG264,AH264-AG264)</f>
        <v>1.3950914428611982</v>
      </c>
      <c r="AI305" s="147">
        <f>_xlfn.SWITCH(AI140,1,AI264,THIN!$F$9+1,AI264-THIN!$F$33*AH264,AI264-AH264)</f>
        <v>1.5822540365492577</v>
      </c>
      <c r="AJ305" s="147">
        <f>_xlfn.SWITCH(AJ140,1,AJ264,THIN!$F$9+1,AJ264-THIN!$F$33*AI264,AJ264-AI264)</f>
        <v>1.7557464869953625</v>
      </c>
      <c r="AK305" s="147">
        <f>_xlfn.SWITCH(AK140,1,AK264,THIN!$F$9+1,AK264-THIN!$F$33*AJ264,AK264-AJ264)</f>
        <v>1.9138950482816846</v>
      </c>
      <c r="AL305" s="147">
        <f>_xlfn.SWITCH(AL140,1,AL264,THIN!$F$9+1,AL264-THIN!$F$33*AK264,AL264-AK264)</f>
        <v>2.0557187141442146</v>
      </c>
      <c r="AM305" s="147">
        <f>_xlfn.SWITCH(AM140,1,AM264,THIN!$F$9+1,AM264-THIN!$F$33*AL264,AM264-AL264)</f>
        <v>2.1807829396979503</v>
      </c>
      <c r="AN305" s="147">
        <f>_xlfn.SWITCH(AN140,1,AN264,THIN!$F$9+1,AN264-THIN!$F$33*AM264,AN264-AM264)</f>
        <v>2.2890787998168136</v>
      </c>
      <c r="AO305" s="147">
        <f>_xlfn.SWITCH(AO140,1,AO264,THIN!$F$9+1,AO264-THIN!$F$33*AN264,AO264-AN264)</f>
        <v>0.59253502187002027</v>
      </c>
      <c r="AP305" s="147">
        <f>_xlfn.SWITCH(AP140,1,AP264,THIN!$F$9+1,AP264-THIN!$F$33*AO264,AP264-AO264)</f>
        <v>2.3707917230795683</v>
      </c>
      <c r="AQ305" s="147">
        <f>_xlfn.SWITCH(AQ140,1,AQ264,THIN!$F$9+1,AQ264-THIN!$F$33*AP264,AQ264-AP264)</f>
        <v>2.4919688474695185</v>
      </c>
      <c r="AR305" s="147">
        <f>_xlfn.SWITCH(AR140,1,AR264,THIN!$F$9+1,AR264-THIN!$F$33*AQ264,AR264-AQ264)</f>
        <v>2.5926248904541112</v>
      </c>
      <c r="AS305" s="147">
        <f>_xlfn.SWITCH(AS140,1,AS264,THIN!$F$9+1,AS264-THIN!$F$33*AR264,AS264-AR264)</f>
        <v>2.6733697536680552</v>
      </c>
      <c r="AT305" s="147">
        <f>_xlfn.SWITCH(AT140,1,AT264,THIN!$F$9+1,AT264-THIN!$F$33*AS264,AT264-AS264)</f>
        <v>2.7351415660546046</v>
      </c>
      <c r="AU305" s="147">
        <f>_xlfn.SWITCH(AU140,1,AU264,THIN!$F$9+1,AU264-THIN!$F$33*AT264,AU264-AT264)</f>
        <v>2.7791105538674721</v>
      </c>
      <c r="AV305" s="147">
        <f>_xlfn.SWITCH(AV140,1,AV264,THIN!$F$9+1,AV264-THIN!$F$33*AU264,AV264-AU264)</f>
        <v>2.8065991575093356</v>
      </c>
    </row>
    <row r="306" spans="2:48" ht="12.95" customHeight="1" x14ac:dyDescent="0.2">
      <c r="B306" s="14"/>
      <c r="C306" s="372">
        <v>8</v>
      </c>
      <c r="D306" s="372"/>
      <c r="E306" s="372"/>
      <c r="F306" s="253" t="s">
        <v>493</v>
      </c>
      <c r="G306" s="253" t="s">
        <v>395</v>
      </c>
      <c r="H306" s="277"/>
      <c r="I306" s="147"/>
      <c r="J306" s="147"/>
      <c r="K306" s="147"/>
      <c r="L306" s="147"/>
      <c r="M306" s="147"/>
      <c r="N306" s="147"/>
      <c r="O306" s="147"/>
      <c r="P306" s="147">
        <f>_xlfn.SWITCH(P141,1,P265,THIN!$F$9+1,P265-THIN!$F$33*O265,P265-O265)</f>
        <v>0.59253502187002027</v>
      </c>
      <c r="Q306" s="147">
        <f>_xlfn.SWITCH(Q141,1,Q265,THIN!$F$9+1,Q265-THIN!$F$33*P265,Q265-P265)</f>
        <v>2.3707917230795683</v>
      </c>
      <c r="R306" s="147">
        <f>_xlfn.SWITCH(R141,1,R265,THIN!$F$9+1,R265-THIN!$F$33*Q265,R265-Q265)</f>
        <v>2.4919688474695185</v>
      </c>
      <c r="S306" s="147">
        <f>_xlfn.SWITCH(S141,1,S265,THIN!$F$9+1,S265-THIN!$F$33*R265,S265-R265)</f>
        <v>2.5926248904541112</v>
      </c>
      <c r="T306" s="147">
        <f>_xlfn.SWITCH(T141,1,T265,THIN!$F$9+1,T265-THIN!$F$33*S265,T265-S265)</f>
        <v>2.6733697536680552</v>
      </c>
      <c r="U306" s="147">
        <f>_xlfn.SWITCH(U141,1,U265,THIN!$F$9+1,U265-THIN!$F$33*T265,U265-T265)</f>
        <v>2.7351415660546046</v>
      </c>
      <c r="V306" s="147">
        <f>_xlfn.SWITCH(V141,1,V265,THIN!$F$9+1,V265-THIN!$F$33*U265,V265-U265)</f>
        <v>2.7791105538674721</v>
      </c>
      <c r="W306" s="147">
        <f>_xlfn.SWITCH(W141,1,W265,THIN!$F$9+1,W265-THIN!$F$33*V265,W265-V265)</f>
        <v>2.8065991575093356</v>
      </c>
      <c r="X306" s="147">
        <f>_xlfn.SWITCH(X141,1,X265,THIN!$F$9+1,X265-THIN!$F$33*W265,X265-W265)</f>
        <v>2.8190170305738036</v>
      </c>
      <c r="Y306" s="147">
        <f>_xlfn.SWITCH(Y141,1,Y265,THIN!$F$9+1,Y265-THIN!$F$33*X265,Y265-X265)</f>
        <v>2.8178092665428665</v>
      </c>
      <c r="Z306" s="147">
        <f>_xlfn.SWITCH(Z141,1,Z265,THIN!$F$9+1,Z265-THIN!$F$33*Y265,Z265-Y265)</f>
        <v>2.804416107421595</v>
      </c>
      <c r="AA306" s="147">
        <f>_xlfn.SWITCH(AA141,1,AA265,THIN!$F$9+1,AA265-THIN!$F$33*Z265,AA265-Z265)</f>
        <v>1.3801503036642727E-2</v>
      </c>
      <c r="AB306" s="147">
        <f>_xlfn.SWITCH(AB141,1,AB265,THIN!$F$9+1,AB265-THIN!$F$33*AA265,AB265-AA265)</f>
        <v>8.870660069358649E-2</v>
      </c>
      <c r="AC306" s="147">
        <f>_xlfn.SWITCH(AC141,1,AC265,THIN!$F$9+1,AC265-THIN!$F$33*AB265,AC265-AB265)</f>
        <v>0.21889250191111381</v>
      </c>
      <c r="AD306" s="147">
        <f>_xlfn.SWITCH(AD141,1,AD265,THIN!$F$9+1,AD265-THIN!$F$33*AC265,AD265-AC265)</f>
        <v>0.38679027443885877</v>
      </c>
      <c r="AE306" s="147">
        <f>_xlfn.SWITCH(AE141,1,AE265,THIN!$F$9+1,AE265-THIN!$F$33*AD265,AE265-AD265)</f>
        <v>0.57839942135411293</v>
      </c>
      <c r="AF306" s="147">
        <f>_xlfn.SWITCH(AF141,1,AF265,THIN!$F$9+1,AF265-THIN!$F$33*AE265,AF265-AE265)</f>
        <v>0.7826745636946395</v>
      </c>
      <c r="AG306" s="147">
        <f>_xlfn.SWITCH(AG141,1,AG265,THIN!$F$9+1,AG265-THIN!$F$33*AF265,AG265-AF265)</f>
        <v>0.99100916955596396</v>
      </c>
      <c r="AH306" s="147">
        <f>_xlfn.SWITCH(AH141,1,AH265,THIN!$F$9+1,AH265-THIN!$F$33*AG265,AH265-AG265)</f>
        <v>1.1968016682944005</v>
      </c>
      <c r="AI306" s="147">
        <f>_xlfn.SWITCH(AI141,1,AI265,THIN!$F$9+1,AI265-THIN!$F$33*AH265,AI265-AH265)</f>
        <v>1.3950914428611982</v>
      </c>
      <c r="AJ306" s="147">
        <f>_xlfn.SWITCH(AJ141,1,AJ265,THIN!$F$9+1,AJ265-THIN!$F$33*AI265,AJ265-AI265)</f>
        <v>1.5822540365492577</v>
      </c>
      <c r="AK306" s="147">
        <f>_xlfn.SWITCH(AK141,1,AK265,THIN!$F$9+1,AK265-THIN!$F$33*AJ265,AK265-AJ265)</f>
        <v>1.7557464869953625</v>
      </c>
      <c r="AL306" s="147">
        <f>_xlfn.SWITCH(AL141,1,AL265,THIN!$F$9+1,AL265-THIN!$F$33*AK265,AL265-AK265)</f>
        <v>1.9138950482816846</v>
      </c>
      <c r="AM306" s="147">
        <f>_xlfn.SWITCH(AM141,1,AM265,THIN!$F$9+1,AM265-THIN!$F$33*AL265,AM265-AL265)</f>
        <v>2.0557187141442146</v>
      </c>
      <c r="AN306" s="147">
        <f>_xlfn.SWITCH(AN141,1,AN265,THIN!$F$9+1,AN265-THIN!$F$33*AM265,AN265-AM265)</f>
        <v>2.1807829396979503</v>
      </c>
      <c r="AO306" s="147">
        <f>_xlfn.SWITCH(AO141,1,AO265,THIN!$F$9+1,AO265-THIN!$F$33*AN265,AO265-AN265)</f>
        <v>2.2890787998168136</v>
      </c>
      <c r="AP306" s="147">
        <f>_xlfn.SWITCH(AP141,1,AP265,THIN!$F$9+1,AP265-THIN!$F$33*AO265,AP265-AO265)</f>
        <v>0.59253502187002027</v>
      </c>
      <c r="AQ306" s="147">
        <f>_xlfn.SWITCH(AQ141,1,AQ265,THIN!$F$9+1,AQ265-THIN!$F$33*AP265,AQ265-AP265)</f>
        <v>2.3707917230795683</v>
      </c>
      <c r="AR306" s="147">
        <f>_xlfn.SWITCH(AR141,1,AR265,THIN!$F$9+1,AR265-THIN!$F$33*AQ265,AR265-AQ265)</f>
        <v>2.4919688474695185</v>
      </c>
      <c r="AS306" s="147">
        <f>_xlfn.SWITCH(AS141,1,AS265,THIN!$F$9+1,AS265-THIN!$F$33*AR265,AS265-AR265)</f>
        <v>2.5926248904541112</v>
      </c>
      <c r="AT306" s="147">
        <f>_xlfn.SWITCH(AT141,1,AT265,THIN!$F$9+1,AT265-THIN!$F$33*AS265,AT265-AS265)</f>
        <v>2.6733697536680552</v>
      </c>
      <c r="AU306" s="147">
        <f>_xlfn.SWITCH(AU141,1,AU265,THIN!$F$9+1,AU265-THIN!$F$33*AT265,AU265-AT265)</f>
        <v>2.7351415660546046</v>
      </c>
      <c r="AV306" s="147">
        <f>_xlfn.SWITCH(AV141,1,AV265,THIN!$F$9+1,AV265-THIN!$F$33*AU265,AV265-AU265)</f>
        <v>2.7791105538674721</v>
      </c>
    </row>
    <row r="307" spans="2:48" ht="12.95" customHeight="1" x14ac:dyDescent="0.2">
      <c r="B307" s="14"/>
      <c r="C307" s="372">
        <v>9</v>
      </c>
      <c r="D307" s="372"/>
      <c r="E307" s="372"/>
      <c r="F307" s="253" t="s">
        <v>493</v>
      </c>
      <c r="G307" s="253" t="s">
        <v>395</v>
      </c>
      <c r="H307" s="277"/>
      <c r="I307" s="147"/>
      <c r="J307" s="147"/>
      <c r="K307" s="147"/>
      <c r="L307" s="147"/>
      <c r="M307" s="147"/>
      <c r="N307" s="147"/>
      <c r="O307" s="147"/>
      <c r="P307" s="147"/>
      <c r="Q307" s="147">
        <f>_xlfn.SWITCH(Q142,1,Q266,THIN!$F$9+1,Q266-THIN!$F$33*P266,Q266-P266)</f>
        <v>0.59253502187002027</v>
      </c>
      <c r="R307" s="147">
        <f>_xlfn.SWITCH(R142,1,R266,THIN!$F$9+1,R266-THIN!$F$33*Q266,R266-Q266)</f>
        <v>2.3707917230795683</v>
      </c>
      <c r="S307" s="147">
        <f>_xlfn.SWITCH(S142,1,S266,THIN!$F$9+1,S266-THIN!$F$33*R266,S266-R266)</f>
        <v>2.4919688474695185</v>
      </c>
      <c r="T307" s="147">
        <f>_xlfn.SWITCH(T142,1,T266,THIN!$F$9+1,T266-THIN!$F$33*S266,T266-S266)</f>
        <v>2.5926248904541112</v>
      </c>
      <c r="U307" s="147">
        <f>_xlfn.SWITCH(U142,1,U266,THIN!$F$9+1,U266-THIN!$F$33*T266,U266-T266)</f>
        <v>2.6733697536680552</v>
      </c>
      <c r="V307" s="147">
        <f>_xlfn.SWITCH(V142,1,V266,THIN!$F$9+1,V266-THIN!$F$33*U266,V266-U266)</f>
        <v>2.7351415660546046</v>
      </c>
      <c r="W307" s="147">
        <f>_xlfn.SWITCH(W142,1,W266,THIN!$F$9+1,W266-THIN!$F$33*V266,W266-V266)</f>
        <v>2.7791105538674721</v>
      </c>
      <c r="X307" s="147">
        <f>_xlfn.SWITCH(X142,1,X266,THIN!$F$9+1,X266-THIN!$F$33*W266,X266-W266)</f>
        <v>2.8065991575093356</v>
      </c>
      <c r="Y307" s="147">
        <f>_xlfn.SWITCH(Y142,1,Y266,THIN!$F$9+1,Y266-THIN!$F$33*X266,Y266-X266)</f>
        <v>2.8190170305738036</v>
      </c>
      <c r="Z307" s="147">
        <f>_xlfn.SWITCH(Z142,1,Z266,THIN!$F$9+1,Z266-THIN!$F$33*Y266,Z266-Y266)</f>
        <v>2.8178092665428665</v>
      </c>
      <c r="AA307" s="147">
        <f>_xlfn.SWITCH(AA142,1,AA266,THIN!$F$9+1,AA266-THIN!$F$33*Z266,AA266-Z266)</f>
        <v>2.804416107421595</v>
      </c>
      <c r="AB307" s="147">
        <f>_xlfn.SWITCH(AB142,1,AB266,THIN!$F$9+1,AB266-THIN!$F$33*AA266,AB266-AA266)</f>
        <v>1.3801503036642727E-2</v>
      </c>
      <c r="AC307" s="147">
        <f>_xlfn.SWITCH(AC142,1,AC266,THIN!$F$9+1,AC266-THIN!$F$33*AB266,AC266-AB266)</f>
        <v>8.870660069358649E-2</v>
      </c>
      <c r="AD307" s="147">
        <f>_xlfn.SWITCH(AD142,1,AD266,THIN!$F$9+1,AD266-THIN!$F$33*AC266,AD266-AC266)</f>
        <v>0.21889250191111381</v>
      </c>
      <c r="AE307" s="147">
        <f>_xlfn.SWITCH(AE142,1,AE266,THIN!$F$9+1,AE266-THIN!$F$33*AD266,AE266-AD266)</f>
        <v>0.38679027443885877</v>
      </c>
      <c r="AF307" s="147">
        <f>_xlfn.SWITCH(AF142,1,AF266,THIN!$F$9+1,AF266-THIN!$F$33*AE266,AF266-AE266)</f>
        <v>0.57839942135411293</v>
      </c>
      <c r="AG307" s="147">
        <f>_xlfn.SWITCH(AG142,1,AG266,THIN!$F$9+1,AG266-THIN!$F$33*AF266,AG266-AF266)</f>
        <v>0.7826745636946395</v>
      </c>
      <c r="AH307" s="147">
        <f>_xlfn.SWITCH(AH142,1,AH266,THIN!$F$9+1,AH266-THIN!$F$33*AG266,AH266-AG266)</f>
        <v>0.99100916955596396</v>
      </c>
      <c r="AI307" s="147">
        <f>_xlfn.SWITCH(AI142,1,AI266,THIN!$F$9+1,AI266-THIN!$F$33*AH266,AI266-AH266)</f>
        <v>1.1968016682944005</v>
      </c>
      <c r="AJ307" s="147">
        <f>_xlfn.SWITCH(AJ142,1,AJ266,THIN!$F$9+1,AJ266-THIN!$F$33*AI266,AJ266-AI266)</f>
        <v>1.3950914428611982</v>
      </c>
      <c r="AK307" s="147">
        <f>_xlfn.SWITCH(AK142,1,AK266,THIN!$F$9+1,AK266-THIN!$F$33*AJ266,AK266-AJ266)</f>
        <v>1.5822540365492577</v>
      </c>
      <c r="AL307" s="147">
        <f>_xlfn.SWITCH(AL142,1,AL266,THIN!$F$9+1,AL266-THIN!$F$33*AK266,AL266-AK266)</f>
        <v>1.7557464869953625</v>
      </c>
      <c r="AM307" s="147">
        <f>_xlfn.SWITCH(AM142,1,AM266,THIN!$F$9+1,AM266-THIN!$F$33*AL266,AM266-AL266)</f>
        <v>1.9138950482816846</v>
      </c>
      <c r="AN307" s="147">
        <f>_xlfn.SWITCH(AN142,1,AN266,THIN!$F$9+1,AN266-THIN!$F$33*AM266,AN266-AM266)</f>
        <v>2.0557187141442146</v>
      </c>
      <c r="AO307" s="147">
        <f>_xlfn.SWITCH(AO142,1,AO266,THIN!$F$9+1,AO266-THIN!$F$33*AN266,AO266-AN266)</f>
        <v>2.1807829396979503</v>
      </c>
      <c r="AP307" s="147">
        <f>_xlfn.SWITCH(AP142,1,AP266,THIN!$F$9+1,AP266-THIN!$F$33*AO266,AP266-AO266)</f>
        <v>2.2890787998168136</v>
      </c>
      <c r="AQ307" s="147">
        <f>_xlfn.SWITCH(AQ142,1,AQ266,THIN!$F$9+1,AQ266-THIN!$F$33*AP266,AQ266-AP266)</f>
        <v>0.59253502187002027</v>
      </c>
      <c r="AR307" s="147">
        <f>_xlfn.SWITCH(AR142,1,AR266,THIN!$F$9+1,AR266-THIN!$F$33*AQ266,AR266-AQ266)</f>
        <v>2.3707917230795683</v>
      </c>
      <c r="AS307" s="147">
        <f>_xlfn.SWITCH(AS142,1,AS266,THIN!$F$9+1,AS266-THIN!$F$33*AR266,AS266-AR266)</f>
        <v>2.4919688474695185</v>
      </c>
      <c r="AT307" s="147">
        <f>_xlfn.SWITCH(AT142,1,AT266,THIN!$F$9+1,AT266-THIN!$F$33*AS266,AT266-AS266)</f>
        <v>2.5926248904541112</v>
      </c>
      <c r="AU307" s="147">
        <f>_xlfn.SWITCH(AU142,1,AU266,THIN!$F$9+1,AU266-THIN!$F$33*AT266,AU266-AT266)</f>
        <v>2.6733697536680552</v>
      </c>
      <c r="AV307" s="147">
        <f>_xlfn.SWITCH(AV142,1,AV266,THIN!$F$9+1,AV266-THIN!$F$33*AU266,AV266-AU266)</f>
        <v>2.7351415660546046</v>
      </c>
    </row>
    <row r="308" spans="2:48" ht="12.95" customHeight="1" x14ac:dyDescent="0.2">
      <c r="B308" s="14"/>
      <c r="C308" s="372">
        <v>10</v>
      </c>
      <c r="D308" s="372"/>
      <c r="E308" s="372"/>
      <c r="F308" s="253" t="s">
        <v>493</v>
      </c>
      <c r="G308" s="253" t="s">
        <v>395</v>
      </c>
      <c r="H308" s="277"/>
      <c r="I308" s="147"/>
      <c r="J308" s="147"/>
      <c r="K308" s="147"/>
      <c r="L308" s="147"/>
      <c r="M308" s="147"/>
      <c r="N308" s="147"/>
      <c r="O308" s="147"/>
      <c r="P308" s="147"/>
      <c r="Q308" s="147"/>
      <c r="R308" s="147">
        <f>_xlfn.SWITCH(R143,1,R267,THIN!$F$9+1,R267-THIN!$F$33*Q267,R267-Q267)</f>
        <v>0.59253502187002027</v>
      </c>
      <c r="S308" s="147">
        <f>_xlfn.SWITCH(S143,1,S267,THIN!$F$9+1,S267-THIN!$F$33*R267,S267-R267)</f>
        <v>2.3707917230795683</v>
      </c>
      <c r="T308" s="147">
        <f>_xlfn.SWITCH(T143,1,T267,THIN!$F$9+1,T267-THIN!$F$33*S267,T267-S267)</f>
        <v>2.4919688474695185</v>
      </c>
      <c r="U308" s="147">
        <f>_xlfn.SWITCH(U143,1,U267,THIN!$F$9+1,U267-THIN!$F$33*T267,U267-T267)</f>
        <v>2.5926248904541112</v>
      </c>
      <c r="V308" s="147">
        <f>_xlfn.SWITCH(V143,1,V267,THIN!$F$9+1,V267-THIN!$F$33*U267,V267-U267)</f>
        <v>2.6733697536680552</v>
      </c>
      <c r="W308" s="147">
        <f>_xlfn.SWITCH(W143,1,W267,THIN!$F$9+1,W267-THIN!$F$33*V267,W267-V267)</f>
        <v>2.7351415660546046</v>
      </c>
      <c r="X308" s="147">
        <f>_xlfn.SWITCH(X143,1,X267,THIN!$F$9+1,X267-THIN!$F$33*W267,X267-W267)</f>
        <v>2.7791105538674721</v>
      </c>
      <c r="Y308" s="147">
        <f>_xlfn.SWITCH(Y143,1,Y267,THIN!$F$9+1,Y267-THIN!$F$33*X267,Y267-X267)</f>
        <v>2.8065991575093356</v>
      </c>
      <c r="Z308" s="147">
        <f>_xlfn.SWITCH(Z143,1,Z267,THIN!$F$9+1,Z267-THIN!$F$33*Y267,Z267-Y267)</f>
        <v>2.8190170305738036</v>
      </c>
      <c r="AA308" s="147">
        <f>_xlfn.SWITCH(AA143,1,AA267,THIN!$F$9+1,AA267-THIN!$F$33*Z267,AA267-Z267)</f>
        <v>2.8178092665428665</v>
      </c>
      <c r="AB308" s="147">
        <f>_xlfn.SWITCH(AB143,1,AB267,THIN!$F$9+1,AB267-THIN!$F$33*AA267,AB267-AA267)</f>
        <v>2.804416107421595</v>
      </c>
      <c r="AC308" s="147">
        <f>_xlfn.SWITCH(AC143,1,AC267,THIN!$F$9+1,AC267-THIN!$F$33*AB267,AC267-AB267)</f>
        <v>1.3801503036642727E-2</v>
      </c>
      <c r="AD308" s="147">
        <f>_xlfn.SWITCH(AD143,1,AD267,THIN!$F$9+1,AD267-THIN!$F$33*AC267,AD267-AC267)</f>
        <v>8.870660069358649E-2</v>
      </c>
      <c r="AE308" s="147">
        <f>_xlfn.SWITCH(AE143,1,AE267,THIN!$F$9+1,AE267-THIN!$F$33*AD267,AE267-AD267)</f>
        <v>0.21889250191111381</v>
      </c>
      <c r="AF308" s="147">
        <f>_xlfn.SWITCH(AF143,1,AF267,THIN!$F$9+1,AF267-THIN!$F$33*AE267,AF267-AE267)</f>
        <v>0.38679027443885877</v>
      </c>
      <c r="AG308" s="147">
        <f>_xlfn.SWITCH(AG143,1,AG267,THIN!$F$9+1,AG267-THIN!$F$33*AF267,AG267-AF267)</f>
        <v>0.57839942135411293</v>
      </c>
      <c r="AH308" s="147">
        <f>_xlfn.SWITCH(AH143,1,AH267,THIN!$F$9+1,AH267-THIN!$F$33*AG267,AH267-AG267)</f>
        <v>0.7826745636946395</v>
      </c>
      <c r="AI308" s="147">
        <f>_xlfn.SWITCH(AI143,1,AI267,THIN!$F$9+1,AI267-THIN!$F$33*AH267,AI267-AH267)</f>
        <v>0.99100916955596396</v>
      </c>
      <c r="AJ308" s="147">
        <f>_xlfn.SWITCH(AJ143,1,AJ267,THIN!$F$9+1,AJ267-THIN!$F$33*AI267,AJ267-AI267)</f>
        <v>1.1968016682944005</v>
      </c>
      <c r="AK308" s="147">
        <f>_xlfn.SWITCH(AK143,1,AK267,THIN!$F$9+1,AK267-THIN!$F$33*AJ267,AK267-AJ267)</f>
        <v>1.3950914428611982</v>
      </c>
      <c r="AL308" s="147">
        <f>_xlfn.SWITCH(AL143,1,AL267,THIN!$F$9+1,AL267-THIN!$F$33*AK267,AL267-AK267)</f>
        <v>1.5822540365492577</v>
      </c>
      <c r="AM308" s="147">
        <f>_xlfn.SWITCH(AM143,1,AM267,THIN!$F$9+1,AM267-THIN!$F$33*AL267,AM267-AL267)</f>
        <v>1.7557464869953625</v>
      </c>
      <c r="AN308" s="147">
        <f>_xlfn.SWITCH(AN143,1,AN267,THIN!$F$9+1,AN267-THIN!$F$33*AM267,AN267-AM267)</f>
        <v>1.9138950482816846</v>
      </c>
      <c r="AO308" s="147">
        <f>_xlfn.SWITCH(AO143,1,AO267,THIN!$F$9+1,AO267-THIN!$F$33*AN267,AO267-AN267)</f>
        <v>2.0557187141442146</v>
      </c>
      <c r="AP308" s="147">
        <f>_xlfn.SWITCH(AP143,1,AP267,THIN!$F$9+1,AP267-THIN!$F$33*AO267,AP267-AO267)</f>
        <v>2.1807829396979503</v>
      </c>
      <c r="AQ308" s="147">
        <f>_xlfn.SWITCH(AQ143,1,AQ267,THIN!$F$9+1,AQ267-THIN!$F$33*AP267,AQ267-AP267)</f>
        <v>2.2890787998168136</v>
      </c>
      <c r="AR308" s="147">
        <f>_xlfn.SWITCH(AR143,1,AR267,THIN!$F$9+1,AR267-THIN!$F$33*AQ267,AR267-AQ267)</f>
        <v>0.59253502187002027</v>
      </c>
      <c r="AS308" s="147">
        <f>_xlfn.SWITCH(AS143,1,AS267,THIN!$F$9+1,AS267-THIN!$F$33*AR267,AS267-AR267)</f>
        <v>2.3707917230795683</v>
      </c>
      <c r="AT308" s="147">
        <f>_xlfn.SWITCH(AT143,1,AT267,THIN!$F$9+1,AT267-THIN!$F$33*AS267,AT267-AS267)</f>
        <v>2.4919688474695185</v>
      </c>
      <c r="AU308" s="147">
        <f>_xlfn.SWITCH(AU143,1,AU267,THIN!$F$9+1,AU267-THIN!$F$33*AT267,AU267-AT267)</f>
        <v>2.5926248904541112</v>
      </c>
      <c r="AV308" s="147">
        <f>_xlfn.SWITCH(AV143,1,AV267,THIN!$F$9+1,AV267-THIN!$F$33*AU267,AV267-AU267)</f>
        <v>2.6733697536680552</v>
      </c>
    </row>
    <row r="309" spans="2:48" ht="12.95" customHeight="1" x14ac:dyDescent="0.2">
      <c r="B309" s="14"/>
      <c r="C309" s="372">
        <v>11</v>
      </c>
      <c r="D309" s="372"/>
      <c r="E309" s="372"/>
      <c r="F309" s="253" t="s">
        <v>493</v>
      </c>
      <c r="G309" s="253" t="s">
        <v>395</v>
      </c>
      <c r="H309" s="277"/>
      <c r="I309" s="147"/>
      <c r="J309" s="147"/>
      <c r="K309" s="147"/>
      <c r="L309" s="147"/>
      <c r="M309" s="147"/>
      <c r="N309" s="147"/>
      <c r="O309" s="147"/>
      <c r="P309" s="147"/>
      <c r="Q309" s="147"/>
      <c r="R309" s="147"/>
      <c r="S309" s="147">
        <f>_xlfn.SWITCH(S144,1,S268,THIN!$F$9+1,S268-THIN!$F$33*R268,S268-R268)</f>
        <v>0.59253502187002027</v>
      </c>
      <c r="T309" s="147">
        <f>_xlfn.SWITCH(T144,1,T268,THIN!$F$9+1,T268-THIN!$F$33*S268,T268-S268)</f>
        <v>2.3707917230795683</v>
      </c>
      <c r="U309" s="147">
        <f>_xlfn.SWITCH(U144,1,U268,THIN!$F$9+1,U268-THIN!$F$33*T268,U268-T268)</f>
        <v>2.4919688474695185</v>
      </c>
      <c r="V309" s="147">
        <f>_xlfn.SWITCH(V144,1,V268,THIN!$F$9+1,V268-THIN!$F$33*U268,V268-U268)</f>
        <v>2.5926248904541112</v>
      </c>
      <c r="W309" s="147">
        <f>_xlfn.SWITCH(W144,1,W268,THIN!$F$9+1,W268-THIN!$F$33*V268,W268-V268)</f>
        <v>2.6733697536680552</v>
      </c>
      <c r="X309" s="147">
        <f>_xlfn.SWITCH(X144,1,X268,THIN!$F$9+1,X268-THIN!$F$33*W268,X268-W268)</f>
        <v>2.7351415660546046</v>
      </c>
      <c r="Y309" s="147">
        <f>_xlfn.SWITCH(Y144,1,Y268,THIN!$F$9+1,Y268-THIN!$F$33*X268,Y268-X268)</f>
        <v>2.7791105538674721</v>
      </c>
      <c r="Z309" s="147">
        <f>_xlfn.SWITCH(Z144,1,Z268,THIN!$F$9+1,Z268-THIN!$F$33*Y268,Z268-Y268)</f>
        <v>2.8065991575093356</v>
      </c>
      <c r="AA309" s="147">
        <f>_xlfn.SWITCH(AA144,1,AA268,THIN!$F$9+1,AA268-THIN!$F$33*Z268,AA268-Z268)</f>
        <v>2.8190170305738036</v>
      </c>
      <c r="AB309" s="147">
        <f>_xlfn.SWITCH(AB144,1,AB268,THIN!$F$9+1,AB268-THIN!$F$33*AA268,AB268-AA268)</f>
        <v>2.8178092665428665</v>
      </c>
      <c r="AC309" s="147">
        <f>_xlfn.SWITCH(AC144,1,AC268,THIN!$F$9+1,AC268-THIN!$F$33*AB268,AC268-AB268)</f>
        <v>2.804416107421595</v>
      </c>
      <c r="AD309" s="147">
        <f>_xlfn.SWITCH(AD144,1,AD268,THIN!$F$9+1,AD268-THIN!$F$33*AC268,AD268-AC268)</f>
        <v>1.3801503036642727E-2</v>
      </c>
      <c r="AE309" s="147">
        <f>_xlfn.SWITCH(AE144,1,AE268,THIN!$F$9+1,AE268-THIN!$F$33*AD268,AE268-AD268)</f>
        <v>8.870660069358649E-2</v>
      </c>
      <c r="AF309" s="147">
        <f>_xlfn.SWITCH(AF144,1,AF268,THIN!$F$9+1,AF268-THIN!$F$33*AE268,AF268-AE268)</f>
        <v>0.21889250191111381</v>
      </c>
      <c r="AG309" s="147">
        <f>_xlfn.SWITCH(AG144,1,AG268,THIN!$F$9+1,AG268-THIN!$F$33*AF268,AG268-AF268)</f>
        <v>0.38679027443885877</v>
      </c>
      <c r="AH309" s="147">
        <f>_xlfn.SWITCH(AH144,1,AH268,THIN!$F$9+1,AH268-THIN!$F$33*AG268,AH268-AG268)</f>
        <v>0.57839942135411293</v>
      </c>
      <c r="AI309" s="147">
        <f>_xlfn.SWITCH(AI144,1,AI268,THIN!$F$9+1,AI268-THIN!$F$33*AH268,AI268-AH268)</f>
        <v>0.7826745636946395</v>
      </c>
      <c r="AJ309" s="147">
        <f>_xlfn.SWITCH(AJ144,1,AJ268,THIN!$F$9+1,AJ268-THIN!$F$33*AI268,AJ268-AI268)</f>
        <v>0.99100916955596396</v>
      </c>
      <c r="AK309" s="147">
        <f>_xlfn.SWITCH(AK144,1,AK268,THIN!$F$9+1,AK268-THIN!$F$33*AJ268,AK268-AJ268)</f>
        <v>1.1968016682944005</v>
      </c>
      <c r="AL309" s="147">
        <f>_xlfn.SWITCH(AL144,1,AL268,THIN!$F$9+1,AL268-THIN!$F$33*AK268,AL268-AK268)</f>
        <v>1.3950914428611982</v>
      </c>
      <c r="AM309" s="147">
        <f>_xlfn.SWITCH(AM144,1,AM268,THIN!$F$9+1,AM268-THIN!$F$33*AL268,AM268-AL268)</f>
        <v>1.5822540365492577</v>
      </c>
      <c r="AN309" s="147">
        <f>_xlfn.SWITCH(AN144,1,AN268,THIN!$F$9+1,AN268-THIN!$F$33*AM268,AN268-AM268)</f>
        <v>1.7557464869953625</v>
      </c>
      <c r="AO309" s="147">
        <f>_xlfn.SWITCH(AO144,1,AO268,THIN!$F$9+1,AO268-THIN!$F$33*AN268,AO268-AN268)</f>
        <v>1.9138950482816846</v>
      </c>
      <c r="AP309" s="147">
        <f>_xlfn.SWITCH(AP144,1,AP268,THIN!$F$9+1,AP268-THIN!$F$33*AO268,AP268-AO268)</f>
        <v>2.0557187141442146</v>
      </c>
      <c r="AQ309" s="147">
        <f>_xlfn.SWITCH(AQ144,1,AQ268,THIN!$F$9+1,AQ268-THIN!$F$33*AP268,AQ268-AP268)</f>
        <v>2.1807829396979503</v>
      </c>
      <c r="AR309" s="147">
        <f>_xlfn.SWITCH(AR144,1,AR268,THIN!$F$9+1,AR268-THIN!$F$33*AQ268,AR268-AQ268)</f>
        <v>2.2890787998168136</v>
      </c>
      <c r="AS309" s="147">
        <f>_xlfn.SWITCH(AS144,1,AS268,THIN!$F$9+1,AS268-THIN!$F$33*AR268,AS268-AR268)</f>
        <v>0.59253502187002027</v>
      </c>
      <c r="AT309" s="147">
        <f>_xlfn.SWITCH(AT144,1,AT268,THIN!$F$9+1,AT268-THIN!$F$33*AS268,AT268-AS268)</f>
        <v>2.3707917230795683</v>
      </c>
      <c r="AU309" s="147">
        <f>_xlfn.SWITCH(AU144,1,AU268,THIN!$F$9+1,AU268-THIN!$F$33*AT268,AU268-AT268)</f>
        <v>2.4919688474695185</v>
      </c>
      <c r="AV309" s="147">
        <f>_xlfn.SWITCH(AV144,1,AV268,THIN!$F$9+1,AV268-THIN!$F$33*AU268,AV268-AU268)</f>
        <v>2.5926248904541112</v>
      </c>
    </row>
    <row r="310" spans="2:48" ht="12.95" customHeight="1" x14ac:dyDescent="0.2">
      <c r="B310" s="14"/>
      <c r="C310" s="372">
        <v>12</v>
      </c>
      <c r="D310" s="372"/>
      <c r="E310" s="372"/>
      <c r="F310" s="253" t="s">
        <v>493</v>
      </c>
      <c r="G310" s="253" t="s">
        <v>395</v>
      </c>
      <c r="H310" s="277"/>
      <c r="I310" s="147"/>
      <c r="J310" s="147"/>
      <c r="K310" s="147"/>
      <c r="L310" s="147"/>
      <c r="M310" s="147"/>
      <c r="N310" s="147"/>
      <c r="O310" s="147"/>
      <c r="P310" s="147"/>
      <c r="Q310" s="147"/>
      <c r="R310" s="147"/>
      <c r="S310" s="147"/>
      <c r="T310" s="147">
        <f>_xlfn.SWITCH(T145,1,T269,THIN!$F$9+1,T269-THIN!$F$33*S269,T269-S269)</f>
        <v>0.59253502187002027</v>
      </c>
      <c r="U310" s="147">
        <f>_xlfn.SWITCH(U145,1,U269,THIN!$F$9+1,U269-THIN!$F$33*T269,U269-T269)</f>
        <v>2.3707917230795683</v>
      </c>
      <c r="V310" s="147">
        <f>_xlfn.SWITCH(V145,1,V269,THIN!$F$9+1,V269-THIN!$F$33*U269,V269-U269)</f>
        <v>2.4919688474695185</v>
      </c>
      <c r="W310" s="147">
        <f>_xlfn.SWITCH(W145,1,W269,THIN!$F$9+1,W269-THIN!$F$33*V269,W269-V269)</f>
        <v>2.5926248904541112</v>
      </c>
      <c r="X310" s="147">
        <f>_xlfn.SWITCH(X145,1,X269,THIN!$F$9+1,X269-THIN!$F$33*W269,X269-W269)</f>
        <v>2.6733697536680552</v>
      </c>
      <c r="Y310" s="147">
        <f>_xlfn.SWITCH(Y145,1,Y269,THIN!$F$9+1,Y269-THIN!$F$33*X269,Y269-X269)</f>
        <v>2.7351415660546046</v>
      </c>
      <c r="Z310" s="147">
        <f>_xlfn.SWITCH(Z145,1,Z269,THIN!$F$9+1,Z269-THIN!$F$33*Y269,Z269-Y269)</f>
        <v>2.7791105538674721</v>
      </c>
      <c r="AA310" s="147">
        <f>_xlfn.SWITCH(AA145,1,AA269,THIN!$F$9+1,AA269-THIN!$F$33*Z269,AA269-Z269)</f>
        <v>2.8065991575093356</v>
      </c>
      <c r="AB310" s="147">
        <f>_xlfn.SWITCH(AB145,1,AB269,THIN!$F$9+1,AB269-THIN!$F$33*AA269,AB269-AA269)</f>
        <v>2.8190170305738036</v>
      </c>
      <c r="AC310" s="147">
        <f>_xlfn.SWITCH(AC145,1,AC269,THIN!$F$9+1,AC269-THIN!$F$33*AB269,AC269-AB269)</f>
        <v>2.8178092665428665</v>
      </c>
      <c r="AD310" s="147">
        <f>_xlfn.SWITCH(AD145,1,AD269,THIN!$F$9+1,AD269-THIN!$F$33*AC269,AD269-AC269)</f>
        <v>2.804416107421595</v>
      </c>
      <c r="AE310" s="147">
        <f>_xlfn.SWITCH(AE145,1,AE269,THIN!$F$9+1,AE269-THIN!$F$33*AD269,AE269-AD269)</f>
        <v>1.3801503036642727E-2</v>
      </c>
      <c r="AF310" s="147">
        <f>_xlfn.SWITCH(AF145,1,AF269,THIN!$F$9+1,AF269-THIN!$F$33*AE269,AF269-AE269)</f>
        <v>8.870660069358649E-2</v>
      </c>
      <c r="AG310" s="147">
        <f>_xlfn.SWITCH(AG145,1,AG269,THIN!$F$9+1,AG269-THIN!$F$33*AF269,AG269-AF269)</f>
        <v>0.21889250191111381</v>
      </c>
      <c r="AH310" s="147">
        <f>_xlfn.SWITCH(AH145,1,AH269,THIN!$F$9+1,AH269-THIN!$F$33*AG269,AH269-AG269)</f>
        <v>0.38679027443885877</v>
      </c>
      <c r="AI310" s="147">
        <f>_xlfn.SWITCH(AI145,1,AI269,THIN!$F$9+1,AI269-THIN!$F$33*AH269,AI269-AH269)</f>
        <v>0.57839942135411293</v>
      </c>
      <c r="AJ310" s="147">
        <f>_xlfn.SWITCH(AJ145,1,AJ269,THIN!$F$9+1,AJ269-THIN!$F$33*AI269,AJ269-AI269)</f>
        <v>0.7826745636946395</v>
      </c>
      <c r="AK310" s="147">
        <f>_xlfn.SWITCH(AK145,1,AK269,THIN!$F$9+1,AK269-THIN!$F$33*AJ269,AK269-AJ269)</f>
        <v>0.99100916955596396</v>
      </c>
      <c r="AL310" s="147">
        <f>_xlfn.SWITCH(AL145,1,AL269,THIN!$F$9+1,AL269-THIN!$F$33*AK269,AL269-AK269)</f>
        <v>1.1968016682944005</v>
      </c>
      <c r="AM310" s="147">
        <f>_xlfn.SWITCH(AM145,1,AM269,THIN!$F$9+1,AM269-THIN!$F$33*AL269,AM269-AL269)</f>
        <v>1.3950914428611982</v>
      </c>
      <c r="AN310" s="147">
        <f>_xlfn.SWITCH(AN145,1,AN269,THIN!$F$9+1,AN269-THIN!$F$33*AM269,AN269-AM269)</f>
        <v>1.5822540365492577</v>
      </c>
      <c r="AO310" s="147">
        <f>_xlfn.SWITCH(AO145,1,AO269,THIN!$F$9+1,AO269-THIN!$F$33*AN269,AO269-AN269)</f>
        <v>1.7557464869953625</v>
      </c>
      <c r="AP310" s="147">
        <f>_xlfn.SWITCH(AP145,1,AP269,THIN!$F$9+1,AP269-THIN!$F$33*AO269,AP269-AO269)</f>
        <v>1.9138950482816846</v>
      </c>
      <c r="AQ310" s="147">
        <f>_xlfn.SWITCH(AQ145,1,AQ269,THIN!$F$9+1,AQ269-THIN!$F$33*AP269,AQ269-AP269)</f>
        <v>2.0557187141442146</v>
      </c>
      <c r="AR310" s="147">
        <f>_xlfn.SWITCH(AR145,1,AR269,THIN!$F$9+1,AR269-THIN!$F$33*AQ269,AR269-AQ269)</f>
        <v>2.1807829396979503</v>
      </c>
      <c r="AS310" s="147">
        <f>_xlfn.SWITCH(AS145,1,AS269,THIN!$F$9+1,AS269-THIN!$F$33*AR269,AS269-AR269)</f>
        <v>2.2890787998168136</v>
      </c>
      <c r="AT310" s="147">
        <f>_xlfn.SWITCH(AT145,1,AT269,THIN!$F$9+1,AT269-THIN!$F$33*AS269,AT269-AS269)</f>
        <v>0.59253502187002027</v>
      </c>
      <c r="AU310" s="147">
        <f>_xlfn.SWITCH(AU145,1,AU269,THIN!$F$9+1,AU269-THIN!$F$33*AT269,AU269-AT269)</f>
        <v>2.3707917230795683</v>
      </c>
      <c r="AV310" s="147">
        <f>_xlfn.SWITCH(AV145,1,AV269,THIN!$F$9+1,AV269-THIN!$F$33*AU269,AV269-AU269)</f>
        <v>2.4919688474695185</v>
      </c>
    </row>
    <row r="311" spans="2:48" ht="12.95" customHeight="1" x14ac:dyDescent="0.2">
      <c r="B311" s="14"/>
      <c r="C311" s="372">
        <v>13</v>
      </c>
      <c r="D311" s="372"/>
      <c r="E311" s="372"/>
      <c r="F311" s="253" t="s">
        <v>493</v>
      </c>
      <c r="G311" s="253" t="s">
        <v>395</v>
      </c>
      <c r="H311" s="277"/>
      <c r="I311" s="147"/>
      <c r="J311" s="147"/>
      <c r="K311" s="147"/>
      <c r="L311" s="147"/>
      <c r="M311" s="147"/>
      <c r="N311" s="147"/>
      <c r="O311" s="147"/>
      <c r="P311" s="147"/>
      <c r="Q311" s="147"/>
      <c r="R311" s="147"/>
      <c r="S311" s="147"/>
      <c r="T311" s="147"/>
      <c r="U311" s="147">
        <f>_xlfn.SWITCH(U146,1,U270,THIN!$F$9+1,U270-THIN!$F$33*T270,U270-T270)</f>
        <v>0.59253502187002027</v>
      </c>
      <c r="V311" s="147">
        <f>_xlfn.SWITCH(V146,1,V270,THIN!$F$9+1,V270-THIN!$F$33*U270,V270-U270)</f>
        <v>2.3707917230795683</v>
      </c>
      <c r="W311" s="147">
        <f>_xlfn.SWITCH(W146,1,W270,THIN!$F$9+1,W270-THIN!$F$33*V270,W270-V270)</f>
        <v>2.4919688474695185</v>
      </c>
      <c r="X311" s="147">
        <f>_xlfn.SWITCH(X146,1,X270,THIN!$F$9+1,X270-THIN!$F$33*W270,X270-W270)</f>
        <v>2.5926248904541112</v>
      </c>
      <c r="Y311" s="147">
        <f>_xlfn.SWITCH(Y146,1,Y270,THIN!$F$9+1,Y270-THIN!$F$33*X270,Y270-X270)</f>
        <v>2.6733697536680552</v>
      </c>
      <c r="Z311" s="147">
        <f>_xlfn.SWITCH(Z146,1,Z270,THIN!$F$9+1,Z270-THIN!$F$33*Y270,Z270-Y270)</f>
        <v>2.7351415660546046</v>
      </c>
      <c r="AA311" s="147">
        <f>_xlfn.SWITCH(AA146,1,AA270,THIN!$F$9+1,AA270-THIN!$F$33*Z270,AA270-Z270)</f>
        <v>2.7791105538674721</v>
      </c>
      <c r="AB311" s="147">
        <f>_xlfn.SWITCH(AB146,1,AB270,THIN!$F$9+1,AB270-THIN!$F$33*AA270,AB270-AA270)</f>
        <v>2.8065991575093356</v>
      </c>
      <c r="AC311" s="147">
        <f>_xlfn.SWITCH(AC146,1,AC270,THIN!$F$9+1,AC270-THIN!$F$33*AB270,AC270-AB270)</f>
        <v>2.8190170305738036</v>
      </c>
      <c r="AD311" s="147">
        <f>_xlfn.SWITCH(AD146,1,AD270,THIN!$F$9+1,AD270-THIN!$F$33*AC270,AD270-AC270)</f>
        <v>2.8178092665428665</v>
      </c>
      <c r="AE311" s="147">
        <f>_xlfn.SWITCH(AE146,1,AE270,THIN!$F$9+1,AE270-THIN!$F$33*AD270,AE270-AD270)</f>
        <v>2.804416107421595</v>
      </c>
      <c r="AF311" s="147">
        <f>_xlfn.SWITCH(AF146,1,AF270,THIN!$F$9+1,AF270-THIN!$F$33*AE270,AF270-AE270)</f>
        <v>1.3801503036642727E-2</v>
      </c>
      <c r="AG311" s="147">
        <f>_xlfn.SWITCH(AG146,1,AG270,THIN!$F$9+1,AG270-THIN!$F$33*AF270,AG270-AF270)</f>
        <v>8.870660069358649E-2</v>
      </c>
      <c r="AH311" s="147">
        <f>_xlfn.SWITCH(AH146,1,AH270,THIN!$F$9+1,AH270-THIN!$F$33*AG270,AH270-AG270)</f>
        <v>0.21889250191111381</v>
      </c>
      <c r="AI311" s="147">
        <f>_xlfn.SWITCH(AI146,1,AI270,THIN!$F$9+1,AI270-THIN!$F$33*AH270,AI270-AH270)</f>
        <v>0.38679027443885877</v>
      </c>
      <c r="AJ311" s="147">
        <f>_xlfn.SWITCH(AJ146,1,AJ270,THIN!$F$9+1,AJ270-THIN!$F$33*AI270,AJ270-AI270)</f>
        <v>0.57839942135411293</v>
      </c>
      <c r="AK311" s="147">
        <f>_xlfn.SWITCH(AK146,1,AK270,THIN!$F$9+1,AK270-THIN!$F$33*AJ270,AK270-AJ270)</f>
        <v>0.7826745636946395</v>
      </c>
      <c r="AL311" s="147">
        <f>_xlfn.SWITCH(AL146,1,AL270,THIN!$F$9+1,AL270-THIN!$F$33*AK270,AL270-AK270)</f>
        <v>0.99100916955596396</v>
      </c>
      <c r="AM311" s="147">
        <f>_xlfn.SWITCH(AM146,1,AM270,THIN!$F$9+1,AM270-THIN!$F$33*AL270,AM270-AL270)</f>
        <v>1.1968016682944005</v>
      </c>
      <c r="AN311" s="147">
        <f>_xlfn.SWITCH(AN146,1,AN270,THIN!$F$9+1,AN270-THIN!$F$33*AM270,AN270-AM270)</f>
        <v>1.3950914428611982</v>
      </c>
      <c r="AO311" s="147">
        <f>_xlfn.SWITCH(AO146,1,AO270,THIN!$F$9+1,AO270-THIN!$F$33*AN270,AO270-AN270)</f>
        <v>1.5822540365492577</v>
      </c>
      <c r="AP311" s="147">
        <f>_xlfn.SWITCH(AP146,1,AP270,THIN!$F$9+1,AP270-THIN!$F$33*AO270,AP270-AO270)</f>
        <v>1.7557464869953625</v>
      </c>
      <c r="AQ311" s="147">
        <f>_xlfn.SWITCH(AQ146,1,AQ270,THIN!$F$9+1,AQ270-THIN!$F$33*AP270,AQ270-AP270)</f>
        <v>1.9138950482816846</v>
      </c>
      <c r="AR311" s="147">
        <f>_xlfn.SWITCH(AR146,1,AR270,THIN!$F$9+1,AR270-THIN!$F$33*AQ270,AR270-AQ270)</f>
        <v>2.0557187141442146</v>
      </c>
      <c r="AS311" s="147">
        <f>_xlfn.SWITCH(AS146,1,AS270,THIN!$F$9+1,AS270-THIN!$F$33*AR270,AS270-AR270)</f>
        <v>2.1807829396979503</v>
      </c>
      <c r="AT311" s="147">
        <f>_xlfn.SWITCH(AT146,1,AT270,THIN!$F$9+1,AT270-THIN!$F$33*AS270,AT270-AS270)</f>
        <v>2.2890787998168136</v>
      </c>
      <c r="AU311" s="147">
        <f>_xlfn.SWITCH(AU146,1,AU270,THIN!$F$9+1,AU270-THIN!$F$33*AT270,AU270-AT270)</f>
        <v>0.59253502187002027</v>
      </c>
      <c r="AV311" s="147">
        <f>_xlfn.SWITCH(AV146,1,AV270,THIN!$F$9+1,AV270-THIN!$F$33*AU270,AV270-AU270)</f>
        <v>2.3707917230795683</v>
      </c>
    </row>
    <row r="312" spans="2:48" ht="12.95" customHeight="1" x14ac:dyDescent="0.2">
      <c r="B312" s="14"/>
      <c r="C312" s="372">
        <v>14</v>
      </c>
      <c r="D312" s="372"/>
      <c r="E312" s="372"/>
      <c r="F312" s="253" t="s">
        <v>493</v>
      </c>
      <c r="G312" s="253" t="s">
        <v>395</v>
      </c>
      <c r="H312" s="277"/>
      <c r="I312" s="147"/>
      <c r="J312" s="147"/>
      <c r="K312" s="147"/>
      <c r="L312" s="147"/>
      <c r="M312" s="147"/>
      <c r="N312" s="147"/>
      <c r="O312" s="147"/>
      <c r="P312" s="147"/>
      <c r="Q312" s="147"/>
      <c r="R312" s="147"/>
      <c r="S312" s="147"/>
      <c r="T312" s="147"/>
      <c r="U312" s="147"/>
      <c r="V312" s="147">
        <f>_xlfn.SWITCH(V147,1,V271,THIN!$F$9+1,V271-THIN!$F$33*U271,V271-U271)</f>
        <v>0.59253502187002027</v>
      </c>
      <c r="W312" s="147">
        <f>_xlfn.SWITCH(W147,1,W271,THIN!$F$9+1,W271-THIN!$F$33*V271,W271-V271)</f>
        <v>2.3707917230795683</v>
      </c>
      <c r="X312" s="147">
        <f>_xlfn.SWITCH(X147,1,X271,THIN!$F$9+1,X271-THIN!$F$33*W271,X271-W271)</f>
        <v>2.4919688474695185</v>
      </c>
      <c r="Y312" s="147">
        <f>_xlfn.SWITCH(Y147,1,Y271,THIN!$F$9+1,Y271-THIN!$F$33*X271,Y271-X271)</f>
        <v>2.5926248904541112</v>
      </c>
      <c r="Z312" s="147">
        <f>_xlfn.SWITCH(Z147,1,Z271,THIN!$F$9+1,Z271-THIN!$F$33*Y271,Z271-Y271)</f>
        <v>2.6733697536680552</v>
      </c>
      <c r="AA312" s="147">
        <f>_xlfn.SWITCH(AA147,1,AA271,THIN!$F$9+1,AA271-THIN!$F$33*Z271,AA271-Z271)</f>
        <v>2.7351415660546046</v>
      </c>
      <c r="AB312" s="147">
        <f>_xlfn.SWITCH(AB147,1,AB271,THIN!$F$9+1,AB271-THIN!$F$33*AA271,AB271-AA271)</f>
        <v>2.7791105538674721</v>
      </c>
      <c r="AC312" s="147">
        <f>_xlfn.SWITCH(AC147,1,AC271,THIN!$F$9+1,AC271-THIN!$F$33*AB271,AC271-AB271)</f>
        <v>2.8065991575093356</v>
      </c>
      <c r="AD312" s="147">
        <f>_xlfn.SWITCH(AD147,1,AD271,THIN!$F$9+1,AD271-THIN!$F$33*AC271,AD271-AC271)</f>
        <v>2.8190170305738036</v>
      </c>
      <c r="AE312" s="147">
        <f>_xlfn.SWITCH(AE147,1,AE271,THIN!$F$9+1,AE271-THIN!$F$33*AD271,AE271-AD271)</f>
        <v>2.8178092665428665</v>
      </c>
      <c r="AF312" s="147">
        <f>_xlfn.SWITCH(AF147,1,AF271,THIN!$F$9+1,AF271-THIN!$F$33*AE271,AF271-AE271)</f>
        <v>2.804416107421595</v>
      </c>
      <c r="AG312" s="147">
        <f>_xlfn.SWITCH(AG147,1,AG271,THIN!$F$9+1,AG271-THIN!$F$33*AF271,AG271-AF271)</f>
        <v>1.3801503036642727E-2</v>
      </c>
      <c r="AH312" s="147">
        <f>_xlfn.SWITCH(AH147,1,AH271,THIN!$F$9+1,AH271-THIN!$F$33*AG271,AH271-AG271)</f>
        <v>8.870660069358649E-2</v>
      </c>
      <c r="AI312" s="147">
        <f>_xlfn.SWITCH(AI147,1,AI271,THIN!$F$9+1,AI271-THIN!$F$33*AH271,AI271-AH271)</f>
        <v>0.21889250191111381</v>
      </c>
      <c r="AJ312" s="147">
        <f>_xlfn.SWITCH(AJ147,1,AJ271,THIN!$F$9+1,AJ271-THIN!$F$33*AI271,AJ271-AI271)</f>
        <v>0.38679027443885877</v>
      </c>
      <c r="AK312" s="147">
        <f>_xlfn.SWITCH(AK147,1,AK271,THIN!$F$9+1,AK271-THIN!$F$33*AJ271,AK271-AJ271)</f>
        <v>0.57839942135411293</v>
      </c>
      <c r="AL312" s="147">
        <f>_xlfn.SWITCH(AL147,1,AL271,THIN!$F$9+1,AL271-THIN!$F$33*AK271,AL271-AK271)</f>
        <v>0.7826745636946395</v>
      </c>
      <c r="AM312" s="147">
        <f>_xlfn.SWITCH(AM147,1,AM271,THIN!$F$9+1,AM271-THIN!$F$33*AL271,AM271-AL271)</f>
        <v>0.99100916955596396</v>
      </c>
      <c r="AN312" s="147">
        <f>_xlfn.SWITCH(AN147,1,AN271,THIN!$F$9+1,AN271-THIN!$F$33*AM271,AN271-AM271)</f>
        <v>1.1968016682944005</v>
      </c>
      <c r="AO312" s="147">
        <f>_xlfn.SWITCH(AO147,1,AO271,THIN!$F$9+1,AO271-THIN!$F$33*AN271,AO271-AN271)</f>
        <v>1.3950914428611982</v>
      </c>
      <c r="AP312" s="147">
        <f>_xlfn.SWITCH(AP147,1,AP271,THIN!$F$9+1,AP271-THIN!$F$33*AO271,AP271-AO271)</f>
        <v>1.5822540365492577</v>
      </c>
      <c r="AQ312" s="147">
        <f>_xlfn.SWITCH(AQ147,1,AQ271,THIN!$F$9+1,AQ271-THIN!$F$33*AP271,AQ271-AP271)</f>
        <v>1.7557464869953625</v>
      </c>
      <c r="AR312" s="147">
        <f>_xlfn.SWITCH(AR147,1,AR271,THIN!$F$9+1,AR271-THIN!$F$33*AQ271,AR271-AQ271)</f>
        <v>1.9138950482816846</v>
      </c>
      <c r="AS312" s="147">
        <f>_xlfn.SWITCH(AS147,1,AS271,THIN!$F$9+1,AS271-THIN!$F$33*AR271,AS271-AR271)</f>
        <v>2.0557187141442146</v>
      </c>
      <c r="AT312" s="147">
        <f>_xlfn.SWITCH(AT147,1,AT271,THIN!$F$9+1,AT271-THIN!$F$33*AS271,AT271-AS271)</f>
        <v>2.1807829396979503</v>
      </c>
      <c r="AU312" s="147">
        <f>_xlfn.SWITCH(AU147,1,AU271,THIN!$F$9+1,AU271-THIN!$F$33*AT271,AU271-AT271)</f>
        <v>2.2890787998168136</v>
      </c>
      <c r="AV312" s="147">
        <f>_xlfn.SWITCH(AV147,1,AV271,THIN!$F$9+1,AV271-THIN!$F$33*AU271,AV271-AU271)</f>
        <v>0.59253502187002027</v>
      </c>
    </row>
    <row r="313" spans="2:48" ht="12.95" customHeight="1" x14ac:dyDescent="0.2">
      <c r="B313" s="14"/>
      <c r="C313" s="372">
        <v>15</v>
      </c>
      <c r="D313" s="372"/>
      <c r="E313" s="372"/>
      <c r="F313" s="253" t="s">
        <v>493</v>
      </c>
      <c r="G313" s="253" t="s">
        <v>395</v>
      </c>
      <c r="H313" s="277"/>
      <c r="I313" s="147"/>
      <c r="J313" s="147"/>
      <c r="K313" s="147"/>
      <c r="L313" s="147"/>
      <c r="M313" s="147"/>
      <c r="N313" s="147"/>
      <c r="O313" s="147"/>
      <c r="P313" s="147"/>
      <c r="Q313" s="147"/>
      <c r="R313" s="147"/>
      <c r="S313" s="147"/>
      <c r="T313" s="147"/>
      <c r="U313" s="147"/>
      <c r="V313" s="147"/>
      <c r="W313" s="147">
        <f>_xlfn.SWITCH(W148,1,W272,THIN!$F$9+1,W272-THIN!$F$33*V272,W272-V272)</f>
        <v>0.59253502187002027</v>
      </c>
      <c r="X313" s="147">
        <f>_xlfn.SWITCH(X148,1,X272,THIN!$F$9+1,X272-THIN!$F$33*W272,X272-W272)</f>
        <v>2.3707917230795683</v>
      </c>
      <c r="Y313" s="147">
        <f>_xlfn.SWITCH(Y148,1,Y272,THIN!$F$9+1,Y272-THIN!$F$33*X272,Y272-X272)</f>
        <v>2.4919688474695185</v>
      </c>
      <c r="Z313" s="147">
        <f>_xlfn.SWITCH(Z148,1,Z272,THIN!$F$9+1,Z272-THIN!$F$33*Y272,Z272-Y272)</f>
        <v>2.5926248904541112</v>
      </c>
      <c r="AA313" s="147">
        <f>_xlfn.SWITCH(AA148,1,AA272,THIN!$F$9+1,AA272-THIN!$F$33*Z272,AA272-Z272)</f>
        <v>2.6733697536680552</v>
      </c>
      <c r="AB313" s="147">
        <f>_xlfn.SWITCH(AB148,1,AB272,THIN!$F$9+1,AB272-THIN!$F$33*AA272,AB272-AA272)</f>
        <v>2.7351415660546046</v>
      </c>
      <c r="AC313" s="147">
        <f>_xlfn.SWITCH(AC148,1,AC272,THIN!$F$9+1,AC272-THIN!$F$33*AB272,AC272-AB272)</f>
        <v>2.7791105538674721</v>
      </c>
      <c r="AD313" s="147">
        <f>_xlfn.SWITCH(AD148,1,AD272,THIN!$F$9+1,AD272-THIN!$F$33*AC272,AD272-AC272)</f>
        <v>2.8065991575093356</v>
      </c>
      <c r="AE313" s="147">
        <f>_xlfn.SWITCH(AE148,1,AE272,THIN!$F$9+1,AE272-THIN!$F$33*AD272,AE272-AD272)</f>
        <v>2.8190170305738036</v>
      </c>
      <c r="AF313" s="147">
        <f>_xlfn.SWITCH(AF148,1,AF272,THIN!$F$9+1,AF272-THIN!$F$33*AE272,AF272-AE272)</f>
        <v>2.8178092665428665</v>
      </c>
      <c r="AG313" s="147">
        <f>_xlfn.SWITCH(AG148,1,AG272,THIN!$F$9+1,AG272-THIN!$F$33*AF272,AG272-AF272)</f>
        <v>2.804416107421595</v>
      </c>
      <c r="AH313" s="147">
        <f>_xlfn.SWITCH(AH148,1,AH272,THIN!$F$9+1,AH272-THIN!$F$33*AG272,AH272-AG272)</f>
        <v>1.3801503036642727E-2</v>
      </c>
      <c r="AI313" s="147">
        <f>_xlfn.SWITCH(AI148,1,AI272,THIN!$F$9+1,AI272-THIN!$F$33*AH272,AI272-AH272)</f>
        <v>8.870660069358649E-2</v>
      </c>
      <c r="AJ313" s="147">
        <f>_xlfn.SWITCH(AJ148,1,AJ272,THIN!$F$9+1,AJ272-THIN!$F$33*AI272,AJ272-AI272)</f>
        <v>0.21889250191111381</v>
      </c>
      <c r="AK313" s="147">
        <f>_xlfn.SWITCH(AK148,1,AK272,THIN!$F$9+1,AK272-THIN!$F$33*AJ272,AK272-AJ272)</f>
        <v>0.38679027443885877</v>
      </c>
      <c r="AL313" s="147">
        <f>_xlfn.SWITCH(AL148,1,AL272,THIN!$F$9+1,AL272-THIN!$F$33*AK272,AL272-AK272)</f>
        <v>0.57839942135411293</v>
      </c>
      <c r="AM313" s="147">
        <f>_xlfn.SWITCH(AM148,1,AM272,THIN!$F$9+1,AM272-THIN!$F$33*AL272,AM272-AL272)</f>
        <v>0.7826745636946395</v>
      </c>
      <c r="AN313" s="147">
        <f>_xlfn.SWITCH(AN148,1,AN272,THIN!$F$9+1,AN272-THIN!$F$33*AM272,AN272-AM272)</f>
        <v>0.99100916955596396</v>
      </c>
      <c r="AO313" s="147">
        <f>_xlfn.SWITCH(AO148,1,AO272,THIN!$F$9+1,AO272-THIN!$F$33*AN272,AO272-AN272)</f>
        <v>1.1968016682944005</v>
      </c>
      <c r="AP313" s="147">
        <f>_xlfn.SWITCH(AP148,1,AP272,THIN!$F$9+1,AP272-THIN!$F$33*AO272,AP272-AO272)</f>
        <v>1.3950914428611982</v>
      </c>
      <c r="AQ313" s="147">
        <f>_xlfn.SWITCH(AQ148,1,AQ272,THIN!$F$9+1,AQ272-THIN!$F$33*AP272,AQ272-AP272)</f>
        <v>1.5822540365492577</v>
      </c>
      <c r="AR313" s="147">
        <f>_xlfn.SWITCH(AR148,1,AR272,THIN!$F$9+1,AR272-THIN!$F$33*AQ272,AR272-AQ272)</f>
        <v>1.7557464869953625</v>
      </c>
      <c r="AS313" s="147">
        <f>_xlfn.SWITCH(AS148,1,AS272,THIN!$F$9+1,AS272-THIN!$F$33*AR272,AS272-AR272)</f>
        <v>1.9138950482816846</v>
      </c>
      <c r="AT313" s="147">
        <f>_xlfn.SWITCH(AT148,1,AT272,THIN!$F$9+1,AT272-THIN!$F$33*AS272,AT272-AS272)</f>
        <v>2.0557187141442146</v>
      </c>
      <c r="AU313" s="147">
        <f>_xlfn.SWITCH(AU148,1,AU272,THIN!$F$9+1,AU272-THIN!$F$33*AT272,AU272-AT272)</f>
        <v>2.1807829396979503</v>
      </c>
      <c r="AV313" s="147">
        <f>_xlfn.SWITCH(AV148,1,AV272,THIN!$F$9+1,AV272-THIN!$F$33*AU272,AV272-AU272)</f>
        <v>2.2890787998168136</v>
      </c>
    </row>
    <row r="314" spans="2:48" ht="12.95" customHeight="1" x14ac:dyDescent="0.2">
      <c r="B314" s="14"/>
      <c r="C314" s="372">
        <v>16</v>
      </c>
      <c r="D314" s="372"/>
      <c r="E314" s="372"/>
      <c r="F314" s="253" t="s">
        <v>493</v>
      </c>
      <c r="G314" s="253" t="s">
        <v>395</v>
      </c>
      <c r="H314" s="277"/>
      <c r="I314" s="147"/>
      <c r="J314" s="147"/>
      <c r="K314" s="147"/>
      <c r="L314" s="147"/>
      <c r="M314" s="147"/>
      <c r="N314" s="147"/>
      <c r="O314" s="147"/>
      <c r="P314" s="147"/>
      <c r="Q314" s="147"/>
      <c r="R314" s="147"/>
      <c r="S314" s="147"/>
      <c r="T314" s="147"/>
      <c r="U314" s="147"/>
      <c r="V314" s="147"/>
      <c r="W314" s="147"/>
      <c r="X314" s="147">
        <f>_xlfn.SWITCH(X149,1,X273,THIN!$F$9+1,X273-THIN!$F$33*W273,X273-W273)</f>
        <v>0.59253502187002027</v>
      </c>
      <c r="Y314" s="147">
        <f>_xlfn.SWITCH(Y149,1,Y273,THIN!$F$9+1,Y273-THIN!$F$33*X273,Y273-X273)</f>
        <v>2.3707917230795683</v>
      </c>
      <c r="Z314" s="147">
        <f>_xlfn.SWITCH(Z149,1,Z273,THIN!$F$9+1,Z273-THIN!$F$33*Y273,Z273-Y273)</f>
        <v>2.4919688474695185</v>
      </c>
      <c r="AA314" s="147">
        <f>_xlfn.SWITCH(AA149,1,AA273,THIN!$F$9+1,AA273-THIN!$F$33*Z273,AA273-Z273)</f>
        <v>2.5926248904541112</v>
      </c>
      <c r="AB314" s="147">
        <f>_xlfn.SWITCH(AB149,1,AB273,THIN!$F$9+1,AB273-THIN!$F$33*AA273,AB273-AA273)</f>
        <v>2.6733697536680552</v>
      </c>
      <c r="AC314" s="147">
        <f>_xlfn.SWITCH(AC149,1,AC273,THIN!$F$9+1,AC273-THIN!$F$33*AB273,AC273-AB273)</f>
        <v>2.7351415660546046</v>
      </c>
      <c r="AD314" s="147">
        <f>_xlfn.SWITCH(AD149,1,AD273,THIN!$F$9+1,AD273-THIN!$F$33*AC273,AD273-AC273)</f>
        <v>2.7791105538674721</v>
      </c>
      <c r="AE314" s="147">
        <f>_xlfn.SWITCH(AE149,1,AE273,THIN!$F$9+1,AE273-THIN!$F$33*AD273,AE273-AD273)</f>
        <v>2.8065991575093356</v>
      </c>
      <c r="AF314" s="147">
        <f>_xlfn.SWITCH(AF149,1,AF273,THIN!$F$9+1,AF273-THIN!$F$33*AE273,AF273-AE273)</f>
        <v>2.8190170305738036</v>
      </c>
      <c r="AG314" s="147">
        <f>_xlfn.SWITCH(AG149,1,AG273,THIN!$F$9+1,AG273-THIN!$F$33*AF273,AG273-AF273)</f>
        <v>2.8178092665428665</v>
      </c>
      <c r="AH314" s="147">
        <f>_xlfn.SWITCH(AH149,1,AH273,THIN!$F$9+1,AH273-THIN!$F$33*AG273,AH273-AG273)</f>
        <v>2.804416107421595</v>
      </c>
      <c r="AI314" s="147">
        <f>_xlfn.SWITCH(AI149,1,AI273,THIN!$F$9+1,AI273-THIN!$F$33*AH273,AI273-AH273)</f>
        <v>1.3801503036642727E-2</v>
      </c>
      <c r="AJ314" s="147">
        <f>_xlfn.SWITCH(AJ149,1,AJ273,THIN!$F$9+1,AJ273-THIN!$F$33*AI273,AJ273-AI273)</f>
        <v>8.870660069358649E-2</v>
      </c>
      <c r="AK314" s="147">
        <f>_xlfn.SWITCH(AK149,1,AK273,THIN!$F$9+1,AK273-THIN!$F$33*AJ273,AK273-AJ273)</f>
        <v>0.21889250191111381</v>
      </c>
      <c r="AL314" s="147">
        <f>_xlfn.SWITCH(AL149,1,AL273,THIN!$F$9+1,AL273-THIN!$F$33*AK273,AL273-AK273)</f>
        <v>0.38679027443885877</v>
      </c>
      <c r="AM314" s="147">
        <f>_xlfn.SWITCH(AM149,1,AM273,THIN!$F$9+1,AM273-THIN!$F$33*AL273,AM273-AL273)</f>
        <v>0.57839942135411293</v>
      </c>
      <c r="AN314" s="147">
        <f>_xlfn.SWITCH(AN149,1,AN273,THIN!$F$9+1,AN273-THIN!$F$33*AM273,AN273-AM273)</f>
        <v>0.7826745636946395</v>
      </c>
      <c r="AO314" s="147">
        <f>_xlfn.SWITCH(AO149,1,AO273,THIN!$F$9+1,AO273-THIN!$F$33*AN273,AO273-AN273)</f>
        <v>0.99100916955596396</v>
      </c>
      <c r="AP314" s="147">
        <f>_xlfn.SWITCH(AP149,1,AP273,THIN!$F$9+1,AP273-THIN!$F$33*AO273,AP273-AO273)</f>
        <v>1.1968016682944005</v>
      </c>
      <c r="AQ314" s="147">
        <f>_xlfn.SWITCH(AQ149,1,AQ273,THIN!$F$9+1,AQ273-THIN!$F$33*AP273,AQ273-AP273)</f>
        <v>1.3950914428611982</v>
      </c>
      <c r="AR314" s="147">
        <f>_xlfn.SWITCH(AR149,1,AR273,THIN!$F$9+1,AR273-THIN!$F$33*AQ273,AR273-AQ273)</f>
        <v>1.5822540365492577</v>
      </c>
      <c r="AS314" s="147">
        <f>_xlfn.SWITCH(AS149,1,AS273,THIN!$F$9+1,AS273-THIN!$F$33*AR273,AS273-AR273)</f>
        <v>1.7557464869953625</v>
      </c>
      <c r="AT314" s="147">
        <f>_xlfn.SWITCH(AT149,1,AT273,THIN!$F$9+1,AT273-THIN!$F$33*AS273,AT273-AS273)</f>
        <v>1.9138950482816846</v>
      </c>
      <c r="AU314" s="147">
        <f>_xlfn.SWITCH(AU149,1,AU273,THIN!$F$9+1,AU273-THIN!$F$33*AT273,AU273-AT273)</f>
        <v>2.0557187141442146</v>
      </c>
      <c r="AV314" s="147">
        <f>_xlfn.SWITCH(AV149,1,AV273,THIN!$F$9+1,AV273-THIN!$F$33*AU273,AV273-AU273)</f>
        <v>2.1807829396979503</v>
      </c>
    </row>
    <row r="315" spans="2:48" ht="12.95" customHeight="1" x14ac:dyDescent="0.2">
      <c r="B315" s="14"/>
      <c r="C315" s="372">
        <v>17</v>
      </c>
      <c r="D315" s="372"/>
      <c r="E315" s="372"/>
      <c r="F315" s="253" t="s">
        <v>493</v>
      </c>
      <c r="G315" s="253" t="s">
        <v>395</v>
      </c>
      <c r="H315" s="277"/>
      <c r="I315" s="147"/>
      <c r="J315" s="147"/>
      <c r="K315" s="147"/>
      <c r="L315" s="147"/>
      <c r="M315" s="147"/>
      <c r="N315" s="147"/>
      <c r="O315" s="147"/>
      <c r="P315" s="147"/>
      <c r="Q315" s="147"/>
      <c r="R315" s="147"/>
      <c r="S315" s="147"/>
      <c r="T315" s="147"/>
      <c r="U315" s="147"/>
      <c r="V315" s="147"/>
      <c r="W315" s="147"/>
      <c r="X315" s="147"/>
      <c r="Y315" s="147">
        <f>_xlfn.SWITCH(Y150,1,Y274,THIN!$F$9+1,Y274-THIN!$F$33*X274,Y274-X274)</f>
        <v>0.59253502187002027</v>
      </c>
      <c r="Z315" s="147">
        <f>_xlfn.SWITCH(Z150,1,Z274,THIN!$F$9+1,Z274-THIN!$F$33*Y274,Z274-Y274)</f>
        <v>2.3707917230795683</v>
      </c>
      <c r="AA315" s="147">
        <f>_xlfn.SWITCH(AA150,1,AA274,THIN!$F$9+1,AA274-THIN!$F$33*Z274,AA274-Z274)</f>
        <v>2.4919688474695185</v>
      </c>
      <c r="AB315" s="147">
        <f>_xlfn.SWITCH(AB150,1,AB274,THIN!$F$9+1,AB274-THIN!$F$33*AA274,AB274-AA274)</f>
        <v>2.5926248904541112</v>
      </c>
      <c r="AC315" s="147">
        <f>_xlfn.SWITCH(AC150,1,AC274,THIN!$F$9+1,AC274-THIN!$F$33*AB274,AC274-AB274)</f>
        <v>2.6733697536680552</v>
      </c>
      <c r="AD315" s="147">
        <f>_xlfn.SWITCH(AD150,1,AD274,THIN!$F$9+1,AD274-THIN!$F$33*AC274,AD274-AC274)</f>
        <v>2.7351415660546046</v>
      </c>
      <c r="AE315" s="147">
        <f>_xlfn.SWITCH(AE150,1,AE274,THIN!$F$9+1,AE274-THIN!$F$33*AD274,AE274-AD274)</f>
        <v>2.7791105538674721</v>
      </c>
      <c r="AF315" s="147">
        <f>_xlfn.SWITCH(AF150,1,AF274,THIN!$F$9+1,AF274-THIN!$F$33*AE274,AF274-AE274)</f>
        <v>2.8065991575093356</v>
      </c>
      <c r="AG315" s="147">
        <f>_xlfn.SWITCH(AG150,1,AG274,THIN!$F$9+1,AG274-THIN!$F$33*AF274,AG274-AF274)</f>
        <v>2.8190170305738036</v>
      </c>
      <c r="AH315" s="147">
        <f>_xlfn.SWITCH(AH150,1,AH274,THIN!$F$9+1,AH274-THIN!$F$33*AG274,AH274-AG274)</f>
        <v>2.8178092665428665</v>
      </c>
      <c r="AI315" s="147">
        <f>_xlfn.SWITCH(AI150,1,AI274,THIN!$F$9+1,AI274-THIN!$F$33*AH274,AI274-AH274)</f>
        <v>2.804416107421595</v>
      </c>
      <c r="AJ315" s="147">
        <f>_xlfn.SWITCH(AJ150,1,AJ274,THIN!$F$9+1,AJ274-THIN!$F$33*AI274,AJ274-AI274)</f>
        <v>1.3801503036642727E-2</v>
      </c>
      <c r="AK315" s="147">
        <f>_xlfn.SWITCH(AK150,1,AK274,THIN!$F$9+1,AK274-THIN!$F$33*AJ274,AK274-AJ274)</f>
        <v>8.870660069358649E-2</v>
      </c>
      <c r="AL315" s="147">
        <f>_xlfn.SWITCH(AL150,1,AL274,THIN!$F$9+1,AL274-THIN!$F$33*AK274,AL274-AK274)</f>
        <v>0.21889250191111381</v>
      </c>
      <c r="AM315" s="147">
        <f>_xlfn.SWITCH(AM150,1,AM274,THIN!$F$9+1,AM274-THIN!$F$33*AL274,AM274-AL274)</f>
        <v>0.38679027443885877</v>
      </c>
      <c r="AN315" s="147">
        <f>_xlfn.SWITCH(AN150,1,AN274,THIN!$F$9+1,AN274-THIN!$F$33*AM274,AN274-AM274)</f>
        <v>0.57839942135411293</v>
      </c>
      <c r="AO315" s="147">
        <f>_xlfn.SWITCH(AO150,1,AO274,THIN!$F$9+1,AO274-THIN!$F$33*AN274,AO274-AN274)</f>
        <v>0.7826745636946395</v>
      </c>
      <c r="AP315" s="147">
        <f>_xlfn.SWITCH(AP150,1,AP274,THIN!$F$9+1,AP274-THIN!$F$33*AO274,AP274-AO274)</f>
        <v>0.99100916955596396</v>
      </c>
      <c r="AQ315" s="147">
        <f>_xlfn.SWITCH(AQ150,1,AQ274,THIN!$F$9+1,AQ274-THIN!$F$33*AP274,AQ274-AP274)</f>
        <v>1.1968016682944005</v>
      </c>
      <c r="AR315" s="147">
        <f>_xlfn.SWITCH(AR150,1,AR274,THIN!$F$9+1,AR274-THIN!$F$33*AQ274,AR274-AQ274)</f>
        <v>1.3950914428611982</v>
      </c>
      <c r="AS315" s="147">
        <f>_xlfn.SWITCH(AS150,1,AS274,THIN!$F$9+1,AS274-THIN!$F$33*AR274,AS274-AR274)</f>
        <v>1.5822540365492577</v>
      </c>
      <c r="AT315" s="147">
        <f>_xlfn.SWITCH(AT150,1,AT274,THIN!$F$9+1,AT274-THIN!$F$33*AS274,AT274-AS274)</f>
        <v>1.7557464869953625</v>
      </c>
      <c r="AU315" s="147">
        <f>_xlfn.SWITCH(AU150,1,AU274,THIN!$F$9+1,AU274-THIN!$F$33*AT274,AU274-AT274)</f>
        <v>1.9138950482816846</v>
      </c>
      <c r="AV315" s="147">
        <f>_xlfn.SWITCH(AV150,1,AV274,THIN!$F$9+1,AV274-THIN!$F$33*AU274,AV274-AU274)</f>
        <v>2.0557187141442146</v>
      </c>
    </row>
    <row r="316" spans="2:48" ht="12.95" customHeight="1" x14ac:dyDescent="0.2">
      <c r="B316" s="14"/>
      <c r="C316" s="372">
        <v>18</v>
      </c>
      <c r="D316" s="372"/>
      <c r="E316" s="372"/>
      <c r="F316" s="253" t="s">
        <v>493</v>
      </c>
      <c r="G316" s="253" t="s">
        <v>395</v>
      </c>
      <c r="H316" s="277"/>
      <c r="I316" s="147"/>
      <c r="J316" s="147"/>
      <c r="K316" s="147"/>
      <c r="L316" s="147"/>
      <c r="M316" s="147"/>
      <c r="N316" s="147"/>
      <c r="O316" s="147"/>
      <c r="P316" s="147"/>
      <c r="Q316" s="147"/>
      <c r="R316" s="147"/>
      <c r="S316" s="147"/>
      <c r="T316" s="147"/>
      <c r="U316" s="147"/>
      <c r="V316" s="147"/>
      <c r="W316" s="147"/>
      <c r="X316" s="147"/>
      <c r="Y316" s="147"/>
      <c r="Z316" s="147">
        <f>_xlfn.SWITCH(Z151,1,Z275,THIN!$F$9+1,Z275-THIN!$F$33*Y275,Z275-Y275)</f>
        <v>0.59253502187002027</v>
      </c>
      <c r="AA316" s="147">
        <f>_xlfn.SWITCH(AA151,1,AA275,THIN!$F$9+1,AA275-THIN!$F$33*Z275,AA275-Z275)</f>
        <v>2.3707917230795683</v>
      </c>
      <c r="AB316" s="147">
        <f>_xlfn.SWITCH(AB151,1,AB275,THIN!$F$9+1,AB275-THIN!$F$33*AA275,AB275-AA275)</f>
        <v>2.4919688474695185</v>
      </c>
      <c r="AC316" s="147">
        <f>_xlfn.SWITCH(AC151,1,AC275,THIN!$F$9+1,AC275-THIN!$F$33*AB275,AC275-AB275)</f>
        <v>2.5926248904541112</v>
      </c>
      <c r="AD316" s="147">
        <f>_xlfn.SWITCH(AD151,1,AD275,THIN!$F$9+1,AD275-THIN!$F$33*AC275,AD275-AC275)</f>
        <v>2.6733697536680552</v>
      </c>
      <c r="AE316" s="147">
        <f>_xlfn.SWITCH(AE151,1,AE275,THIN!$F$9+1,AE275-THIN!$F$33*AD275,AE275-AD275)</f>
        <v>2.7351415660546046</v>
      </c>
      <c r="AF316" s="147">
        <f>_xlfn.SWITCH(AF151,1,AF275,THIN!$F$9+1,AF275-THIN!$F$33*AE275,AF275-AE275)</f>
        <v>2.7791105538674721</v>
      </c>
      <c r="AG316" s="147">
        <f>_xlfn.SWITCH(AG151,1,AG275,THIN!$F$9+1,AG275-THIN!$F$33*AF275,AG275-AF275)</f>
        <v>2.8065991575093356</v>
      </c>
      <c r="AH316" s="147">
        <f>_xlfn.SWITCH(AH151,1,AH275,THIN!$F$9+1,AH275-THIN!$F$33*AG275,AH275-AG275)</f>
        <v>2.8190170305738036</v>
      </c>
      <c r="AI316" s="147">
        <f>_xlfn.SWITCH(AI151,1,AI275,THIN!$F$9+1,AI275-THIN!$F$33*AH275,AI275-AH275)</f>
        <v>2.8178092665428665</v>
      </c>
      <c r="AJ316" s="147">
        <f>_xlfn.SWITCH(AJ151,1,AJ275,THIN!$F$9+1,AJ275-THIN!$F$33*AI275,AJ275-AI275)</f>
        <v>2.804416107421595</v>
      </c>
      <c r="AK316" s="147">
        <f>_xlfn.SWITCH(AK151,1,AK275,THIN!$F$9+1,AK275-THIN!$F$33*AJ275,AK275-AJ275)</f>
        <v>1.3801503036642727E-2</v>
      </c>
      <c r="AL316" s="147">
        <f>_xlfn.SWITCH(AL151,1,AL275,THIN!$F$9+1,AL275-THIN!$F$33*AK275,AL275-AK275)</f>
        <v>8.870660069358649E-2</v>
      </c>
      <c r="AM316" s="147">
        <f>_xlfn.SWITCH(AM151,1,AM275,THIN!$F$9+1,AM275-THIN!$F$33*AL275,AM275-AL275)</f>
        <v>0.21889250191111381</v>
      </c>
      <c r="AN316" s="147">
        <f>_xlfn.SWITCH(AN151,1,AN275,THIN!$F$9+1,AN275-THIN!$F$33*AM275,AN275-AM275)</f>
        <v>0.38679027443885877</v>
      </c>
      <c r="AO316" s="147">
        <f>_xlfn.SWITCH(AO151,1,AO275,THIN!$F$9+1,AO275-THIN!$F$33*AN275,AO275-AN275)</f>
        <v>0.57839942135411293</v>
      </c>
      <c r="AP316" s="147">
        <f>_xlfn.SWITCH(AP151,1,AP275,THIN!$F$9+1,AP275-THIN!$F$33*AO275,AP275-AO275)</f>
        <v>0.7826745636946395</v>
      </c>
      <c r="AQ316" s="147">
        <f>_xlfn.SWITCH(AQ151,1,AQ275,THIN!$F$9+1,AQ275-THIN!$F$33*AP275,AQ275-AP275)</f>
        <v>0.99100916955596396</v>
      </c>
      <c r="AR316" s="147">
        <f>_xlfn.SWITCH(AR151,1,AR275,THIN!$F$9+1,AR275-THIN!$F$33*AQ275,AR275-AQ275)</f>
        <v>1.1968016682944005</v>
      </c>
      <c r="AS316" s="147">
        <f>_xlfn.SWITCH(AS151,1,AS275,THIN!$F$9+1,AS275-THIN!$F$33*AR275,AS275-AR275)</f>
        <v>1.3950914428611982</v>
      </c>
      <c r="AT316" s="147">
        <f>_xlfn.SWITCH(AT151,1,AT275,THIN!$F$9+1,AT275-THIN!$F$33*AS275,AT275-AS275)</f>
        <v>1.5822540365492577</v>
      </c>
      <c r="AU316" s="147">
        <f>_xlfn.SWITCH(AU151,1,AU275,THIN!$F$9+1,AU275-THIN!$F$33*AT275,AU275-AT275)</f>
        <v>1.7557464869953625</v>
      </c>
      <c r="AV316" s="147">
        <f>_xlfn.SWITCH(AV151,1,AV275,THIN!$F$9+1,AV275-THIN!$F$33*AU275,AV275-AU275)</f>
        <v>1.9138950482816846</v>
      </c>
    </row>
    <row r="317" spans="2:48" ht="12.95" customHeight="1" x14ac:dyDescent="0.2">
      <c r="B317" s="14"/>
      <c r="C317" s="372">
        <v>19</v>
      </c>
      <c r="D317" s="372"/>
      <c r="E317" s="372"/>
      <c r="F317" s="253" t="s">
        <v>493</v>
      </c>
      <c r="G317" s="253" t="s">
        <v>395</v>
      </c>
      <c r="H317" s="277"/>
      <c r="I317" s="147"/>
      <c r="J317" s="147"/>
      <c r="K317" s="147"/>
      <c r="L317" s="147"/>
      <c r="M317" s="147"/>
      <c r="N317" s="147"/>
      <c r="O317" s="147"/>
      <c r="P317" s="147"/>
      <c r="Q317" s="147"/>
      <c r="R317" s="147"/>
      <c r="S317" s="147"/>
      <c r="T317" s="147"/>
      <c r="U317" s="147"/>
      <c r="V317" s="147"/>
      <c r="W317" s="147"/>
      <c r="X317" s="147"/>
      <c r="Y317" s="147"/>
      <c r="Z317" s="147"/>
      <c r="AA317" s="147">
        <f>_xlfn.SWITCH(AA152,1,AA276,THIN!$F$9+1,AA276-THIN!$F$33*Z276,AA276-Z276)</f>
        <v>0.59253502187002027</v>
      </c>
      <c r="AB317" s="147">
        <f>_xlfn.SWITCH(AB152,1,AB276,THIN!$F$9+1,AB276-THIN!$F$33*AA276,AB276-AA276)</f>
        <v>2.3707917230795683</v>
      </c>
      <c r="AC317" s="147">
        <f>_xlfn.SWITCH(AC152,1,AC276,THIN!$F$9+1,AC276-THIN!$F$33*AB276,AC276-AB276)</f>
        <v>2.4919688474695185</v>
      </c>
      <c r="AD317" s="147">
        <f>_xlfn.SWITCH(AD152,1,AD276,THIN!$F$9+1,AD276-THIN!$F$33*AC276,AD276-AC276)</f>
        <v>2.5926248904541112</v>
      </c>
      <c r="AE317" s="147">
        <f>_xlfn.SWITCH(AE152,1,AE276,THIN!$F$9+1,AE276-THIN!$F$33*AD276,AE276-AD276)</f>
        <v>2.6733697536680552</v>
      </c>
      <c r="AF317" s="147">
        <f>_xlfn.SWITCH(AF152,1,AF276,THIN!$F$9+1,AF276-THIN!$F$33*AE276,AF276-AE276)</f>
        <v>2.7351415660546046</v>
      </c>
      <c r="AG317" s="147">
        <f>_xlfn.SWITCH(AG152,1,AG276,THIN!$F$9+1,AG276-THIN!$F$33*AF276,AG276-AF276)</f>
        <v>2.7791105538674721</v>
      </c>
      <c r="AH317" s="147">
        <f>_xlfn.SWITCH(AH152,1,AH276,THIN!$F$9+1,AH276-THIN!$F$33*AG276,AH276-AG276)</f>
        <v>2.8065991575093356</v>
      </c>
      <c r="AI317" s="147">
        <f>_xlfn.SWITCH(AI152,1,AI276,THIN!$F$9+1,AI276-THIN!$F$33*AH276,AI276-AH276)</f>
        <v>2.8190170305738036</v>
      </c>
      <c r="AJ317" s="147">
        <f>_xlfn.SWITCH(AJ152,1,AJ276,THIN!$F$9+1,AJ276-THIN!$F$33*AI276,AJ276-AI276)</f>
        <v>2.8178092665428665</v>
      </c>
      <c r="AK317" s="147">
        <f>_xlfn.SWITCH(AK152,1,AK276,THIN!$F$9+1,AK276-THIN!$F$33*AJ276,AK276-AJ276)</f>
        <v>2.804416107421595</v>
      </c>
      <c r="AL317" s="147">
        <f>_xlfn.SWITCH(AL152,1,AL276,THIN!$F$9+1,AL276-THIN!$F$33*AK276,AL276-AK276)</f>
        <v>1.3801503036642727E-2</v>
      </c>
      <c r="AM317" s="147">
        <f>_xlfn.SWITCH(AM152,1,AM276,THIN!$F$9+1,AM276-THIN!$F$33*AL276,AM276-AL276)</f>
        <v>8.870660069358649E-2</v>
      </c>
      <c r="AN317" s="147">
        <f>_xlfn.SWITCH(AN152,1,AN276,THIN!$F$9+1,AN276-THIN!$F$33*AM276,AN276-AM276)</f>
        <v>0.21889250191111381</v>
      </c>
      <c r="AO317" s="147">
        <f>_xlfn.SWITCH(AO152,1,AO276,THIN!$F$9+1,AO276-THIN!$F$33*AN276,AO276-AN276)</f>
        <v>0.38679027443885877</v>
      </c>
      <c r="AP317" s="147">
        <f>_xlfn.SWITCH(AP152,1,AP276,THIN!$F$9+1,AP276-THIN!$F$33*AO276,AP276-AO276)</f>
        <v>0.57839942135411293</v>
      </c>
      <c r="AQ317" s="147">
        <f>_xlfn.SWITCH(AQ152,1,AQ276,THIN!$F$9+1,AQ276-THIN!$F$33*AP276,AQ276-AP276)</f>
        <v>0.7826745636946395</v>
      </c>
      <c r="AR317" s="147">
        <f>_xlfn.SWITCH(AR152,1,AR276,THIN!$F$9+1,AR276-THIN!$F$33*AQ276,AR276-AQ276)</f>
        <v>0.99100916955596396</v>
      </c>
      <c r="AS317" s="147">
        <f>_xlfn.SWITCH(AS152,1,AS276,THIN!$F$9+1,AS276-THIN!$F$33*AR276,AS276-AR276)</f>
        <v>1.1968016682944005</v>
      </c>
      <c r="AT317" s="147">
        <f>_xlfn.SWITCH(AT152,1,AT276,THIN!$F$9+1,AT276-THIN!$F$33*AS276,AT276-AS276)</f>
        <v>1.3950914428611982</v>
      </c>
      <c r="AU317" s="147">
        <f>_xlfn.SWITCH(AU152,1,AU276,THIN!$F$9+1,AU276-THIN!$F$33*AT276,AU276-AT276)</f>
        <v>1.5822540365492577</v>
      </c>
      <c r="AV317" s="147">
        <f>_xlfn.SWITCH(AV152,1,AV276,THIN!$F$9+1,AV276-THIN!$F$33*AU276,AV276-AU276)</f>
        <v>1.7557464869953625</v>
      </c>
    </row>
    <row r="318" spans="2:48" ht="12.95" customHeight="1" x14ac:dyDescent="0.2">
      <c r="B318" s="14"/>
      <c r="C318" s="372">
        <v>20</v>
      </c>
      <c r="D318" s="372"/>
      <c r="E318" s="372"/>
      <c r="F318" s="253" t="s">
        <v>493</v>
      </c>
      <c r="G318" s="253" t="s">
        <v>395</v>
      </c>
      <c r="H318" s="277"/>
      <c r="I318" s="147"/>
      <c r="J318" s="147"/>
      <c r="K318" s="147"/>
      <c r="L318" s="147"/>
      <c r="M318" s="147"/>
      <c r="N318" s="147"/>
      <c r="O318" s="147"/>
      <c r="P318" s="147"/>
      <c r="Q318" s="147"/>
      <c r="R318" s="147"/>
      <c r="S318" s="147"/>
      <c r="T318" s="147"/>
      <c r="U318" s="147"/>
      <c r="V318" s="147"/>
      <c r="W318" s="147"/>
      <c r="X318" s="147"/>
      <c r="Y318" s="147"/>
      <c r="Z318" s="147"/>
      <c r="AA318" s="147"/>
      <c r="AB318" s="147">
        <f>_xlfn.SWITCH(AB153,1,AB277,THIN!$F$9+1,AB277-THIN!$F$33*AA277,AB277-AA277)</f>
        <v>0.59253502187002027</v>
      </c>
      <c r="AC318" s="147">
        <f>_xlfn.SWITCH(AC153,1,AC277,THIN!$F$9+1,AC277-THIN!$F$33*AB277,AC277-AB277)</f>
        <v>2.3707917230795683</v>
      </c>
      <c r="AD318" s="147">
        <f>_xlfn.SWITCH(AD153,1,AD277,THIN!$F$9+1,AD277-THIN!$F$33*AC277,AD277-AC277)</f>
        <v>2.4919688474695185</v>
      </c>
      <c r="AE318" s="147">
        <f>_xlfn.SWITCH(AE153,1,AE277,THIN!$F$9+1,AE277-THIN!$F$33*AD277,AE277-AD277)</f>
        <v>2.5926248904541112</v>
      </c>
      <c r="AF318" s="147">
        <f>_xlfn.SWITCH(AF153,1,AF277,THIN!$F$9+1,AF277-THIN!$F$33*AE277,AF277-AE277)</f>
        <v>2.6733697536680552</v>
      </c>
      <c r="AG318" s="147">
        <f>_xlfn.SWITCH(AG153,1,AG277,THIN!$F$9+1,AG277-THIN!$F$33*AF277,AG277-AF277)</f>
        <v>2.7351415660546046</v>
      </c>
      <c r="AH318" s="147">
        <f>_xlfn.SWITCH(AH153,1,AH277,THIN!$F$9+1,AH277-THIN!$F$33*AG277,AH277-AG277)</f>
        <v>2.7791105538674721</v>
      </c>
      <c r="AI318" s="147">
        <f>_xlfn.SWITCH(AI153,1,AI277,THIN!$F$9+1,AI277-THIN!$F$33*AH277,AI277-AH277)</f>
        <v>2.8065991575093356</v>
      </c>
      <c r="AJ318" s="147">
        <f>_xlfn.SWITCH(AJ153,1,AJ277,THIN!$F$9+1,AJ277-THIN!$F$33*AI277,AJ277-AI277)</f>
        <v>2.8190170305738036</v>
      </c>
      <c r="AK318" s="147">
        <f>_xlfn.SWITCH(AK153,1,AK277,THIN!$F$9+1,AK277-THIN!$F$33*AJ277,AK277-AJ277)</f>
        <v>2.8178092665428665</v>
      </c>
      <c r="AL318" s="147">
        <f>_xlfn.SWITCH(AL153,1,AL277,THIN!$F$9+1,AL277-THIN!$F$33*AK277,AL277-AK277)</f>
        <v>2.804416107421595</v>
      </c>
      <c r="AM318" s="147">
        <f>_xlfn.SWITCH(AM153,1,AM277,THIN!$F$9+1,AM277-THIN!$F$33*AL277,AM277-AL277)</f>
        <v>1.3801503036642727E-2</v>
      </c>
      <c r="AN318" s="147">
        <f>_xlfn.SWITCH(AN153,1,AN277,THIN!$F$9+1,AN277-THIN!$F$33*AM277,AN277-AM277)</f>
        <v>8.870660069358649E-2</v>
      </c>
      <c r="AO318" s="147">
        <f>_xlfn.SWITCH(AO153,1,AO277,THIN!$F$9+1,AO277-THIN!$F$33*AN277,AO277-AN277)</f>
        <v>0.21889250191111381</v>
      </c>
      <c r="AP318" s="147">
        <f>_xlfn.SWITCH(AP153,1,AP277,THIN!$F$9+1,AP277-THIN!$F$33*AO277,AP277-AO277)</f>
        <v>0.38679027443885877</v>
      </c>
      <c r="AQ318" s="147">
        <f>_xlfn.SWITCH(AQ153,1,AQ277,THIN!$F$9+1,AQ277-THIN!$F$33*AP277,AQ277-AP277)</f>
        <v>0.57839942135411293</v>
      </c>
      <c r="AR318" s="147">
        <f>_xlfn.SWITCH(AR153,1,AR277,THIN!$F$9+1,AR277-THIN!$F$33*AQ277,AR277-AQ277)</f>
        <v>0.7826745636946395</v>
      </c>
      <c r="AS318" s="147">
        <f>_xlfn.SWITCH(AS153,1,AS277,THIN!$F$9+1,AS277-THIN!$F$33*AR277,AS277-AR277)</f>
        <v>0.99100916955596396</v>
      </c>
      <c r="AT318" s="147">
        <f>_xlfn.SWITCH(AT153,1,AT277,THIN!$F$9+1,AT277-THIN!$F$33*AS277,AT277-AS277)</f>
        <v>1.1968016682944005</v>
      </c>
      <c r="AU318" s="147">
        <f>_xlfn.SWITCH(AU153,1,AU277,THIN!$F$9+1,AU277-THIN!$F$33*AT277,AU277-AT277)</f>
        <v>1.3950914428611982</v>
      </c>
      <c r="AV318" s="147">
        <f>_xlfn.SWITCH(AV153,1,AV277,THIN!$F$9+1,AV277-THIN!$F$33*AU277,AV277-AU277)</f>
        <v>1.5822540365492577</v>
      </c>
    </row>
    <row r="319" spans="2:48" ht="12.95" customHeight="1" x14ac:dyDescent="0.2">
      <c r="B319" s="14"/>
      <c r="C319" s="372">
        <v>21</v>
      </c>
      <c r="D319" s="372"/>
      <c r="E319" s="372"/>
      <c r="F319" s="253" t="s">
        <v>493</v>
      </c>
      <c r="G319" s="253" t="s">
        <v>395</v>
      </c>
      <c r="H319" s="277"/>
      <c r="I319" s="147"/>
      <c r="J319" s="147"/>
      <c r="K319" s="147"/>
      <c r="L319" s="147"/>
      <c r="M319" s="147"/>
      <c r="N319" s="147"/>
      <c r="O319" s="147"/>
      <c r="P319" s="147"/>
      <c r="Q319" s="147"/>
      <c r="R319" s="147"/>
      <c r="S319" s="147"/>
      <c r="T319" s="147"/>
      <c r="U319" s="147"/>
      <c r="V319" s="147"/>
      <c r="W319" s="147"/>
      <c r="X319" s="147"/>
      <c r="Y319" s="147"/>
      <c r="Z319" s="147"/>
      <c r="AA319" s="147"/>
      <c r="AB319" s="147"/>
      <c r="AC319" s="147">
        <f>_xlfn.SWITCH(AC154,1,AC278,THIN!$F$9+1,AC278-THIN!$F$33*AB278,AC278-AB278)</f>
        <v>0.59253502187002027</v>
      </c>
      <c r="AD319" s="147">
        <f>_xlfn.SWITCH(AD154,1,AD278,THIN!$F$9+1,AD278-THIN!$F$33*AC278,AD278-AC278)</f>
        <v>2.3707917230795683</v>
      </c>
      <c r="AE319" s="147">
        <f>_xlfn.SWITCH(AE154,1,AE278,THIN!$F$9+1,AE278-THIN!$F$33*AD278,AE278-AD278)</f>
        <v>2.4919688474695185</v>
      </c>
      <c r="AF319" s="147">
        <f>_xlfn.SWITCH(AF154,1,AF278,THIN!$F$9+1,AF278-THIN!$F$33*AE278,AF278-AE278)</f>
        <v>2.5926248904541112</v>
      </c>
      <c r="AG319" s="147">
        <f>_xlfn.SWITCH(AG154,1,AG278,THIN!$F$9+1,AG278-THIN!$F$33*AF278,AG278-AF278)</f>
        <v>2.6733697536680552</v>
      </c>
      <c r="AH319" s="147">
        <f>_xlfn.SWITCH(AH154,1,AH278,THIN!$F$9+1,AH278-THIN!$F$33*AG278,AH278-AG278)</f>
        <v>2.7351415660546046</v>
      </c>
      <c r="AI319" s="147">
        <f>_xlfn.SWITCH(AI154,1,AI278,THIN!$F$9+1,AI278-THIN!$F$33*AH278,AI278-AH278)</f>
        <v>2.7791105538674721</v>
      </c>
      <c r="AJ319" s="147">
        <f>_xlfn.SWITCH(AJ154,1,AJ278,THIN!$F$9+1,AJ278-THIN!$F$33*AI278,AJ278-AI278)</f>
        <v>2.8065991575093356</v>
      </c>
      <c r="AK319" s="147">
        <f>_xlfn.SWITCH(AK154,1,AK278,THIN!$F$9+1,AK278-THIN!$F$33*AJ278,AK278-AJ278)</f>
        <v>2.8190170305738036</v>
      </c>
      <c r="AL319" s="147">
        <f>_xlfn.SWITCH(AL154,1,AL278,THIN!$F$9+1,AL278-THIN!$F$33*AK278,AL278-AK278)</f>
        <v>2.8178092665428665</v>
      </c>
      <c r="AM319" s="147">
        <f>_xlfn.SWITCH(AM154,1,AM278,THIN!$F$9+1,AM278-THIN!$F$33*AL278,AM278-AL278)</f>
        <v>2.804416107421595</v>
      </c>
      <c r="AN319" s="147">
        <f>_xlfn.SWITCH(AN154,1,AN278,THIN!$F$9+1,AN278-THIN!$F$33*AM278,AN278-AM278)</f>
        <v>1.3801503036642727E-2</v>
      </c>
      <c r="AO319" s="147">
        <f>_xlfn.SWITCH(AO154,1,AO278,THIN!$F$9+1,AO278-THIN!$F$33*AN278,AO278-AN278)</f>
        <v>8.870660069358649E-2</v>
      </c>
      <c r="AP319" s="147">
        <f>_xlfn.SWITCH(AP154,1,AP278,THIN!$F$9+1,AP278-THIN!$F$33*AO278,AP278-AO278)</f>
        <v>0.21889250191111381</v>
      </c>
      <c r="AQ319" s="147">
        <f>_xlfn.SWITCH(AQ154,1,AQ278,THIN!$F$9+1,AQ278-THIN!$F$33*AP278,AQ278-AP278)</f>
        <v>0.38679027443885877</v>
      </c>
      <c r="AR319" s="147">
        <f>_xlfn.SWITCH(AR154,1,AR278,THIN!$F$9+1,AR278-THIN!$F$33*AQ278,AR278-AQ278)</f>
        <v>0.57839942135411293</v>
      </c>
      <c r="AS319" s="147">
        <f>_xlfn.SWITCH(AS154,1,AS278,THIN!$F$9+1,AS278-THIN!$F$33*AR278,AS278-AR278)</f>
        <v>0.7826745636946395</v>
      </c>
      <c r="AT319" s="147">
        <f>_xlfn.SWITCH(AT154,1,AT278,THIN!$F$9+1,AT278-THIN!$F$33*AS278,AT278-AS278)</f>
        <v>0.99100916955596396</v>
      </c>
      <c r="AU319" s="147">
        <f>_xlfn.SWITCH(AU154,1,AU278,THIN!$F$9+1,AU278-THIN!$F$33*AT278,AU278-AT278)</f>
        <v>1.1968016682944005</v>
      </c>
      <c r="AV319" s="147">
        <f>_xlfn.SWITCH(AV154,1,AV278,THIN!$F$9+1,AV278-THIN!$F$33*AU278,AV278-AU278)</f>
        <v>1.3950914428611982</v>
      </c>
    </row>
    <row r="320" spans="2:48" ht="12.95" customHeight="1" x14ac:dyDescent="0.2">
      <c r="B320" s="14"/>
      <c r="C320" s="372">
        <v>22</v>
      </c>
      <c r="D320" s="372"/>
      <c r="E320" s="372"/>
      <c r="F320" s="253" t="s">
        <v>493</v>
      </c>
      <c r="G320" s="253" t="s">
        <v>395</v>
      </c>
      <c r="H320" s="277"/>
      <c r="I320" s="147"/>
      <c r="J320" s="147"/>
      <c r="K320" s="147"/>
      <c r="L320" s="147"/>
      <c r="M320" s="147"/>
      <c r="N320" s="147"/>
      <c r="O320" s="147"/>
      <c r="P320" s="147"/>
      <c r="Q320" s="147"/>
      <c r="R320" s="147"/>
      <c r="S320" s="147"/>
      <c r="T320" s="147"/>
      <c r="U320" s="147"/>
      <c r="V320" s="147"/>
      <c r="W320" s="147"/>
      <c r="X320" s="147"/>
      <c r="Y320" s="147"/>
      <c r="Z320" s="147"/>
      <c r="AA320" s="147"/>
      <c r="AB320" s="147"/>
      <c r="AC320" s="147"/>
      <c r="AD320" s="147">
        <f>_xlfn.SWITCH(AD155,1,AD279,THIN!$F$9+1,AD279-THIN!$F$33*AC279,AD279-AC279)</f>
        <v>0.59253502187002027</v>
      </c>
      <c r="AE320" s="147">
        <f>_xlfn.SWITCH(AE155,1,AE279,THIN!$F$9+1,AE279-THIN!$F$33*AD279,AE279-AD279)</f>
        <v>2.3707917230795683</v>
      </c>
      <c r="AF320" s="147">
        <f>_xlfn.SWITCH(AF155,1,AF279,THIN!$F$9+1,AF279-THIN!$F$33*AE279,AF279-AE279)</f>
        <v>2.4919688474695185</v>
      </c>
      <c r="AG320" s="147">
        <f>_xlfn.SWITCH(AG155,1,AG279,THIN!$F$9+1,AG279-THIN!$F$33*AF279,AG279-AF279)</f>
        <v>2.5926248904541112</v>
      </c>
      <c r="AH320" s="147">
        <f>_xlfn.SWITCH(AH155,1,AH279,THIN!$F$9+1,AH279-THIN!$F$33*AG279,AH279-AG279)</f>
        <v>2.6733697536680552</v>
      </c>
      <c r="AI320" s="147">
        <f>_xlfn.SWITCH(AI155,1,AI279,THIN!$F$9+1,AI279-THIN!$F$33*AH279,AI279-AH279)</f>
        <v>2.7351415660546046</v>
      </c>
      <c r="AJ320" s="147">
        <f>_xlfn.SWITCH(AJ155,1,AJ279,THIN!$F$9+1,AJ279-THIN!$F$33*AI279,AJ279-AI279)</f>
        <v>2.7791105538674721</v>
      </c>
      <c r="AK320" s="147">
        <f>_xlfn.SWITCH(AK155,1,AK279,THIN!$F$9+1,AK279-THIN!$F$33*AJ279,AK279-AJ279)</f>
        <v>2.8065991575093356</v>
      </c>
      <c r="AL320" s="147">
        <f>_xlfn.SWITCH(AL155,1,AL279,THIN!$F$9+1,AL279-THIN!$F$33*AK279,AL279-AK279)</f>
        <v>2.8190170305738036</v>
      </c>
      <c r="AM320" s="147">
        <f>_xlfn.SWITCH(AM155,1,AM279,THIN!$F$9+1,AM279-THIN!$F$33*AL279,AM279-AL279)</f>
        <v>2.8178092665428665</v>
      </c>
      <c r="AN320" s="147">
        <f>_xlfn.SWITCH(AN155,1,AN279,THIN!$F$9+1,AN279-THIN!$F$33*AM279,AN279-AM279)</f>
        <v>2.804416107421595</v>
      </c>
      <c r="AO320" s="147">
        <f>_xlfn.SWITCH(AO155,1,AO279,THIN!$F$9+1,AO279-THIN!$F$33*AN279,AO279-AN279)</f>
        <v>1.3801503036642727E-2</v>
      </c>
      <c r="AP320" s="147">
        <f>_xlfn.SWITCH(AP155,1,AP279,THIN!$F$9+1,AP279-THIN!$F$33*AO279,AP279-AO279)</f>
        <v>8.870660069358649E-2</v>
      </c>
      <c r="AQ320" s="147">
        <f>_xlfn.SWITCH(AQ155,1,AQ279,THIN!$F$9+1,AQ279-THIN!$F$33*AP279,AQ279-AP279)</f>
        <v>0.21889250191111381</v>
      </c>
      <c r="AR320" s="147">
        <f>_xlfn.SWITCH(AR155,1,AR279,THIN!$F$9+1,AR279-THIN!$F$33*AQ279,AR279-AQ279)</f>
        <v>0.38679027443885877</v>
      </c>
      <c r="AS320" s="147">
        <f>_xlfn.SWITCH(AS155,1,AS279,THIN!$F$9+1,AS279-THIN!$F$33*AR279,AS279-AR279)</f>
        <v>0.57839942135411293</v>
      </c>
      <c r="AT320" s="147">
        <f>_xlfn.SWITCH(AT155,1,AT279,THIN!$F$9+1,AT279-THIN!$F$33*AS279,AT279-AS279)</f>
        <v>0.7826745636946395</v>
      </c>
      <c r="AU320" s="147">
        <f>_xlfn.SWITCH(AU155,1,AU279,THIN!$F$9+1,AU279-THIN!$F$33*AT279,AU279-AT279)</f>
        <v>0.99100916955596396</v>
      </c>
      <c r="AV320" s="147">
        <f>_xlfn.SWITCH(AV155,1,AV279,THIN!$F$9+1,AV279-THIN!$F$33*AU279,AV279-AU279)</f>
        <v>1.1968016682944005</v>
      </c>
    </row>
    <row r="321" spans="2:48" ht="12.95" customHeight="1" x14ac:dyDescent="0.2">
      <c r="B321" s="14"/>
      <c r="C321" s="372">
        <v>23</v>
      </c>
      <c r="D321" s="372"/>
      <c r="E321" s="372"/>
      <c r="F321" s="253" t="s">
        <v>493</v>
      </c>
      <c r="G321" s="253" t="s">
        <v>395</v>
      </c>
      <c r="H321" s="277"/>
      <c r="I321" s="147"/>
      <c r="J321" s="147"/>
      <c r="K321" s="147"/>
      <c r="L321" s="147"/>
      <c r="M321" s="147"/>
      <c r="N321" s="147"/>
      <c r="O321" s="147"/>
      <c r="P321" s="147"/>
      <c r="Q321" s="147"/>
      <c r="R321" s="147"/>
      <c r="S321" s="147"/>
      <c r="T321" s="147"/>
      <c r="U321" s="147"/>
      <c r="V321" s="147"/>
      <c r="W321" s="147"/>
      <c r="X321" s="147"/>
      <c r="Y321" s="147"/>
      <c r="Z321" s="147"/>
      <c r="AA321" s="147"/>
      <c r="AB321" s="147"/>
      <c r="AC321" s="147"/>
      <c r="AD321" s="147"/>
      <c r="AE321" s="147">
        <f>_xlfn.SWITCH(AE156,1,AE280,THIN!$F$9+1,AE280-THIN!$F$33*AD280,AE280-AD280)</f>
        <v>0.59253502187002027</v>
      </c>
      <c r="AF321" s="147">
        <f>_xlfn.SWITCH(AF156,1,AF280,THIN!$F$9+1,AF280-THIN!$F$33*AE280,AF280-AE280)</f>
        <v>2.3707917230795683</v>
      </c>
      <c r="AG321" s="147">
        <f>_xlfn.SWITCH(AG156,1,AG280,THIN!$F$9+1,AG280-THIN!$F$33*AF280,AG280-AF280)</f>
        <v>2.4919688474695185</v>
      </c>
      <c r="AH321" s="147">
        <f>_xlfn.SWITCH(AH156,1,AH280,THIN!$F$9+1,AH280-THIN!$F$33*AG280,AH280-AG280)</f>
        <v>2.5926248904541112</v>
      </c>
      <c r="AI321" s="147">
        <f>_xlfn.SWITCH(AI156,1,AI280,THIN!$F$9+1,AI280-THIN!$F$33*AH280,AI280-AH280)</f>
        <v>2.6733697536680552</v>
      </c>
      <c r="AJ321" s="147">
        <f>_xlfn.SWITCH(AJ156,1,AJ280,THIN!$F$9+1,AJ280-THIN!$F$33*AI280,AJ280-AI280)</f>
        <v>2.7351415660546046</v>
      </c>
      <c r="AK321" s="147">
        <f>_xlfn.SWITCH(AK156,1,AK280,THIN!$F$9+1,AK280-THIN!$F$33*AJ280,AK280-AJ280)</f>
        <v>2.7791105538674721</v>
      </c>
      <c r="AL321" s="147">
        <f>_xlfn.SWITCH(AL156,1,AL280,THIN!$F$9+1,AL280-THIN!$F$33*AK280,AL280-AK280)</f>
        <v>2.8065991575093356</v>
      </c>
      <c r="AM321" s="147">
        <f>_xlfn.SWITCH(AM156,1,AM280,THIN!$F$9+1,AM280-THIN!$F$33*AL280,AM280-AL280)</f>
        <v>2.8190170305738036</v>
      </c>
      <c r="AN321" s="147">
        <f>_xlfn.SWITCH(AN156,1,AN280,THIN!$F$9+1,AN280-THIN!$F$33*AM280,AN280-AM280)</f>
        <v>2.8178092665428665</v>
      </c>
      <c r="AO321" s="147">
        <f>_xlfn.SWITCH(AO156,1,AO280,THIN!$F$9+1,AO280-THIN!$F$33*AN280,AO280-AN280)</f>
        <v>2.804416107421595</v>
      </c>
      <c r="AP321" s="147">
        <f>_xlfn.SWITCH(AP156,1,AP280,THIN!$F$9+1,AP280-THIN!$F$33*AO280,AP280-AO280)</f>
        <v>1.3801503036642727E-2</v>
      </c>
      <c r="AQ321" s="147">
        <f>_xlfn.SWITCH(AQ156,1,AQ280,THIN!$F$9+1,AQ280-THIN!$F$33*AP280,AQ280-AP280)</f>
        <v>8.870660069358649E-2</v>
      </c>
      <c r="AR321" s="147">
        <f>_xlfn.SWITCH(AR156,1,AR280,THIN!$F$9+1,AR280-THIN!$F$33*AQ280,AR280-AQ280)</f>
        <v>0.21889250191111381</v>
      </c>
      <c r="AS321" s="147">
        <f>_xlfn.SWITCH(AS156,1,AS280,THIN!$F$9+1,AS280-THIN!$F$33*AR280,AS280-AR280)</f>
        <v>0.38679027443885877</v>
      </c>
      <c r="AT321" s="147">
        <f>_xlfn.SWITCH(AT156,1,AT280,THIN!$F$9+1,AT280-THIN!$F$33*AS280,AT280-AS280)</f>
        <v>0.57839942135411293</v>
      </c>
      <c r="AU321" s="147">
        <f>_xlfn.SWITCH(AU156,1,AU280,THIN!$F$9+1,AU280-THIN!$F$33*AT280,AU280-AT280)</f>
        <v>0.7826745636946395</v>
      </c>
      <c r="AV321" s="147">
        <f>_xlfn.SWITCH(AV156,1,AV280,THIN!$F$9+1,AV280-THIN!$F$33*AU280,AV280-AU280)</f>
        <v>0.99100916955596396</v>
      </c>
    </row>
    <row r="322" spans="2:48" ht="12.95" customHeight="1" x14ac:dyDescent="0.2">
      <c r="B322" s="14"/>
      <c r="C322" s="372">
        <v>24</v>
      </c>
      <c r="D322" s="372"/>
      <c r="E322" s="372"/>
      <c r="F322" s="253" t="s">
        <v>493</v>
      </c>
      <c r="G322" s="253" t="s">
        <v>395</v>
      </c>
      <c r="H322" s="277"/>
      <c r="I322" s="147"/>
      <c r="J322" s="147"/>
      <c r="K322" s="147"/>
      <c r="L322" s="147"/>
      <c r="M322" s="147"/>
      <c r="N322" s="147"/>
      <c r="O322" s="147"/>
      <c r="P322" s="147"/>
      <c r="Q322" s="147"/>
      <c r="R322" s="147"/>
      <c r="S322" s="147"/>
      <c r="T322" s="147"/>
      <c r="U322" s="147"/>
      <c r="V322" s="147"/>
      <c r="W322" s="147"/>
      <c r="X322" s="147"/>
      <c r="Y322" s="147"/>
      <c r="Z322" s="147"/>
      <c r="AA322" s="147"/>
      <c r="AB322" s="147"/>
      <c r="AC322" s="147"/>
      <c r="AD322" s="147"/>
      <c r="AE322" s="147"/>
      <c r="AF322" s="147">
        <f>_xlfn.SWITCH(AF157,1,AF281,THIN!$F$9+1,AF281-THIN!$F$33*AE281,AF281-AE281)</f>
        <v>0.59253502187002027</v>
      </c>
      <c r="AG322" s="147">
        <f>_xlfn.SWITCH(AG157,1,AG281,THIN!$F$9+1,AG281-THIN!$F$33*AF281,AG281-AF281)</f>
        <v>2.3707917230795683</v>
      </c>
      <c r="AH322" s="147">
        <f>_xlfn.SWITCH(AH157,1,AH281,THIN!$F$9+1,AH281-THIN!$F$33*AG281,AH281-AG281)</f>
        <v>2.4919688474695185</v>
      </c>
      <c r="AI322" s="147">
        <f>_xlfn.SWITCH(AI157,1,AI281,THIN!$F$9+1,AI281-THIN!$F$33*AH281,AI281-AH281)</f>
        <v>2.5926248904541112</v>
      </c>
      <c r="AJ322" s="147">
        <f>_xlfn.SWITCH(AJ157,1,AJ281,THIN!$F$9+1,AJ281-THIN!$F$33*AI281,AJ281-AI281)</f>
        <v>2.6733697536680552</v>
      </c>
      <c r="AK322" s="147">
        <f>_xlfn.SWITCH(AK157,1,AK281,THIN!$F$9+1,AK281-THIN!$F$33*AJ281,AK281-AJ281)</f>
        <v>2.7351415660546046</v>
      </c>
      <c r="AL322" s="147">
        <f>_xlfn.SWITCH(AL157,1,AL281,THIN!$F$9+1,AL281-THIN!$F$33*AK281,AL281-AK281)</f>
        <v>2.7791105538674721</v>
      </c>
      <c r="AM322" s="147">
        <f>_xlfn.SWITCH(AM157,1,AM281,THIN!$F$9+1,AM281-THIN!$F$33*AL281,AM281-AL281)</f>
        <v>2.8065991575093356</v>
      </c>
      <c r="AN322" s="147">
        <f>_xlfn.SWITCH(AN157,1,AN281,THIN!$F$9+1,AN281-THIN!$F$33*AM281,AN281-AM281)</f>
        <v>2.8190170305738036</v>
      </c>
      <c r="AO322" s="147">
        <f>_xlfn.SWITCH(AO157,1,AO281,THIN!$F$9+1,AO281-THIN!$F$33*AN281,AO281-AN281)</f>
        <v>2.8178092665428665</v>
      </c>
      <c r="AP322" s="147">
        <f>_xlfn.SWITCH(AP157,1,AP281,THIN!$F$9+1,AP281-THIN!$F$33*AO281,AP281-AO281)</f>
        <v>2.804416107421595</v>
      </c>
      <c r="AQ322" s="147">
        <f>_xlfn.SWITCH(AQ157,1,AQ281,THIN!$F$9+1,AQ281-THIN!$F$33*AP281,AQ281-AP281)</f>
        <v>1.3801503036642727E-2</v>
      </c>
      <c r="AR322" s="147">
        <f>_xlfn.SWITCH(AR157,1,AR281,THIN!$F$9+1,AR281-THIN!$F$33*AQ281,AR281-AQ281)</f>
        <v>8.870660069358649E-2</v>
      </c>
      <c r="AS322" s="147">
        <f>_xlfn.SWITCH(AS157,1,AS281,THIN!$F$9+1,AS281-THIN!$F$33*AR281,AS281-AR281)</f>
        <v>0.21889250191111381</v>
      </c>
      <c r="AT322" s="147">
        <f>_xlfn.SWITCH(AT157,1,AT281,THIN!$F$9+1,AT281-THIN!$F$33*AS281,AT281-AS281)</f>
        <v>0.38679027443885877</v>
      </c>
      <c r="AU322" s="147">
        <f>_xlfn.SWITCH(AU157,1,AU281,THIN!$F$9+1,AU281-THIN!$F$33*AT281,AU281-AT281)</f>
        <v>0.57839942135411293</v>
      </c>
      <c r="AV322" s="147">
        <f>_xlfn.SWITCH(AV157,1,AV281,THIN!$F$9+1,AV281-THIN!$F$33*AU281,AV281-AU281)</f>
        <v>0.7826745636946395</v>
      </c>
    </row>
    <row r="323" spans="2:48" ht="12.95" customHeight="1" x14ac:dyDescent="0.2">
      <c r="B323" s="14"/>
      <c r="C323" s="372">
        <v>25</v>
      </c>
      <c r="D323" s="372"/>
      <c r="E323" s="372"/>
      <c r="F323" s="253" t="s">
        <v>493</v>
      </c>
      <c r="G323" s="253" t="s">
        <v>395</v>
      </c>
      <c r="H323" s="277"/>
      <c r="I323" s="147"/>
      <c r="J323" s="147"/>
      <c r="K323" s="147"/>
      <c r="L323" s="147"/>
      <c r="M323" s="147"/>
      <c r="N323" s="147"/>
      <c r="O323" s="147"/>
      <c r="P323" s="147"/>
      <c r="Q323" s="147"/>
      <c r="R323" s="147"/>
      <c r="S323" s="147"/>
      <c r="T323" s="147"/>
      <c r="U323" s="147"/>
      <c r="V323" s="147"/>
      <c r="W323" s="147"/>
      <c r="X323" s="147"/>
      <c r="Y323" s="147"/>
      <c r="Z323" s="147"/>
      <c r="AA323" s="147"/>
      <c r="AB323" s="147"/>
      <c r="AC323" s="147"/>
      <c r="AD323" s="147"/>
      <c r="AE323" s="147"/>
      <c r="AF323" s="147"/>
      <c r="AG323" s="147">
        <f>_xlfn.SWITCH(AG158,1,AG282,THIN!$F$9+1,AG282-THIN!$F$33*AF282,AG282-AF282)</f>
        <v>0.59253502187002027</v>
      </c>
      <c r="AH323" s="147">
        <f>_xlfn.SWITCH(AH158,1,AH282,THIN!$F$9+1,AH282-THIN!$F$33*AG282,AH282-AG282)</f>
        <v>2.3707917230795683</v>
      </c>
      <c r="AI323" s="147">
        <f>_xlfn.SWITCH(AI158,1,AI282,THIN!$F$9+1,AI282-THIN!$F$33*AH282,AI282-AH282)</f>
        <v>2.4919688474695185</v>
      </c>
      <c r="AJ323" s="147">
        <f>_xlfn.SWITCH(AJ158,1,AJ282,THIN!$F$9+1,AJ282-THIN!$F$33*AI282,AJ282-AI282)</f>
        <v>2.5926248904541112</v>
      </c>
      <c r="AK323" s="147">
        <f>_xlfn.SWITCH(AK158,1,AK282,THIN!$F$9+1,AK282-THIN!$F$33*AJ282,AK282-AJ282)</f>
        <v>2.6733697536680552</v>
      </c>
      <c r="AL323" s="147">
        <f>_xlfn.SWITCH(AL158,1,AL282,THIN!$F$9+1,AL282-THIN!$F$33*AK282,AL282-AK282)</f>
        <v>2.7351415660546046</v>
      </c>
      <c r="AM323" s="147">
        <f>_xlfn.SWITCH(AM158,1,AM282,THIN!$F$9+1,AM282-THIN!$F$33*AL282,AM282-AL282)</f>
        <v>2.7791105538674721</v>
      </c>
      <c r="AN323" s="147">
        <f>_xlfn.SWITCH(AN158,1,AN282,THIN!$F$9+1,AN282-THIN!$F$33*AM282,AN282-AM282)</f>
        <v>2.8065991575093356</v>
      </c>
      <c r="AO323" s="147">
        <f>_xlfn.SWITCH(AO158,1,AO282,THIN!$F$9+1,AO282-THIN!$F$33*AN282,AO282-AN282)</f>
        <v>2.8190170305738036</v>
      </c>
      <c r="AP323" s="147">
        <f>_xlfn.SWITCH(AP158,1,AP282,THIN!$F$9+1,AP282-THIN!$F$33*AO282,AP282-AO282)</f>
        <v>2.8178092665428665</v>
      </c>
      <c r="AQ323" s="147">
        <f>_xlfn.SWITCH(AQ158,1,AQ282,THIN!$F$9+1,AQ282-THIN!$F$33*AP282,AQ282-AP282)</f>
        <v>2.804416107421595</v>
      </c>
      <c r="AR323" s="147">
        <f>_xlfn.SWITCH(AR158,1,AR282,THIN!$F$9+1,AR282-THIN!$F$33*AQ282,AR282-AQ282)</f>
        <v>1.3801503036642727E-2</v>
      </c>
      <c r="AS323" s="147">
        <f>_xlfn.SWITCH(AS158,1,AS282,THIN!$F$9+1,AS282-THIN!$F$33*AR282,AS282-AR282)</f>
        <v>8.870660069358649E-2</v>
      </c>
      <c r="AT323" s="147">
        <f>_xlfn.SWITCH(AT158,1,AT282,THIN!$F$9+1,AT282-THIN!$F$33*AS282,AT282-AS282)</f>
        <v>0.21889250191111381</v>
      </c>
      <c r="AU323" s="147">
        <f>_xlfn.SWITCH(AU158,1,AU282,THIN!$F$9+1,AU282-THIN!$F$33*AT282,AU282-AT282)</f>
        <v>0.38679027443885877</v>
      </c>
      <c r="AV323" s="147">
        <f>_xlfn.SWITCH(AV158,1,AV282,THIN!$F$9+1,AV282-THIN!$F$33*AU282,AV282-AU282)</f>
        <v>0.57839942135411293</v>
      </c>
    </row>
    <row r="324" spans="2:48" ht="12.95" customHeight="1" x14ac:dyDescent="0.2">
      <c r="B324" s="14"/>
      <c r="C324" s="372">
        <v>26</v>
      </c>
      <c r="D324" s="372"/>
      <c r="E324" s="372"/>
      <c r="F324" s="253" t="s">
        <v>493</v>
      </c>
      <c r="G324" s="253" t="s">
        <v>395</v>
      </c>
      <c r="H324" s="277"/>
      <c r="I324" s="147"/>
      <c r="J324" s="147"/>
      <c r="K324" s="147"/>
      <c r="L324" s="147"/>
      <c r="M324" s="147"/>
      <c r="N324" s="147"/>
      <c r="O324" s="147"/>
      <c r="P324" s="147"/>
      <c r="Q324" s="147"/>
      <c r="R324" s="147"/>
      <c r="S324" s="147"/>
      <c r="T324" s="147"/>
      <c r="U324" s="147"/>
      <c r="V324" s="147"/>
      <c r="W324" s="147"/>
      <c r="X324" s="147"/>
      <c r="Y324" s="147"/>
      <c r="Z324" s="147"/>
      <c r="AA324" s="147"/>
      <c r="AB324" s="147"/>
      <c r="AC324" s="147"/>
      <c r="AD324" s="147"/>
      <c r="AE324" s="147"/>
      <c r="AF324" s="147"/>
      <c r="AG324" s="147"/>
      <c r="AH324" s="147">
        <f>_xlfn.SWITCH(AH159,1,AH283,THIN!$F$9+1,AH283-THIN!$F$33*AG283,AH283-AG283)</f>
        <v>0.59253502187002027</v>
      </c>
      <c r="AI324" s="147">
        <f>_xlfn.SWITCH(AI159,1,AI283,THIN!$F$9+1,AI283-THIN!$F$33*AH283,AI283-AH283)</f>
        <v>2.3707917230795683</v>
      </c>
      <c r="AJ324" s="147">
        <f>_xlfn.SWITCH(AJ159,1,AJ283,THIN!$F$9+1,AJ283-THIN!$F$33*AI283,AJ283-AI283)</f>
        <v>2.4919688474695185</v>
      </c>
      <c r="AK324" s="147">
        <f>_xlfn.SWITCH(AK159,1,AK283,THIN!$F$9+1,AK283-THIN!$F$33*AJ283,AK283-AJ283)</f>
        <v>2.5926248904541112</v>
      </c>
      <c r="AL324" s="147">
        <f>_xlfn.SWITCH(AL159,1,AL283,THIN!$F$9+1,AL283-THIN!$F$33*AK283,AL283-AK283)</f>
        <v>2.6733697536680552</v>
      </c>
      <c r="AM324" s="147">
        <f>_xlfn.SWITCH(AM159,1,AM283,THIN!$F$9+1,AM283-THIN!$F$33*AL283,AM283-AL283)</f>
        <v>2.7351415660546046</v>
      </c>
      <c r="AN324" s="147">
        <f>_xlfn.SWITCH(AN159,1,AN283,THIN!$F$9+1,AN283-THIN!$F$33*AM283,AN283-AM283)</f>
        <v>2.7791105538674721</v>
      </c>
      <c r="AO324" s="147">
        <f>_xlfn.SWITCH(AO159,1,AO283,THIN!$F$9+1,AO283-THIN!$F$33*AN283,AO283-AN283)</f>
        <v>2.8065991575093356</v>
      </c>
      <c r="AP324" s="147">
        <f>_xlfn.SWITCH(AP159,1,AP283,THIN!$F$9+1,AP283-THIN!$F$33*AO283,AP283-AO283)</f>
        <v>2.8190170305738036</v>
      </c>
      <c r="AQ324" s="147">
        <f>_xlfn.SWITCH(AQ159,1,AQ283,THIN!$F$9+1,AQ283-THIN!$F$33*AP283,AQ283-AP283)</f>
        <v>2.8178092665428665</v>
      </c>
      <c r="AR324" s="147">
        <f>_xlfn.SWITCH(AR159,1,AR283,THIN!$F$9+1,AR283-THIN!$F$33*AQ283,AR283-AQ283)</f>
        <v>2.804416107421595</v>
      </c>
      <c r="AS324" s="147">
        <f>_xlfn.SWITCH(AS159,1,AS283,THIN!$F$9+1,AS283-THIN!$F$33*AR283,AS283-AR283)</f>
        <v>1.3801503036642727E-2</v>
      </c>
      <c r="AT324" s="147">
        <f>_xlfn.SWITCH(AT159,1,AT283,THIN!$F$9+1,AT283-THIN!$F$33*AS283,AT283-AS283)</f>
        <v>8.870660069358649E-2</v>
      </c>
      <c r="AU324" s="147">
        <f>_xlfn.SWITCH(AU159,1,AU283,THIN!$F$9+1,AU283-THIN!$F$33*AT283,AU283-AT283)</f>
        <v>0.21889250191111381</v>
      </c>
      <c r="AV324" s="147">
        <f>_xlfn.SWITCH(AV159,1,AV283,THIN!$F$9+1,AV283-THIN!$F$33*AU283,AV283-AU283)</f>
        <v>0.38679027443885877</v>
      </c>
    </row>
    <row r="325" spans="2:48" ht="12.95" customHeight="1" x14ac:dyDescent="0.2">
      <c r="B325" s="14"/>
      <c r="C325" s="372">
        <v>27</v>
      </c>
      <c r="D325" s="372"/>
      <c r="E325" s="372"/>
      <c r="F325" s="253" t="s">
        <v>493</v>
      </c>
      <c r="G325" s="253" t="s">
        <v>395</v>
      </c>
      <c r="H325" s="277"/>
      <c r="I325" s="147"/>
      <c r="J325" s="147"/>
      <c r="K325" s="147"/>
      <c r="L325" s="147"/>
      <c r="M325" s="147"/>
      <c r="N325" s="147"/>
      <c r="O325" s="147"/>
      <c r="P325" s="147"/>
      <c r="Q325" s="147"/>
      <c r="R325" s="147"/>
      <c r="S325" s="147"/>
      <c r="T325" s="147"/>
      <c r="U325" s="147"/>
      <c r="V325" s="147"/>
      <c r="W325" s="147"/>
      <c r="X325" s="147"/>
      <c r="Y325" s="147"/>
      <c r="Z325" s="147"/>
      <c r="AA325" s="147"/>
      <c r="AB325" s="147"/>
      <c r="AC325" s="147"/>
      <c r="AD325" s="147"/>
      <c r="AE325" s="147"/>
      <c r="AF325" s="147"/>
      <c r="AG325" s="147"/>
      <c r="AH325" s="147"/>
      <c r="AI325" s="147">
        <f>_xlfn.SWITCH(AI160,1,AI284,THIN!$F$9+1,AI284-THIN!$F$33*AH284,AI284-AH284)</f>
        <v>0</v>
      </c>
      <c r="AJ325" s="147">
        <f>_xlfn.SWITCH(AJ160,1,AJ284,THIN!$F$9+1,AJ284-THIN!$F$33*AI284,AJ284-AI284)</f>
        <v>0</v>
      </c>
      <c r="AK325" s="147">
        <f>_xlfn.SWITCH(AK160,1,AK284,THIN!$F$9+1,AK284-THIN!$F$33*AJ284,AK284-AJ284)</f>
        <v>0</v>
      </c>
      <c r="AL325" s="147">
        <f>_xlfn.SWITCH(AL160,1,AL284,THIN!$F$9+1,AL284-THIN!$F$33*AK284,AL284-AK284)</f>
        <v>0</v>
      </c>
      <c r="AM325" s="147">
        <f>_xlfn.SWITCH(AM160,1,AM284,THIN!$F$9+1,AM284-THIN!$F$33*AL284,AM284-AL284)</f>
        <v>0</v>
      </c>
      <c r="AN325" s="147">
        <f>_xlfn.SWITCH(AN160,1,AN284,THIN!$F$9+1,AN284-THIN!$F$33*AM284,AN284-AM284)</f>
        <v>0</v>
      </c>
      <c r="AO325" s="147">
        <f>_xlfn.SWITCH(AO160,1,AO284,THIN!$F$9+1,AO284-THIN!$F$33*AN284,AO284-AN284)</f>
        <v>0</v>
      </c>
      <c r="AP325" s="147">
        <f>_xlfn.SWITCH(AP160,1,AP284,THIN!$F$9+1,AP284-THIN!$F$33*AO284,AP284-AO284)</f>
        <v>0</v>
      </c>
      <c r="AQ325" s="147">
        <f>_xlfn.SWITCH(AQ160,1,AQ284,THIN!$F$9+1,AQ284-THIN!$F$33*AP284,AQ284-AP284)</f>
        <v>0</v>
      </c>
      <c r="AR325" s="147">
        <f>_xlfn.SWITCH(AR160,1,AR284,THIN!$F$9+1,AR284-THIN!$F$33*AQ284,AR284-AQ284)</f>
        <v>0</v>
      </c>
      <c r="AS325" s="147">
        <f>_xlfn.SWITCH(AS160,1,AS284,THIN!$F$9+1,AS284-THIN!$F$33*AR284,AS284-AR284)</f>
        <v>0</v>
      </c>
      <c r="AT325" s="147">
        <f>_xlfn.SWITCH(AT160,1,AT284,THIN!$F$9+1,AT284-THIN!$F$33*AS284,AT284-AS284)</f>
        <v>0</v>
      </c>
      <c r="AU325" s="147">
        <f>_xlfn.SWITCH(AU160,1,AU284,THIN!$F$9+1,AU284-THIN!$F$33*AT284,AU284-AT284)</f>
        <v>0</v>
      </c>
      <c r="AV325" s="147">
        <f>_xlfn.SWITCH(AV160,1,AV284,THIN!$F$9+1,AV284-THIN!$F$33*AU284,AV284-AU284)</f>
        <v>0</v>
      </c>
    </row>
    <row r="326" spans="2:48" ht="12.95" customHeight="1" x14ac:dyDescent="0.2">
      <c r="B326" s="14"/>
      <c r="C326" s="372">
        <v>28</v>
      </c>
      <c r="D326" s="372"/>
      <c r="E326" s="372"/>
      <c r="F326" s="253" t="s">
        <v>493</v>
      </c>
      <c r="G326" s="253" t="s">
        <v>395</v>
      </c>
      <c r="H326" s="277"/>
      <c r="I326" s="147"/>
      <c r="J326" s="147"/>
      <c r="K326" s="147"/>
      <c r="L326" s="147"/>
      <c r="M326" s="147"/>
      <c r="N326" s="147"/>
      <c r="O326" s="147"/>
      <c r="P326" s="147"/>
      <c r="Q326" s="147"/>
      <c r="R326" s="147"/>
      <c r="S326" s="147"/>
      <c r="T326" s="147"/>
      <c r="U326" s="147"/>
      <c r="V326" s="147"/>
      <c r="W326" s="147"/>
      <c r="X326" s="147"/>
      <c r="Y326" s="147"/>
      <c r="Z326" s="147"/>
      <c r="AA326" s="147"/>
      <c r="AB326" s="147"/>
      <c r="AC326" s="147"/>
      <c r="AD326" s="147"/>
      <c r="AE326" s="147"/>
      <c r="AF326" s="147"/>
      <c r="AG326" s="147"/>
      <c r="AH326" s="147"/>
      <c r="AI326" s="147"/>
      <c r="AJ326" s="147">
        <f>_xlfn.SWITCH(AJ161,1,AJ285,THIN!$F$9+1,AJ285-THIN!$F$33*AI285,AJ285-AI285)</f>
        <v>0</v>
      </c>
      <c r="AK326" s="147">
        <f>_xlfn.SWITCH(AK161,1,AK285,THIN!$F$9+1,AK285-THIN!$F$33*AJ285,AK285-AJ285)</f>
        <v>0</v>
      </c>
      <c r="AL326" s="147">
        <f>_xlfn.SWITCH(AL161,1,AL285,THIN!$F$9+1,AL285-THIN!$F$33*AK285,AL285-AK285)</f>
        <v>0</v>
      </c>
      <c r="AM326" s="147">
        <f>_xlfn.SWITCH(AM161,1,AM285,THIN!$F$9+1,AM285-THIN!$F$33*AL285,AM285-AL285)</f>
        <v>0</v>
      </c>
      <c r="AN326" s="147">
        <f>_xlfn.SWITCH(AN161,1,AN285,THIN!$F$9+1,AN285-THIN!$F$33*AM285,AN285-AM285)</f>
        <v>0</v>
      </c>
      <c r="AO326" s="147">
        <f>_xlfn.SWITCH(AO161,1,AO285,THIN!$F$9+1,AO285-THIN!$F$33*AN285,AO285-AN285)</f>
        <v>0</v>
      </c>
      <c r="AP326" s="147">
        <f>_xlfn.SWITCH(AP161,1,AP285,THIN!$F$9+1,AP285-THIN!$F$33*AO285,AP285-AO285)</f>
        <v>0</v>
      </c>
      <c r="AQ326" s="147">
        <f>_xlfn.SWITCH(AQ161,1,AQ285,THIN!$F$9+1,AQ285-THIN!$F$33*AP285,AQ285-AP285)</f>
        <v>0</v>
      </c>
      <c r="AR326" s="147">
        <f>_xlfn.SWITCH(AR161,1,AR285,THIN!$F$9+1,AR285-THIN!$F$33*AQ285,AR285-AQ285)</f>
        <v>0</v>
      </c>
      <c r="AS326" s="147">
        <f>_xlfn.SWITCH(AS161,1,AS285,THIN!$F$9+1,AS285-THIN!$F$33*AR285,AS285-AR285)</f>
        <v>0</v>
      </c>
      <c r="AT326" s="147">
        <f>_xlfn.SWITCH(AT161,1,AT285,THIN!$F$9+1,AT285-THIN!$F$33*AS285,AT285-AS285)</f>
        <v>0</v>
      </c>
      <c r="AU326" s="147">
        <f>_xlfn.SWITCH(AU161,1,AU285,THIN!$F$9+1,AU285-THIN!$F$33*AT285,AU285-AT285)</f>
        <v>0</v>
      </c>
      <c r="AV326" s="147">
        <f>_xlfn.SWITCH(AV161,1,AV285,THIN!$F$9+1,AV285-THIN!$F$33*AU285,AV285-AU285)</f>
        <v>0</v>
      </c>
    </row>
    <row r="327" spans="2:48" ht="12.95" customHeight="1" x14ac:dyDescent="0.2">
      <c r="B327" s="14"/>
      <c r="C327" s="372">
        <v>29</v>
      </c>
      <c r="D327" s="372"/>
      <c r="E327" s="372"/>
      <c r="F327" s="253" t="s">
        <v>493</v>
      </c>
      <c r="G327" s="253" t="s">
        <v>395</v>
      </c>
      <c r="H327" s="277"/>
      <c r="I327" s="147"/>
      <c r="J327" s="147"/>
      <c r="K327" s="147"/>
      <c r="L327" s="147"/>
      <c r="M327" s="147"/>
      <c r="N327" s="147"/>
      <c r="O327" s="147"/>
      <c r="P327" s="147"/>
      <c r="Q327" s="147"/>
      <c r="R327" s="147"/>
      <c r="S327" s="147"/>
      <c r="T327" s="147"/>
      <c r="U327" s="147"/>
      <c r="V327" s="147"/>
      <c r="W327" s="147"/>
      <c r="X327" s="147"/>
      <c r="Y327" s="147"/>
      <c r="Z327" s="147"/>
      <c r="AA327" s="147"/>
      <c r="AB327" s="147"/>
      <c r="AC327" s="147"/>
      <c r="AD327" s="147"/>
      <c r="AE327" s="147"/>
      <c r="AF327" s="147"/>
      <c r="AG327" s="147"/>
      <c r="AH327" s="147"/>
      <c r="AI327" s="147"/>
      <c r="AJ327" s="147"/>
      <c r="AK327" s="147">
        <f>_xlfn.SWITCH(AK162,1,AK286,THIN!$F$9+1,AK286-THIN!$F$33*AJ286,AK286-AJ286)</f>
        <v>0</v>
      </c>
      <c r="AL327" s="147">
        <f>_xlfn.SWITCH(AL162,1,AL286,THIN!$F$9+1,AL286-THIN!$F$33*AK286,AL286-AK286)</f>
        <v>0</v>
      </c>
      <c r="AM327" s="147">
        <f>_xlfn.SWITCH(AM162,1,AM286,THIN!$F$9+1,AM286-THIN!$F$33*AL286,AM286-AL286)</f>
        <v>0</v>
      </c>
      <c r="AN327" s="147">
        <f>_xlfn.SWITCH(AN162,1,AN286,THIN!$F$9+1,AN286-THIN!$F$33*AM286,AN286-AM286)</f>
        <v>0</v>
      </c>
      <c r="AO327" s="147">
        <f>_xlfn.SWITCH(AO162,1,AO286,THIN!$F$9+1,AO286-THIN!$F$33*AN286,AO286-AN286)</f>
        <v>0</v>
      </c>
      <c r="AP327" s="147">
        <f>_xlfn.SWITCH(AP162,1,AP286,THIN!$F$9+1,AP286-THIN!$F$33*AO286,AP286-AO286)</f>
        <v>0</v>
      </c>
      <c r="AQ327" s="147">
        <f>_xlfn.SWITCH(AQ162,1,AQ286,THIN!$F$9+1,AQ286-THIN!$F$33*AP286,AQ286-AP286)</f>
        <v>0</v>
      </c>
      <c r="AR327" s="147">
        <f>_xlfn.SWITCH(AR162,1,AR286,THIN!$F$9+1,AR286-THIN!$F$33*AQ286,AR286-AQ286)</f>
        <v>0</v>
      </c>
      <c r="AS327" s="147">
        <f>_xlfn.SWITCH(AS162,1,AS286,THIN!$F$9+1,AS286-THIN!$F$33*AR286,AS286-AR286)</f>
        <v>0</v>
      </c>
      <c r="AT327" s="147">
        <f>_xlfn.SWITCH(AT162,1,AT286,THIN!$F$9+1,AT286-THIN!$F$33*AS286,AT286-AS286)</f>
        <v>0</v>
      </c>
      <c r="AU327" s="147">
        <f>_xlfn.SWITCH(AU162,1,AU286,THIN!$F$9+1,AU286-THIN!$F$33*AT286,AU286-AT286)</f>
        <v>0</v>
      </c>
      <c r="AV327" s="147">
        <f>_xlfn.SWITCH(AV162,1,AV286,THIN!$F$9+1,AV286-THIN!$F$33*AU286,AV286-AU286)</f>
        <v>0</v>
      </c>
    </row>
    <row r="328" spans="2:48" ht="12.95" customHeight="1" x14ac:dyDescent="0.2">
      <c r="B328" s="14"/>
      <c r="C328" s="372">
        <v>30</v>
      </c>
      <c r="D328" s="372"/>
      <c r="E328" s="372"/>
      <c r="F328" s="253" t="s">
        <v>493</v>
      </c>
      <c r="G328" s="253" t="s">
        <v>395</v>
      </c>
      <c r="H328" s="277"/>
      <c r="I328" s="147"/>
      <c r="J328" s="147"/>
      <c r="K328" s="147"/>
      <c r="L328" s="147"/>
      <c r="M328" s="147"/>
      <c r="N328" s="147"/>
      <c r="O328" s="147"/>
      <c r="P328" s="147"/>
      <c r="Q328" s="147"/>
      <c r="R328" s="147"/>
      <c r="S328" s="147"/>
      <c r="T328" s="147"/>
      <c r="U328" s="147"/>
      <c r="V328" s="147"/>
      <c r="W328" s="147"/>
      <c r="X328" s="147"/>
      <c r="Y328" s="147"/>
      <c r="Z328" s="147"/>
      <c r="AA328" s="147"/>
      <c r="AB328" s="147"/>
      <c r="AC328" s="147"/>
      <c r="AD328" s="147"/>
      <c r="AE328" s="147"/>
      <c r="AF328" s="147"/>
      <c r="AG328" s="147"/>
      <c r="AH328" s="147"/>
      <c r="AI328" s="147"/>
      <c r="AJ328" s="147"/>
      <c r="AK328" s="147"/>
      <c r="AL328" s="147">
        <f>_xlfn.SWITCH(AL163,1,AL287,THIN!$F$9+1,AL287-THIN!$F$33*AK287,AL287-AK287)</f>
        <v>0</v>
      </c>
      <c r="AM328" s="147">
        <f>_xlfn.SWITCH(AM163,1,AM287,THIN!$F$9+1,AM287-THIN!$F$33*AL287,AM287-AL287)</f>
        <v>0</v>
      </c>
      <c r="AN328" s="147">
        <f>_xlfn.SWITCH(AN163,1,AN287,THIN!$F$9+1,AN287-THIN!$F$33*AM287,AN287-AM287)</f>
        <v>0</v>
      </c>
      <c r="AO328" s="147">
        <f>_xlfn.SWITCH(AO163,1,AO287,THIN!$F$9+1,AO287-THIN!$F$33*AN287,AO287-AN287)</f>
        <v>0</v>
      </c>
      <c r="AP328" s="147">
        <f>_xlfn.SWITCH(AP163,1,AP287,THIN!$F$9+1,AP287-THIN!$F$33*AO287,AP287-AO287)</f>
        <v>0</v>
      </c>
      <c r="AQ328" s="147">
        <f>_xlfn.SWITCH(AQ163,1,AQ287,THIN!$F$9+1,AQ287-THIN!$F$33*AP287,AQ287-AP287)</f>
        <v>0</v>
      </c>
      <c r="AR328" s="147">
        <f>_xlfn.SWITCH(AR163,1,AR287,THIN!$F$9+1,AR287-THIN!$F$33*AQ287,AR287-AQ287)</f>
        <v>0</v>
      </c>
      <c r="AS328" s="147">
        <f>_xlfn.SWITCH(AS163,1,AS287,THIN!$F$9+1,AS287-THIN!$F$33*AR287,AS287-AR287)</f>
        <v>0</v>
      </c>
      <c r="AT328" s="147">
        <f>_xlfn.SWITCH(AT163,1,AT287,THIN!$F$9+1,AT287-THIN!$F$33*AS287,AT287-AS287)</f>
        <v>0</v>
      </c>
      <c r="AU328" s="147">
        <f>_xlfn.SWITCH(AU163,1,AU287,THIN!$F$9+1,AU287-THIN!$F$33*AT287,AU287-AT287)</f>
        <v>0</v>
      </c>
      <c r="AV328" s="147">
        <f>_xlfn.SWITCH(AV163,1,AV287,THIN!$F$9+1,AV287-THIN!$F$33*AU287,AV287-AU287)</f>
        <v>0</v>
      </c>
    </row>
    <row r="329" spans="2:48" ht="12.95" customHeight="1" x14ac:dyDescent="0.2">
      <c r="B329" s="14"/>
      <c r="C329" s="372">
        <v>31</v>
      </c>
      <c r="D329" s="372"/>
      <c r="E329" s="372"/>
      <c r="F329" s="253" t="s">
        <v>493</v>
      </c>
      <c r="G329" s="253" t="s">
        <v>395</v>
      </c>
      <c r="H329" s="277"/>
      <c r="I329" s="147"/>
      <c r="J329" s="147"/>
      <c r="K329" s="147"/>
      <c r="L329" s="147"/>
      <c r="M329" s="147"/>
      <c r="N329" s="147"/>
      <c r="O329" s="147"/>
      <c r="P329" s="147"/>
      <c r="Q329" s="147"/>
      <c r="R329" s="147"/>
      <c r="S329" s="147"/>
      <c r="T329" s="147"/>
      <c r="U329" s="147"/>
      <c r="V329" s="147"/>
      <c r="W329" s="147"/>
      <c r="X329" s="147"/>
      <c r="Y329" s="147"/>
      <c r="Z329" s="147"/>
      <c r="AA329" s="147"/>
      <c r="AB329" s="147"/>
      <c r="AC329" s="147"/>
      <c r="AD329" s="147"/>
      <c r="AE329" s="147"/>
      <c r="AF329" s="147"/>
      <c r="AG329" s="147"/>
      <c r="AH329" s="147"/>
      <c r="AI329" s="147"/>
      <c r="AJ329" s="147"/>
      <c r="AK329" s="147"/>
      <c r="AL329" s="147"/>
      <c r="AM329" s="147">
        <f>_xlfn.SWITCH(AM164,1,AM288,THIN!$F$9+1,AM288-THIN!$F$33*AL288,AM288-AL288)</f>
        <v>0</v>
      </c>
      <c r="AN329" s="147">
        <f>_xlfn.SWITCH(AN164,1,AN288,THIN!$F$9+1,AN288-THIN!$F$33*AM288,AN288-AM288)</f>
        <v>0</v>
      </c>
      <c r="AO329" s="147">
        <f>_xlfn.SWITCH(AO164,1,AO288,THIN!$F$9+1,AO288-THIN!$F$33*AN288,AO288-AN288)</f>
        <v>0</v>
      </c>
      <c r="AP329" s="147">
        <f>_xlfn.SWITCH(AP164,1,AP288,THIN!$F$9+1,AP288-THIN!$F$33*AO288,AP288-AO288)</f>
        <v>0</v>
      </c>
      <c r="AQ329" s="147">
        <f>_xlfn.SWITCH(AQ164,1,AQ288,THIN!$F$9+1,AQ288-THIN!$F$33*AP288,AQ288-AP288)</f>
        <v>0</v>
      </c>
      <c r="AR329" s="147">
        <f>_xlfn.SWITCH(AR164,1,AR288,THIN!$F$9+1,AR288-THIN!$F$33*AQ288,AR288-AQ288)</f>
        <v>0</v>
      </c>
      <c r="AS329" s="147">
        <f>_xlfn.SWITCH(AS164,1,AS288,THIN!$F$9+1,AS288-THIN!$F$33*AR288,AS288-AR288)</f>
        <v>0</v>
      </c>
      <c r="AT329" s="147">
        <f>_xlfn.SWITCH(AT164,1,AT288,THIN!$F$9+1,AT288-THIN!$F$33*AS288,AT288-AS288)</f>
        <v>0</v>
      </c>
      <c r="AU329" s="147">
        <f>_xlfn.SWITCH(AU164,1,AU288,THIN!$F$9+1,AU288-THIN!$F$33*AT288,AU288-AT288)</f>
        <v>0</v>
      </c>
      <c r="AV329" s="147">
        <f>_xlfn.SWITCH(AV164,1,AV288,THIN!$F$9+1,AV288-THIN!$F$33*AU288,AV288-AU288)</f>
        <v>0</v>
      </c>
    </row>
    <row r="330" spans="2:48" ht="12.95" customHeight="1" x14ac:dyDescent="0.2">
      <c r="B330" s="14"/>
      <c r="C330" s="372">
        <v>32</v>
      </c>
      <c r="D330" s="372"/>
      <c r="E330" s="372"/>
      <c r="F330" s="253" t="s">
        <v>493</v>
      </c>
      <c r="G330" s="253" t="s">
        <v>395</v>
      </c>
      <c r="H330" s="277"/>
      <c r="I330" s="147"/>
      <c r="J330" s="147"/>
      <c r="K330" s="147"/>
      <c r="L330" s="147"/>
      <c r="M330" s="147"/>
      <c r="N330" s="147"/>
      <c r="O330" s="147"/>
      <c r="P330" s="147"/>
      <c r="Q330" s="147"/>
      <c r="R330" s="147"/>
      <c r="S330" s="147"/>
      <c r="T330" s="147"/>
      <c r="U330" s="147"/>
      <c r="V330" s="147"/>
      <c r="W330" s="147"/>
      <c r="X330" s="147"/>
      <c r="Y330" s="147"/>
      <c r="Z330" s="147"/>
      <c r="AA330" s="147"/>
      <c r="AB330" s="147"/>
      <c r="AC330" s="147"/>
      <c r="AD330" s="147"/>
      <c r="AE330" s="147"/>
      <c r="AF330" s="147"/>
      <c r="AG330" s="147"/>
      <c r="AH330" s="147"/>
      <c r="AI330" s="147"/>
      <c r="AJ330" s="147"/>
      <c r="AK330" s="147"/>
      <c r="AL330" s="147"/>
      <c r="AM330" s="147"/>
      <c r="AN330" s="147">
        <f>_xlfn.SWITCH(AN165,1,AN289,THIN!$F$9+1,AN289-THIN!$F$33*AM289,AN289-AM289)</f>
        <v>0</v>
      </c>
      <c r="AO330" s="147">
        <f>_xlfn.SWITCH(AO165,1,AO289,THIN!$F$9+1,AO289-THIN!$F$33*AN289,AO289-AN289)</f>
        <v>0</v>
      </c>
      <c r="AP330" s="147">
        <f>_xlfn.SWITCH(AP165,1,AP289,THIN!$F$9+1,AP289-THIN!$F$33*AO289,AP289-AO289)</f>
        <v>0</v>
      </c>
      <c r="AQ330" s="147">
        <f>_xlfn.SWITCH(AQ165,1,AQ289,THIN!$F$9+1,AQ289-THIN!$F$33*AP289,AQ289-AP289)</f>
        <v>0</v>
      </c>
      <c r="AR330" s="147">
        <f>_xlfn.SWITCH(AR165,1,AR289,THIN!$F$9+1,AR289-THIN!$F$33*AQ289,AR289-AQ289)</f>
        <v>0</v>
      </c>
      <c r="AS330" s="147">
        <f>_xlfn.SWITCH(AS165,1,AS289,THIN!$F$9+1,AS289-THIN!$F$33*AR289,AS289-AR289)</f>
        <v>0</v>
      </c>
      <c r="AT330" s="147">
        <f>_xlfn.SWITCH(AT165,1,AT289,THIN!$F$9+1,AT289-THIN!$F$33*AS289,AT289-AS289)</f>
        <v>0</v>
      </c>
      <c r="AU330" s="147">
        <f>_xlfn.SWITCH(AU165,1,AU289,THIN!$F$9+1,AU289-THIN!$F$33*AT289,AU289-AT289)</f>
        <v>0</v>
      </c>
      <c r="AV330" s="147">
        <f>_xlfn.SWITCH(AV165,1,AV289,THIN!$F$9+1,AV289-THIN!$F$33*AU289,AV289-AU289)</f>
        <v>0</v>
      </c>
    </row>
    <row r="331" spans="2:48" ht="12.95" customHeight="1" x14ac:dyDescent="0.2">
      <c r="B331" s="14"/>
      <c r="C331" s="372">
        <v>33</v>
      </c>
      <c r="D331" s="372"/>
      <c r="E331" s="372"/>
      <c r="F331" s="253" t="s">
        <v>493</v>
      </c>
      <c r="G331" s="253" t="s">
        <v>395</v>
      </c>
      <c r="H331" s="277"/>
      <c r="I331" s="147"/>
      <c r="J331" s="147"/>
      <c r="K331" s="147"/>
      <c r="L331" s="147"/>
      <c r="M331" s="147"/>
      <c r="N331" s="147"/>
      <c r="O331" s="147"/>
      <c r="P331" s="147"/>
      <c r="Q331" s="147"/>
      <c r="R331" s="147"/>
      <c r="S331" s="147"/>
      <c r="T331" s="147"/>
      <c r="U331" s="147"/>
      <c r="V331" s="147"/>
      <c r="W331" s="147"/>
      <c r="X331" s="147"/>
      <c r="Y331" s="147"/>
      <c r="Z331" s="147"/>
      <c r="AA331" s="147"/>
      <c r="AB331" s="147"/>
      <c r="AC331" s="147"/>
      <c r="AD331" s="147"/>
      <c r="AE331" s="147"/>
      <c r="AF331" s="147"/>
      <c r="AG331" s="147"/>
      <c r="AH331" s="147"/>
      <c r="AI331" s="147"/>
      <c r="AJ331" s="147"/>
      <c r="AK331" s="147"/>
      <c r="AL331" s="147"/>
      <c r="AM331" s="147"/>
      <c r="AN331" s="147"/>
      <c r="AO331" s="147">
        <f>_xlfn.SWITCH(AO166,1,AO290,THIN!$F$9+1,AO290-THIN!$F$33*AN290,AO290-AN290)</f>
        <v>0</v>
      </c>
      <c r="AP331" s="147">
        <f>_xlfn.SWITCH(AP166,1,AP290,THIN!$F$9+1,AP290-THIN!$F$33*AO290,AP290-AO290)</f>
        <v>0</v>
      </c>
      <c r="AQ331" s="147">
        <f>_xlfn.SWITCH(AQ166,1,AQ290,THIN!$F$9+1,AQ290-THIN!$F$33*AP290,AQ290-AP290)</f>
        <v>0</v>
      </c>
      <c r="AR331" s="147">
        <f>_xlfn.SWITCH(AR166,1,AR290,THIN!$F$9+1,AR290-THIN!$F$33*AQ290,AR290-AQ290)</f>
        <v>0</v>
      </c>
      <c r="AS331" s="147">
        <f>_xlfn.SWITCH(AS166,1,AS290,THIN!$F$9+1,AS290-THIN!$F$33*AR290,AS290-AR290)</f>
        <v>0</v>
      </c>
      <c r="AT331" s="147">
        <f>_xlfn.SWITCH(AT166,1,AT290,THIN!$F$9+1,AT290-THIN!$F$33*AS290,AT290-AS290)</f>
        <v>0</v>
      </c>
      <c r="AU331" s="147">
        <f>_xlfn.SWITCH(AU166,1,AU290,THIN!$F$9+1,AU290-THIN!$F$33*AT290,AU290-AT290)</f>
        <v>0</v>
      </c>
      <c r="AV331" s="147">
        <f>_xlfn.SWITCH(AV166,1,AV290,THIN!$F$9+1,AV290-THIN!$F$33*AU290,AV290-AU290)</f>
        <v>0</v>
      </c>
    </row>
    <row r="332" spans="2:48" ht="12.95" customHeight="1" x14ac:dyDescent="0.2">
      <c r="B332" s="14"/>
      <c r="C332" s="372">
        <v>34</v>
      </c>
      <c r="D332" s="372"/>
      <c r="E332" s="372"/>
      <c r="F332" s="253" t="s">
        <v>493</v>
      </c>
      <c r="G332" s="253" t="s">
        <v>395</v>
      </c>
      <c r="H332" s="277"/>
      <c r="I332" s="147"/>
      <c r="J332" s="147"/>
      <c r="K332" s="147"/>
      <c r="L332" s="147"/>
      <c r="M332" s="147"/>
      <c r="N332" s="147"/>
      <c r="O332" s="147"/>
      <c r="P332" s="147"/>
      <c r="Q332" s="147"/>
      <c r="R332" s="147"/>
      <c r="S332" s="147"/>
      <c r="T332" s="147"/>
      <c r="U332" s="147"/>
      <c r="V332" s="147"/>
      <c r="W332" s="147"/>
      <c r="X332" s="147"/>
      <c r="Y332" s="147"/>
      <c r="Z332" s="147"/>
      <c r="AA332" s="147"/>
      <c r="AB332" s="147"/>
      <c r="AC332" s="147"/>
      <c r="AD332" s="147"/>
      <c r="AE332" s="147"/>
      <c r="AF332" s="147"/>
      <c r="AG332" s="147"/>
      <c r="AH332" s="147"/>
      <c r="AI332" s="147"/>
      <c r="AJ332" s="147"/>
      <c r="AK332" s="147"/>
      <c r="AL332" s="147"/>
      <c r="AM332" s="147"/>
      <c r="AN332" s="147"/>
      <c r="AO332" s="147"/>
      <c r="AP332" s="147">
        <f>_xlfn.SWITCH(AP167,1,AP291,THIN!$F$9+1,AP291-THIN!$F$33*AO291,AP291-AO291)</f>
        <v>0</v>
      </c>
      <c r="AQ332" s="147">
        <f>_xlfn.SWITCH(AQ167,1,AQ291,THIN!$F$9+1,AQ291-THIN!$F$33*AP291,AQ291-AP291)</f>
        <v>0</v>
      </c>
      <c r="AR332" s="147">
        <f>_xlfn.SWITCH(AR167,1,AR291,THIN!$F$9+1,AR291-THIN!$F$33*AQ291,AR291-AQ291)</f>
        <v>0</v>
      </c>
      <c r="AS332" s="147">
        <f>_xlfn.SWITCH(AS167,1,AS291,THIN!$F$9+1,AS291-THIN!$F$33*AR291,AS291-AR291)</f>
        <v>0</v>
      </c>
      <c r="AT332" s="147">
        <f>_xlfn.SWITCH(AT167,1,AT291,THIN!$F$9+1,AT291-THIN!$F$33*AS291,AT291-AS291)</f>
        <v>0</v>
      </c>
      <c r="AU332" s="147">
        <f>_xlfn.SWITCH(AU167,1,AU291,THIN!$F$9+1,AU291-THIN!$F$33*AT291,AU291-AT291)</f>
        <v>0</v>
      </c>
      <c r="AV332" s="147">
        <f>_xlfn.SWITCH(AV167,1,AV291,THIN!$F$9+1,AV291-THIN!$F$33*AU291,AV291-AU291)</f>
        <v>0</v>
      </c>
    </row>
    <row r="333" spans="2:48" ht="12.95" customHeight="1" x14ac:dyDescent="0.2">
      <c r="B333" s="14"/>
      <c r="C333" s="372">
        <v>35</v>
      </c>
      <c r="D333" s="372"/>
      <c r="E333" s="372"/>
      <c r="F333" s="253" t="s">
        <v>493</v>
      </c>
      <c r="G333" s="253" t="s">
        <v>395</v>
      </c>
      <c r="H333" s="277"/>
      <c r="I333" s="147"/>
      <c r="J333" s="147"/>
      <c r="K333" s="147"/>
      <c r="L333" s="147"/>
      <c r="M333" s="147"/>
      <c r="N333" s="147"/>
      <c r="O333" s="147"/>
      <c r="P333" s="147"/>
      <c r="Q333" s="147"/>
      <c r="R333" s="147"/>
      <c r="S333" s="147"/>
      <c r="T333" s="147"/>
      <c r="U333" s="147"/>
      <c r="V333" s="147"/>
      <c r="W333" s="147"/>
      <c r="X333" s="147"/>
      <c r="Y333" s="147"/>
      <c r="Z333" s="147"/>
      <c r="AA333" s="147"/>
      <c r="AB333" s="147"/>
      <c r="AC333" s="147"/>
      <c r="AD333" s="147"/>
      <c r="AE333" s="147"/>
      <c r="AF333" s="147"/>
      <c r="AG333" s="147"/>
      <c r="AH333" s="147"/>
      <c r="AI333" s="147"/>
      <c r="AJ333" s="147"/>
      <c r="AK333" s="147"/>
      <c r="AL333" s="147"/>
      <c r="AM333" s="147"/>
      <c r="AN333" s="147"/>
      <c r="AO333" s="147"/>
      <c r="AP333" s="147"/>
      <c r="AQ333" s="147">
        <f>_xlfn.SWITCH(AQ168,1,AQ292,THIN!$F$9+1,AQ292-THIN!$F$33*AP292,AQ292-AP292)</f>
        <v>0</v>
      </c>
      <c r="AR333" s="147">
        <f>_xlfn.SWITCH(AR168,1,AR292,THIN!$F$9+1,AR292-THIN!$F$33*AQ292,AR292-AQ292)</f>
        <v>0</v>
      </c>
      <c r="AS333" s="147">
        <f>_xlfn.SWITCH(AS168,1,AS292,THIN!$F$9+1,AS292-THIN!$F$33*AR292,AS292-AR292)</f>
        <v>0</v>
      </c>
      <c r="AT333" s="147">
        <f>_xlfn.SWITCH(AT168,1,AT292,THIN!$F$9+1,AT292-THIN!$F$33*AS292,AT292-AS292)</f>
        <v>0</v>
      </c>
      <c r="AU333" s="147">
        <f>_xlfn.SWITCH(AU168,1,AU292,THIN!$F$9+1,AU292-THIN!$F$33*AT292,AU292-AT292)</f>
        <v>0</v>
      </c>
      <c r="AV333" s="147">
        <f>_xlfn.SWITCH(AV168,1,AV292,THIN!$F$9+1,AV292-THIN!$F$33*AU292,AV292-AU292)</f>
        <v>0</v>
      </c>
    </row>
    <row r="334" spans="2:48" ht="12.95" customHeight="1" x14ac:dyDescent="0.2">
      <c r="B334" s="14"/>
      <c r="C334" s="372">
        <v>36</v>
      </c>
      <c r="D334" s="372"/>
      <c r="E334" s="372"/>
      <c r="F334" s="253" t="s">
        <v>493</v>
      </c>
      <c r="G334" s="253" t="s">
        <v>395</v>
      </c>
      <c r="H334" s="277"/>
      <c r="I334" s="147"/>
      <c r="J334" s="147"/>
      <c r="K334" s="147"/>
      <c r="L334" s="147"/>
      <c r="M334" s="147"/>
      <c r="N334" s="147"/>
      <c r="O334" s="147"/>
      <c r="P334" s="147"/>
      <c r="Q334" s="147"/>
      <c r="R334" s="147"/>
      <c r="S334" s="147"/>
      <c r="T334" s="147"/>
      <c r="U334" s="147"/>
      <c r="V334" s="147"/>
      <c r="W334" s="147"/>
      <c r="X334" s="147"/>
      <c r="Y334" s="147"/>
      <c r="Z334" s="147"/>
      <c r="AA334" s="147"/>
      <c r="AB334" s="147"/>
      <c r="AC334" s="147"/>
      <c r="AD334" s="147"/>
      <c r="AE334" s="147"/>
      <c r="AF334" s="147"/>
      <c r="AG334" s="147"/>
      <c r="AH334" s="147"/>
      <c r="AI334" s="147"/>
      <c r="AJ334" s="147"/>
      <c r="AK334" s="147"/>
      <c r="AL334" s="147"/>
      <c r="AM334" s="147"/>
      <c r="AN334" s="147"/>
      <c r="AO334" s="147"/>
      <c r="AP334" s="147"/>
      <c r="AQ334" s="147"/>
      <c r="AR334" s="147">
        <f>_xlfn.SWITCH(AR169,1,AR293,THIN!$F$9+1,AR293-THIN!$F$33*AQ293,AR293-AQ293)</f>
        <v>0</v>
      </c>
      <c r="AS334" s="147">
        <f>_xlfn.SWITCH(AS169,1,AS293,THIN!$F$9+1,AS293-THIN!$F$33*AR293,AS293-AR293)</f>
        <v>0</v>
      </c>
      <c r="AT334" s="147">
        <f>_xlfn.SWITCH(AT169,1,AT293,THIN!$F$9+1,AT293-THIN!$F$33*AS293,AT293-AS293)</f>
        <v>0</v>
      </c>
      <c r="AU334" s="147">
        <f>_xlfn.SWITCH(AU169,1,AU293,THIN!$F$9+1,AU293-THIN!$F$33*AT293,AU293-AT293)</f>
        <v>0</v>
      </c>
      <c r="AV334" s="147">
        <f>_xlfn.SWITCH(AV169,1,AV293,THIN!$F$9+1,AV293-THIN!$F$33*AU293,AV293-AU293)</f>
        <v>0</v>
      </c>
    </row>
    <row r="335" spans="2:48" ht="12.95" customHeight="1" x14ac:dyDescent="0.2">
      <c r="B335" s="14"/>
      <c r="C335" s="372">
        <v>37</v>
      </c>
      <c r="D335" s="372"/>
      <c r="E335" s="372"/>
      <c r="F335" s="253" t="s">
        <v>493</v>
      </c>
      <c r="G335" s="253" t="s">
        <v>395</v>
      </c>
      <c r="H335" s="277"/>
      <c r="I335" s="147"/>
      <c r="J335" s="147"/>
      <c r="K335" s="147"/>
      <c r="L335" s="147"/>
      <c r="M335" s="147"/>
      <c r="N335" s="147"/>
      <c r="O335" s="147"/>
      <c r="P335" s="147"/>
      <c r="Q335" s="147"/>
      <c r="R335" s="147"/>
      <c r="S335" s="147"/>
      <c r="T335" s="147"/>
      <c r="U335" s="147"/>
      <c r="V335" s="147"/>
      <c r="W335" s="147"/>
      <c r="X335" s="147"/>
      <c r="Y335" s="147"/>
      <c r="Z335" s="147"/>
      <c r="AA335" s="147"/>
      <c r="AB335" s="147"/>
      <c r="AC335" s="147"/>
      <c r="AD335" s="147"/>
      <c r="AE335" s="147"/>
      <c r="AF335" s="147"/>
      <c r="AG335" s="147"/>
      <c r="AH335" s="147"/>
      <c r="AI335" s="147"/>
      <c r="AJ335" s="147"/>
      <c r="AK335" s="147"/>
      <c r="AL335" s="147"/>
      <c r="AM335" s="147"/>
      <c r="AN335" s="147"/>
      <c r="AO335" s="147"/>
      <c r="AP335" s="147"/>
      <c r="AQ335" s="147"/>
      <c r="AR335" s="147"/>
      <c r="AS335" s="147">
        <f>_xlfn.SWITCH(AS170,1,AS294,THIN!$F$9+1,AS294-THIN!$F$33*AR294,AS294-AR294)</f>
        <v>0</v>
      </c>
      <c r="AT335" s="147">
        <f>_xlfn.SWITCH(AT170,1,AT294,THIN!$F$9+1,AT294-THIN!$F$33*AS294,AT294-AS294)</f>
        <v>0</v>
      </c>
      <c r="AU335" s="147">
        <f>_xlfn.SWITCH(AU170,1,AU294,THIN!$F$9+1,AU294-THIN!$F$33*AT294,AU294-AT294)</f>
        <v>0</v>
      </c>
      <c r="AV335" s="147">
        <f>_xlfn.SWITCH(AV170,1,AV294,THIN!$F$9+1,AV294-THIN!$F$33*AU294,AV294-AU294)</f>
        <v>0</v>
      </c>
    </row>
    <row r="336" spans="2:48" ht="12.95" customHeight="1" x14ac:dyDescent="0.2">
      <c r="B336" s="14"/>
      <c r="C336" s="372">
        <v>38</v>
      </c>
      <c r="D336" s="372"/>
      <c r="E336" s="372"/>
      <c r="F336" s="253" t="s">
        <v>493</v>
      </c>
      <c r="G336" s="253" t="s">
        <v>395</v>
      </c>
      <c r="H336" s="277"/>
      <c r="I336" s="147"/>
      <c r="J336" s="147"/>
      <c r="K336" s="147"/>
      <c r="L336" s="147"/>
      <c r="M336" s="147"/>
      <c r="N336" s="147"/>
      <c r="O336" s="147"/>
      <c r="P336" s="147"/>
      <c r="Q336" s="147"/>
      <c r="R336" s="147"/>
      <c r="S336" s="147"/>
      <c r="T336" s="147"/>
      <c r="U336" s="147"/>
      <c r="V336" s="147"/>
      <c r="W336" s="147"/>
      <c r="X336" s="147"/>
      <c r="Y336" s="147"/>
      <c r="Z336" s="147"/>
      <c r="AA336" s="147"/>
      <c r="AB336" s="147"/>
      <c r="AC336" s="147"/>
      <c r="AD336" s="147"/>
      <c r="AE336" s="147"/>
      <c r="AF336" s="147"/>
      <c r="AG336" s="147"/>
      <c r="AH336" s="147"/>
      <c r="AI336" s="147"/>
      <c r="AJ336" s="147"/>
      <c r="AK336" s="147"/>
      <c r="AL336" s="147"/>
      <c r="AM336" s="147"/>
      <c r="AN336" s="147"/>
      <c r="AO336" s="147"/>
      <c r="AP336" s="147"/>
      <c r="AQ336" s="147"/>
      <c r="AR336" s="147"/>
      <c r="AS336" s="147"/>
      <c r="AT336" s="147">
        <f>_xlfn.SWITCH(AT171,1,AT295,THIN!$F$9+1,AT295-THIN!$F$33*AS295,AT295-AS295)</f>
        <v>0</v>
      </c>
      <c r="AU336" s="147">
        <f>_xlfn.SWITCH(AU171,1,AU295,THIN!$F$9+1,AU295-THIN!$F$33*AT295,AU295-AT295)</f>
        <v>0</v>
      </c>
      <c r="AV336" s="147">
        <f>_xlfn.SWITCH(AV171,1,AV295,THIN!$F$9+1,AV295-THIN!$F$33*AU295,AV295-AU295)</f>
        <v>0</v>
      </c>
    </row>
    <row r="337" spans="1:50" ht="12.95" customHeight="1" x14ac:dyDescent="0.2">
      <c r="B337" s="14"/>
      <c r="C337" s="372">
        <v>39</v>
      </c>
      <c r="D337" s="372"/>
      <c r="E337" s="372"/>
      <c r="F337" s="253" t="s">
        <v>493</v>
      </c>
      <c r="G337" s="253" t="s">
        <v>395</v>
      </c>
      <c r="H337" s="277"/>
      <c r="I337" s="147"/>
      <c r="J337" s="147"/>
      <c r="K337" s="147"/>
      <c r="L337" s="147"/>
      <c r="M337" s="147"/>
      <c r="N337" s="147"/>
      <c r="O337" s="147"/>
      <c r="P337" s="147"/>
      <c r="Q337" s="147"/>
      <c r="R337" s="147"/>
      <c r="S337" s="147"/>
      <c r="T337" s="147"/>
      <c r="U337" s="147"/>
      <c r="V337" s="147"/>
      <c r="W337" s="147"/>
      <c r="X337" s="147"/>
      <c r="Y337" s="147"/>
      <c r="Z337" s="147"/>
      <c r="AA337" s="147"/>
      <c r="AB337" s="147"/>
      <c r="AC337" s="147"/>
      <c r="AD337" s="147"/>
      <c r="AE337" s="147"/>
      <c r="AF337" s="147"/>
      <c r="AG337" s="147"/>
      <c r="AH337" s="147"/>
      <c r="AI337" s="147"/>
      <c r="AJ337" s="147"/>
      <c r="AK337" s="147"/>
      <c r="AL337" s="147"/>
      <c r="AM337" s="147"/>
      <c r="AN337" s="147"/>
      <c r="AO337" s="147"/>
      <c r="AP337" s="147"/>
      <c r="AQ337" s="147"/>
      <c r="AR337" s="147"/>
      <c r="AS337" s="147"/>
      <c r="AT337" s="147"/>
      <c r="AU337" s="147">
        <f>_xlfn.SWITCH(AU172,1,AU296,THIN!$F$9+1,AU296-THIN!$F$33*AT296,AU296-AT296)</f>
        <v>0</v>
      </c>
      <c r="AV337" s="147">
        <f>_xlfn.SWITCH(AV172,1,AV296,THIN!$F$9+1,AV296-THIN!$F$33*AU296,AV296-AU296)</f>
        <v>0</v>
      </c>
    </row>
    <row r="338" spans="1:50" ht="12.95" customHeight="1" x14ac:dyDescent="0.2">
      <c r="B338" s="14"/>
      <c r="C338" s="372">
        <v>40</v>
      </c>
      <c r="D338" s="372"/>
      <c r="E338" s="372"/>
      <c r="F338" s="253" t="s">
        <v>493</v>
      </c>
      <c r="G338" s="253" t="s">
        <v>395</v>
      </c>
      <c r="H338" s="277"/>
      <c r="I338" s="147"/>
      <c r="J338" s="147"/>
      <c r="K338" s="147"/>
      <c r="L338" s="147"/>
      <c r="M338" s="147"/>
      <c r="N338" s="147"/>
      <c r="O338" s="147"/>
      <c r="P338" s="147"/>
      <c r="Q338" s="147"/>
      <c r="R338" s="147"/>
      <c r="S338" s="147"/>
      <c r="T338" s="147"/>
      <c r="U338" s="147"/>
      <c r="V338" s="147"/>
      <c r="W338" s="147"/>
      <c r="X338" s="147"/>
      <c r="Y338" s="147"/>
      <c r="Z338" s="147"/>
      <c r="AA338" s="147"/>
      <c r="AB338" s="147"/>
      <c r="AC338" s="147"/>
      <c r="AD338" s="147"/>
      <c r="AE338" s="147"/>
      <c r="AF338" s="147"/>
      <c r="AG338" s="147"/>
      <c r="AH338" s="147"/>
      <c r="AI338" s="147"/>
      <c r="AJ338" s="147"/>
      <c r="AK338" s="147"/>
      <c r="AL338" s="147"/>
      <c r="AM338" s="147"/>
      <c r="AN338" s="147"/>
      <c r="AO338" s="147"/>
      <c r="AP338" s="147"/>
      <c r="AQ338" s="147"/>
      <c r="AR338" s="147"/>
      <c r="AS338" s="147"/>
      <c r="AT338" s="147"/>
      <c r="AU338" s="147"/>
      <c r="AV338" s="147">
        <f>_xlfn.SWITCH(AV173,1,AV297,THIN!$F$9+1,AV297-THIN!$F$33*AU297,AV297-AU297)</f>
        <v>0</v>
      </c>
    </row>
    <row r="339" spans="1:50" ht="12.95" customHeight="1" x14ac:dyDescent="0.2">
      <c r="B339" s="253" t="s">
        <v>495</v>
      </c>
      <c r="F339" s="253" t="s">
        <v>493</v>
      </c>
      <c r="G339" s="253" t="s">
        <v>432</v>
      </c>
      <c r="H339" s="124"/>
      <c r="I339" s="124">
        <f ca="1">THIN!$F$29*SUMIF($C$299:$E$338,"&lt;=thin!$F$9",I299:I338)</f>
        <v>0</v>
      </c>
      <c r="J339" s="124">
        <f>THIN!$F$29*SUM(J299:J338)</f>
        <v>1188143.8465424802</v>
      </c>
      <c r="K339" s="124">
        <f>THIN!$F$29*SUM(K299:K338)</f>
        <v>2187297.064101968</v>
      </c>
      <c r="L339" s="124">
        <f>THIN!$F$29*SUM(L299:L338)</f>
        <v>3226808.2537592957</v>
      </c>
      <c r="M339" s="124">
        <f>THIN!$F$29*SUM(M299:M338)</f>
        <v>4298694.041503408</v>
      </c>
      <c r="N339" s="124">
        <f>THIN!$F$29*SUM(N299:N338)</f>
        <v>5395347.1954861367</v>
      </c>
      <c r="O339" s="124">
        <f>THIN!$F$29*SUM(O299:O338)</f>
        <v>6509629.6852812581</v>
      </c>
      <c r="P339" s="124">
        <f>THIN!$F$29*SUM(P299:P338)</f>
        <v>7634933.7120441785</v>
      </c>
      <c r="Q339" s="124">
        <f>THIN!$F$29*SUM(Q299:Q338)</f>
        <v>8765216.676581623</v>
      </c>
      <c r="R339" s="124">
        <f>THIN!$F$29*SUM(R299:R338)</f>
        <v>9895015.3889508341</v>
      </c>
      <c r="S339" s="124">
        <f>THIN!$F$29*SUM(S299:S338)</f>
        <v>11019444.123263177</v>
      </c>
      <c r="T339" s="124">
        <f>THIN!$F$29*SUM(T299:T338)</f>
        <v>11024977.826535679</v>
      </c>
      <c r="U339" s="124">
        <f>THIN!$F$29*SUM(U299:U338)</f>
        <v>11060544.677859589</v>
      </c>
      <c r="V339" s="124">
        <f>THIN!$F$29*SUM(V299:V338)</f>
        <v>11148309.47789159</v>
      </c>
      <c r="W339" s="124">
        <f>THIN!$F$29*SUM(W299:W338)</f>
        <v>11303392.775830382</v>
      </c>
      <c r="X339" s="124">
        <f>THIN!$F$29*SUM(X299:X338)</f>
        <v>11535301.631138645</v>
      </c>
      <c r="Y339" s="124">
        <f>THIN!$F$29*SUM(Y299:Y338)</f>
        <v>11849114.466083014</v>
      </c>
      <c r="Z339" s="124">
        <f>THIN!$F$29*SUM(Z299:Z338)</f>
        <v>12246458.91980613</v>
      </c>
      <c r="AA339" s="124">
        <f>THIN!$F$29*SUM(AA299:AA338)</f>
        <v>12726315.736182939</v>
      </c>
      <c r="AB339" s="124">
        <f>THIN!$F$29*SUM(AB299:AB338)</f>
        <v>13285676.703050535</v>
      </c>
      <c r="AC339" s="124">
        <f>THIN!$F$29*SUM(AC299:AC338)</f>
        <v>13920080.384789987</v>
      </c>
      <c r="AD339" s="124">
        <f>THIN!$F$29*SUM(AD299:AD338)</f>
        <v>14624045.746749287</v>
      </c>
      <c r="AE339" s="124">
        <f>THIN!$F$29*SUM(AE299:AE338)</f>
        <v>15391420.666987015</v>
      </c>
      <c r="AF339" s="124">
        <f>THIN!$F$29*SUM(AF299:AF338)</f>
        <v>16215659.689766195</v>
      </c>
      <c r="AG339" s="124">
        <f>THIN!$F$29*SUM(AG299:AG338)</f>
        <v>17090043.128873251</v>
      </c>
      <c r="AH339" s="124">
        <f>THIN!$F$29*SUM(AH299:AH338)</f>
        <v>18007847.719571352</v>
      </c>
      <c r="AI339" s="124">
        <f>THIN!$F$29*SUM(AI299:AI338)</f>
        <v>18007847.719571352</v>
      </c>
      <c r="AJ339" s="124">
        <f>THIN!$F$29*SUM(AJ299:AJ338)</f>
        <v>18007847.719571352</v>
      </c>
      <c r="AK339" s="124">
        <f>THIN!$F$29*SUM(AK299:AK338)</f>
        <v>18007847.719571352</v>
      </c>
      <c r="AL339" s="124">
        <f>THIN!$F$29*SUM(AL299:AL338)</f>
        <v>18007847.719571356</v>
      </c>
      <c r="AM339" s="124">
        <f>THIN!$F$29*SUM(AM299:AM338)</f>
        <v>18007847.719571356</v>
      </c>
      <c r="AN339" s="124">
        <f>THIN!$F$29*SUM(AN299:AN338)</f>
        <v>18007847.719571352</v>
      </c>
      <c r="AO339" s="124">
        <f>THIN!$F$29*SUM(AO299:AO338)</f>
        <v>18007847.719571352</v>
      </c>
      <c r="AP339" s="124">
        <f>THIN!$F$29*SUM(AP299:AP338)</f>
        <v>18007847.719571352</v>
      </c>
      <c r="AQ339" s="124">
        <f>THIN!$F$29*SUM(AQ299:AQ338)</f>
        <v>18007847.719571352</v>
      </c>
      <c r="AR339" s="124">
        <f>THIN!$F$29*SUM(AR299:AR338)</f>
        <v>18007847.719571352</v>
      </c>
      <c r="AS339" s="124">
        <f>THIN!$F$29*SUM(AS299:AS338)</f>
        <v>18007847.719571356</v>
      </c>
      <c r="AT339" s="124">
        <f>THIN!$F$29*SUM(AT299:AT338)</f>
        <v>18007847.719571352</v>
      </c>
      <c r="AU339" s="124">
        <f>THIN!$F$29*SUM(AU299:AU338)</f>
        <v>18007847.719571356</v>
      </c>
      <c r="AV339" s="124">
        <f>THIN!$F$29*SUM(AV299:AV338)</f>
        <v>18007847.719571356</v>
      </c>
    </row>
    <row r="340" spans="1:50" ht="12.95" customHeight="1" x14ac:dyDescent="0.2">
      <c r="B340" s="253" t="s">
        <v>973</v>
      </c>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row>
    <row r="341" spans="1:50" s="54" customFormat="1" ht="12.95" customHeight="1" x14ac:dyDescent="0.2">
      <c r="C341" s="54" t="s">
        <v>431</v>
      </c>
      <c r="F341" s="54" t="s">
        <v>499</v>
      </c>
      <c r="G341" s="54" t="s">
        <v>4</v>
      </c>
      <c r="H341" s="12">
        <v>0</v>
      </c>
      <c r="I341" s="12">
        <v>1</v>
      </c>
      <c r="J341" s="12">
        <v>2</v>
      </c>
      <c r="K341" s="12">
        <v>3</v>
      </c>
      <c r="L341" s="12">
        <v>4</v>
      </c>
      <c r="M341" s="12">
        <v>5</v>
      </c>
      <c r="N341" s="12">
        <v>6</v>
      </c>
      <c r="O341" s="12">
        <v>7</v>
      </c>
      <c r="P341" s="12">
        <v>8</v>
      </c>
      <c r="Q341" s="12">
        <v>9</v>
      </c>
      <c r="R341" s="12">
        <v>10</v>
      </c>
      <c r="S341" s="12">
        <v>11</v>
      </c>
      <c r="T341" s="12">
        <v>12</v>
      </c>
      <c r="U341" s="12">
        <v>13</v>
      </c>
      <c r="V341" s="12">
        <v>14</v>
      </c>
      <c r="W341" s="12">
        <v>15</v>
      </c>
      <c r="X341" s="12">
        <v>16</v>
      </c>
      <c r="Y341" s="12">
        <v>17</v>
      </c>
      <c r="Z341" s="12">
        <v>18</v>
      </c>
      <c r="AA341" s="12">
        <v>19</v>
      </c>
      <c r="AB341" s="12">
        <v>20</v>
      </c>
      <c r="AC341" s="12">
        <v>21</v>
      </c>
      <c r="AD341" s="12">
        <v>22</v>
      </c>
      <c r="AE341" s="12">
        <v>23</v>
      </c>
      <c r="AF341" s="12">
        <v>24</v>
      </c>
      <c r="AG341" s="12">
        <v>25</v>
      </c>
      <c r="AH341" s="12">
        <v>26</v>
      </c>
      <c r="AI341" s="12">
        <v>27</v>
      </c>
      <c r="AJ341" s="12">
        <v>28</v>
      </c>
      <c r="AK341" s="12">
        <v>29</v>
      </c>
      <c r="AL341" s="12">
        <v>30</v>
      </c>
      <c r="AM341" s="12">
        <v>31</v>
      </c>
      <c r="AN341" s="12">
        <v>32</v>
      </c>
      <c r="AO341" s="12">
        <v>33</v>
      </c>
      <c r="AP341" s="12">
        <v>34</v>
      </c>
      <c r="AQ341" s="12">
        <v>35</v>
      </c>
      <c r="AR341" s="12">
        <v>36</v>
      </c>
      <c r="AS341" s="12">
        <v>37</v>
      </c>
      <c r="AT341" s="12">
        <v>38</v>
      </c>
      <c r="AU341" s="12">
        <v>39</v>
      </c>
      <c r="AV341" s="12">
        <v>40</v>
      </c>
    </row>
    <row r="342" spans="1:50" ht="12.95" customHeight="1" x14ac:dyDescent="0.2">
      <c r="B342" s="14"/>
      <c r="C342" s="253" t="s">
        <v>912</v>
      </c>
      <c r="F342" s="253" t="s">
        <v>494</v>
      </c>
      <c r="G342" s="253" t="s">
        <v>395</v>
      </c>
      <c r="H342" s="277">
        <f>HLOOKUP(H$341+THIN!$F$9,t_growth,4)</f>
        <v>17.4296431713258</v>
      </c>
      <c r="I342" s="277">
        <f>HLOOKUP(I$341+THIN!$F$9,t_growth,4)</f>
        <v>19.810566711342741</v>
      </c>
      <c r="J342" s="277">
        <f>HLOOKUP(J$341+THIN!$F$9,t_growth,4)</f>
        <v>22.267445799447479</v>
      </c>
      <c r="K342" s="277">
        <f>HLOOKUP(K$341+THIN!$F$9,t_growth,4)</f>
        <v>24.785131416603353</v>
      </c>
      <c r="L342" s="277">
        <f>HLOOKUP(L$341+THIN!$F$9,t_growth,4)</f>
        <v>27.349339112214277</v>
      </c>
      <c r="M342" s="277">
        <f>HLOOKUP(M$341+THIN!$F$9,t_growth,4)</f>
        <v>29.946730051786854</v>
      </c>
      <c r="N342" s="277">
        <f>HLOOKUP(N$341+THIN!$F$9,t_growth,4)</f>
        <v>32.564957457117195</v>
      </c>
      <c r="O342" s="277">
        <f>HLOOKUP(O$341+THIN!$F$9,t_growth,4)</f>
        <v>35.192685692036868</v>
      </c>
      <c r="P342" s="277">
        <f>HLOOKUP(P$341+THIN!$F$9,t_growth,4)</f>
        <v>37.819587993197999</v>
      </c>
      <c r="Q342" s="277">
        <f>HLOOKUP(Q$341+THIN!$F$9,t_growth,4)</f>
        <v>40.436327790332221</v>
      </c>
      <c r="R342" s="277">
        <f>HLOOKUP(R$341+THIN!$F$9,t_growth,4)</f>
        <v>43.034527673896086</v>
      </c>
      <c r="S342" s="277">
        <f>HLOOKUP(S$341+THIN!$F$9,t_growth,4)</f>
        <v>45.606729324439719</v>
      </c>
      <c r="T342" s="277">
        <f>HLOOKUP(T$341+THIN!$F$9,t_growth,4)</f>
        <v>48.146347095592041</v>
      </c>
      <c r="U342" s="277">
        <f>HLOOKUP(U$341+THIN!$F$9,t_growth,4)</f>
        <v>50.647617422659295</v>
      </c>
      <c r="V342" s="277">
        <f>HLOOKUP(V$341+THIN!$F$9,t_growth,4)</f>
        <v>53.105545795652432</v>
      </c>
      <c r="W342" s="277">
        <f>HLOOKUP(W$341+THIN!$F$9,t_growth,4)</f>
        <v>55.515852675616792</v>
      </c>
      <c r="X342" s="277">
        <f>HLOOKUP(X$341+THIN!$F$9,t_growth,4)</f>
        <v>57.874919434974622</v>
      </c>
      <c r="Y342" s="277">
        <f>HLOOKUP(Y$341+THIN!$F$9,t_growth,4)</f>
        <v>60.179735156461923</v>
      </c>
      <c r="Z342" s="277">
        <f>HLOOKUP(Z$341+THIN!$F$9,t_growth,4)</f>
        <v>62.427844922873923</v>
      </c>
      <c r="AA342" s="277">
        <f>HLOOKUP(AA$341+THIN!$F$9,t_growth,4)</f>
        <v>64.617300064203548</v>
      </c>
      <c r="AB342" s="277">
        <f>HLOOKUP(AB$341+THIN!$F$9,t_growth,4)</f>
        <v>66.746610693912174</v>
      </c>
      <c r="AC342" s="277">
        <f>HLOOKUP(AC$341+THIN!$F$9,t_growth,4)</f>
        <v>68.814700756968321</v>
      </c>
      <c r="AD342" s="277">
        <f>HLOOKUP(AD$341+THIN!$F$9,t_growth,4)</f>
        <v>70.820865724660678</v>
      </c>
      <c r="AE342" s="277">
        <f>HLOOKUP(AE$341+THIN!$F$9,t_growth,4)</f>
        <v>72.764733001429349</v>
      </c>
      <c r="AF342" s="277">
        <f>HLOOKUP(AF$341+THIN!$F$9,t_growth,4)</f>
        <v>74.646225054022594</v>
      </c>
      <c r="AG342" s="277">
        <f>HLOOKUP(AG$341+THIN!$F$9,t_growth,4)</f>
        <v>76.465525230604669</v>
      </c>
      <c r="AH342" s="277">
        <f>HLOOKUP(AH$341+THIN!$F$9,t_growth,4)</f>
        <v>78.22304620485869</v>
      </c>
      <c r="AI342" s="277">
        <f>HLOOKUP(AI$341+THIN!$F$9,t_growth,4)</f>
        <v>79.919400955828209</v>
      </c>
      <c r="AJ342" s="277">
        <f>HLOOKUP(AJ$341+THIN!$F$9,t_growth,4)</f>
        <v>81.555376176702282</v>
      </c>
      <c r="AK342" s="277">
        <f>HLOOKUP(AK$341+THIN!$F$9,t_growth,4)</f>
        <v>83.131907993694981</v>
      </c>
      <c r="AL342" s="277">
        <f>HLOOKUP(AL$341+THIN!$F$9,t_growth,4)</f>
        <v>84.650059868539287</v>
      </c>
      <c r="AM342" s="277">
        <f>HLOOKUP(AM$341+THIN!$F$9,t_growth,4)</f>
        <v>86.111002554017915</v>
      </c>
      <c r="AN342" s="277">
        <f>HLOOKUP(AN$341+THIN!$F$9,t_growth,4)</f>
        <v>87.515995970655169</v>
      </c>
      <c r="AO342" s="277">
        <f>HLOOKUP(AO$341+THIN!$F$9,t_growth,4)</f>
        <v>88.866372873580801</v>
      </c>
      <c r="AP342" s="277">
        <f>HLOOKUP(AP$341+THIN!$F$9,t_growth,4)</f>
        <v>90.163524181150464</v>
      </c>
      <c r="AQ342" s="277">
        <f>HLOOKUP(AQ$341+THIN!$F$9,t_growth,4)</f>
        <v>91.408885840746265</v>
      </c>
      <c r="AR342" s="277">
        <f>HLOOKUP(AR$341+THIN!$F$9,t_growth,4)</f>
        <v>92.603927111953922</v>
      </c>
      <c r="AS342" s="277">
        <f>HLOOKUP(AS$341+THIN!$F$9,t_growth,4)</f>
        <v>93.750140152737799</v>
      </c>
      <c r="AT342" s="277">
        <f>HLOOKUP(AT$341+THIN!$F$9,t_growth,4)</f>
        <v>94.849030800092564</v>
      </c>
      <c r="AU342" s="277">
        <f>HLOOKUP(AU$341+THIN!$F$9,t_growth,4)</f>
        <v>95.902110442760019</v>
      </c>
      <c r="AV342" s="277">
        <f>HLOOKUP(AV$341+THIN!$F$9,t_growth,4)</f>
        <v>96.910888889817528</v>
      </c>
    </row>
    <row r="343" spans="1:50" ht="12.95" customHeight="1" x14ac:dyDescent="0.2">
      <c r="C343" s="253" t="s">
        <v>902</v>
      </c>
      <c r="F343" s="253" t="s">
        <v>494</v>
      </c>
      <c r="G343" s="250"/>
      <c r="I343" s="147">
        <f>THIN!$F$36*EXP(-THIN!$F$14*I341)</f>
        <v>0.31022834432391738</v>
      </c>
      <c r="J343" s="147">
        <f>THIN!$F$36*EXP(-THIN!$F$14*J341)</f>
        <v>0.27986535735311735</v>
      </c>
      <c r="K343" s="147">
        <f>THIN!$F$36*EXP(-THIN!$F$14*K341)</f>
        <v>0.25247408781129083</v>
      </c>
      <c r="L343" s="147">
        <f>THIN!$F$36*EXP(-THIN!$F$14*L341)</f>
        <v>0.22776368471970646</v>
      </c>
      <c r="M343" s="147">
        <f>THIN!$F$36*EXP(-THIN!$F$14*M341)</f>
        <v>0.20547176356518707</v>
      </c>
      <c r="N343" s="147">
        <f>THIN!$F$36*EXP(-THIN!$F$14*N341)</f>
        <v>0.18536162020097194</v>
      </c>
      <c r="O343" s="147">
        <f>THIN!$F$36*EXP(-THIN!$F$14*O341)</f>
        <v>0.16721971743153316</v>
      </c>
      <c r="P343" s="147">
        <f>THIN!$F$36*EXP(-THIN!$F$14*P341)</f>
        <v>0.15085341759294338</v>
      </c>
      <c r="Q343" s="147">
        <f>THIN!$F$36*EXP(-THIN!$F$14*Q341)</f>
        <v>0.13608893705246536</v>
      </c>
      <c r="R343" s="147">
        <f>THIN!$F$36*EXP(-THIN!$F$14*R341)</f>
        <v>0.12276950090745718</v>
      </c>
      <c r="S343" s="147">
        <f>THIN!$F$36*EXP(-THIN!$F$14*S341)</f>
        <v>0.11075367828948064</v>
      </c>
      <c r="T343" s="147">
        <f>THIN!$F$36*EXP(-THIN!$F$14*T341)</f>
        <v>9.9913880597234717E-2</v>
      </c>
      <c r="U343" s="147">
        <f>THIN!$F$36*EXP(-THIN!$F$14*U341)</f>
        <v>9.0135006711976967E-2</v>
      </c>
      <c r="V343" s="147">
        <f>THIN!$F$36*EXP(-THIN!$F$14*V341)</f>
        <v>8.1313220809811945E-2</v>
      </c>
      <c r="W343" s="147">
        <f>THIN!$F$36*EXP(-THIN!$F$14*W341)</f>
        <v>7.3354849793189916E-2</v>
      </c>
      <c r="X343" s="147">
        <f>THIN!$F$36*EXP(-THIN!$F$14*X341)</f>
        <v>6.6175388634121673E-2</v>
      </c>
      <c r="Y343" s="147">
        <f>THIN!$F$36*EXP(-THIN!$F$14*Y341)</f>
        <v>5.9698603067463323E-2</v>
      </c>
      <c r="Z343" s="147">
        <f>THIN!$F$36*EXP(-THIN!$F$14*Z341)</f>
        <v>5.385572010632507E-2</v>
      </c>
      <c r="AA343" s="147">
        <f>THIN!$F$36*EXP(-THIN!$F$14*AA341)</f>
        <v>4.8584697784186691E-2</v>
      </c>
      <c r="AB343" s="147">
        <f>THIN!$F$36*EXP(-THIN!$F$14*AB341)</f>
        <v>4.3829566369562471E-2</v>
      </c>
      <c r="AC343" s="147">
        <f>THIN!$F$36*EXP(-THIN!$F$14*AC341)</f>
        <v>3.9539834057980651E-2</v>
      </c>
      <c r="AD343" s="147">
        <f>THIN!$F$36*EXP(-THIN!$F$14*AD341)</f>
        <v>3.5669950830687469E-2</v>
      </c>
      <c r="AE343" s="147">
        <f>THIN!$F$36*EXP(-THIN!$F$14*AE341)</f>
        <v>3.2178824787122598E-2</v>
      </c>
      <c r="AF343" s="147">
        <f>THIN!$F$36*EXP(-THIN!$F$14*AF341)</f>
        <v>2.9029385815398906E-2</v>
      </c>
      <c r="AG343" s="147">
        <f>THIN!$F$36*EXP(-THIN!$F$14*AG341)</f>
        <v>2.6188191967673087E-2</v>
      </c>
      <c r="AH343" s="147">
        <f>THIN!$F$36*EXP(-THIN!$F$14*AH341)</f>
        <v>2.3625074360749874E-2</v>
      </c>
      <c r="AI343" s="147">
        <f>THIN!$F$36*EXP(-THIN!$F$14*AI341)</f>
        <v>2.1312816831339065E-2</v>
      </c>
      <c r="AJ343" s="147">
        <f>THIN!$F$36*EXP(-THIN!$F$14*AJ341)</f>
        <v>1.9226866944421831E-2</v>
      </c>
      <c r="AK343" s="147">
        <f>THIN!$F$36*EXP(-THIN!$F$14*AK341)</f>
        <v>1.734507528610308E-2</v>
      </c>
      <c r="AL343" s="147">
        <f>THIN!$F$36*EXP(-THIN!$F$14*AL341)</f>
        <v>1.5647460272661218E-2</v>
      </c>
      <c r="AM343" s="147">
        <f>THIN!$F$36*EXP(-THIN!$F$14*AM341)</f>
        <v>1.4115995978448133E-2</v>
      </c>
      <c r="AN343" s="147">
        <f>THIN!$F$36*EXP(-THIN!$F$14*AN341)</f>
        <v>1.2734420729714669E-2</v>
      </c>
      <c r="AO343" s="147">
        <f>THIN!$F$36*EXP(-THIN!$F$14*AO341)</f>
        <v>1.1488064431937778E-2</v>
      </c>
      <c r="AP343" s="147">
        <f>THIN!$F$36*EXP(-THIN!$F$14*AP341)</f>
        <v>1.0363692797144686E-2</v>
      </c>
      <c r="AQ343" s="147">
        <f>THIN!$F$36*EXP(-THIN!$F$14*AQ341)</f>
        <v>9.3493668171803265E-3</v>
      </c>
      <c r="AR343" s="147">
        <f>THIN!$F$36*EXP(-THIN!$F$14*AR341)</f>
        <v>8.4343159907514075E-3</v>
      </c>
      <c r="AS343" s="147">
        <f>THIN!$F$36*EXP(-THIN!$F$14*AS341)</f>
        <v>7.6088239581233235E-3</v>
      </c>
      <c r="AT343" s="147">
        <f>THIN!$F$36*EXP(-THIN!$F$14*AT341)</f>
        <v>6.8641253290954492E-3</v>
      </c>
      <c r="AU343" s="147">
        <f>THIN!$F$36*EXP(-THIN!$F$14*AU341)</f>
        <v>6.1923126087346965E-3</v>
      </c>
      <c r="AV343" s="147">
        <f>THIN!$F$36*EXP(-THIN!$F$14*AV341)</f>
        <v>5.5862522325692623E-3</v>
      </c>
    </row>
    <row r="344" spans="1:50" ht="12.95" customHeight="1" x14ac:dyDescent="0.2">
      <c r="C344" s="253" t="s">
        <v>915</v>
      </c>
      <c r="F344" s="253" t="s">
        <v>494</v>
      </c>
      <c r="G344" s="253" t="s">
        <v>395</v>
      </c>
      <c r="I344" s="147">
        <f t="shared" ref="I344:AV344" si="177">I342*(1-I343)</f>
        <v>13.66476740036437</v>
      </c>
      <c r="J344" s="147">
        <f t="shared" si="177"/>
        <v>16.035559123443939</v>
      </c>
      <c r="K344" s="147">
        <f t="shared" si="177"/>
        <v>18.527527970913457</v>
      </c>
      <c r="L344" s="147">
        <f t="shared" si="177"/>
        <v>21.120152861367568</v>
      </c>
      <c r="M344" s="147">
        <f t="shared" si="177"/>
        <v>23.793522615035624</v>
      </c>
      <c r="N344" s="147">
        <f t="shared" si="177"/>
        <v>26.528664181090228</v>
      </c>
      <c r="O344" s="147">
        <f t="shared" si="177"/>
        <v>29.3077747349577</v>
      </c>
      <c r="P344" s="147">
        <f t="shared" si="177"/>
        <v>32.114373892467036</v>
      </c>
      <c r="Q344" s="147">
        <f t="shared" si="177"/>
        <v>34.933390923040839</v>
      </c>
      <c r="R344" s="147">
        <f t="shared" si="177"/>
        <v>37.751200189583706</v>
      </c>
      <c r="S344" s="147">
        <f t="shared" si="177"/>
        <v>40.555616297005301</v>
      </c>
      <c r="T344" s="147">
        <f t="shared" si="177"/>
        <v>43.335858720690041</v>
      </c>
      <c r="U344" s="147">
        <f t="shared" si="177"/>
        <v>46.082494086322257</v>
      </c>
      <c r="V344" s="147">
        <f t="shared" si="177"/>
        <v>48.787362824144964</v>
      </c>
      <c r="W344" s="147">
        <f t="shared" si="177"/>
        <v>51.44349564145606</v>
      </c>
      <c r="X344" s="147">
        <f t="shared" si="177"/>
        <v>54.045024149196699</v>
      </c>
      <c r="Y344" s="147">
        <f t="shared" si="177"/>
        <v>56.587089034651235</v>
      </c>
      <c r="Z344" s="147">
        <f t="shared" si="177"/>
        <v>59.065748379866555</v>
      </c>
      <c r="AA344" s="147">
        <f t="shared" si="177"/>
        <v>61.477888068954108</v>
      </c>
      <c r="AB344" s="147">
        <f t="shared" si="177"/>
        <v>63.821135690560006</v>
      </c>
      <c r="AC344" s="147">
        <f t="shared" si="177"/>
        <v>66.093778908288201</v>
      </c>
      <c r="AD344" s="147">
        <f t="shared" si="177"/>
        <v>68.294688926475317</v>
      </c>
      <c r="AE344" s="147">
        <f t="shared" si="177"/>
        <v>70.423249407494595</v>
      </c>
      <c r="AF344" s="147">
        <f t="shared" si="177"/>
        <v>72.479290987266268</v>
      </c>
      <c r="AG344" s="147">
        <f t="shared" si="177"/>
        <v>74.46303137695665</v>
      </c>
      <c r="AH344" s="147">
        <f t="shared" si="177"/>
        <v>76.375020921544532</v>
      </c>
      <c r="AI344" s="147">
        <f t="shared" si="177"/>
        <v>78.216093401986299</v>
      </c>
      <c r="AJ344" s="147">
        <f t="shared" si="177"/>
        <v>79.987321810350551</v>
      </c>
      <c r="AK344" s="147">
        <f t="shared" si="177"/>
        <v>81.689978790866945</v>
      </c>
      <c r="AL344" s="147">
        <f t="shared" si="177"/>
        <v>83.32550141966793</v>
      </c>
      <c r="AM344" s="147">
        <f t="shared" si="177"/>
        <v>84.895459988265259</v>
      </c>
      <c r="AN344" s="147">
        <f t="shared" si="177"/>
        <v>86.401530457384837</v>
      </c>
      <c r="AO344" s="147">
        <f t="shared" si="177"/>
        <v>87.845470256176498</v>
      </c>
      <c r="AP344" s="147">
        <f t="shared" si="177"/>
        <v>89.229097115029091</v>
      </c>
      <c r="AQ344" s="147">
        <f t="shared" si="177"/>
        <v>90.554270636671362</v>
      </c>
      <c r="AR344" s="147">
        <f t="shared" si="177"/>
        <v>91.822876328707196</v>
      </c>
      <c r="AS344" s="147">
        <f t="shared" si="177"/>
        <v>93.036811840266225</v>
      </c>
      <c r="AT344" s="147">
        <f t="shared" si="177"/>
        <v>94.197975165337496</v>
      </c>
      <c r="AU344" s="147">
        <f t="shared" si="177"/>
        <v>95.308254595061058</v>
      </c>
      <c r="AV344" s="147">
        <f t="shared" si="177"/>
        <v>96.36952022039651</v>
      </c>
    </row>
    <row r="345" spans="1:50" ht="12.95" customHeight="1" x14ac:dyDescent="0.2">
      <c r="A345" s="73"/>
      <c r="B345" s="14"/>
      <c r="G345" s="14"/>
      <c r="H345" s="124"/>
      <c r="I345" s="124"/>
      <c r="J345" s="124"/>
      <c r="K345" s="124"/>
      <c r="L345" s="124"/>
      <c r="M345" s="124"/>
      <c r="N345" s="124"/>
      <c r="O345" s="124"/>
      <c r="P345" s="124"/>
      <c r="Q345" s="124"/>
      <c r="R345" s="124"/>
      <c r="S345" s="124"/>
      <c r="T345" s="124"/>
      <c r="U345" s="124"/>
      <c r="V345" s="124"/>
      <c r="W345" s="124"/>
      <c r="X345" s="124"/>
      <c r="Y345" s="124"/>
      <c r="Z345" s="124"/>
      <c r="AA345" s="124"/>
      <c r="AB345" s="124"/>
      <c r="AC345" s="124"/>
      <c r="AD345" s="124"/>
      <c r="AE345" s="124"/>
      <c r="AF345" s="124"/>
      <c r="AG345" s="124"/>
      <c r="AH345" s="124"/>
      <c r="AI345" s="124"/>
      <c r="AJ345" s="124"/>
      <c r="AK345" s="124"/>
      <c r="AL345" s="124"/>
      <c r="AM345" s="124"/>
      <c r="AN345" s="124"/>
      <c r="AO345" s="124"/>
      <c r="AP345" s="124"/>
      <c r="AQ345" s="124"/>
      <c r="AR345" s="124"/>
      <c r="AS345" s="124"/>
      <c r="AT345" s="124"/>
      <c r="AU345" s="124"/>
      <c r="AV345" s="124"/>
    </row>
    <row r="346" spans="1:50" ht="12.95" customHeight="1" x14ac:dyDescent="0.25">
      <c r="B346" s="307" t="s">
        <v>1022</v>
      </c>
      <c r="C346" s="106"/>
      <c r="D346" s="106"/>
      <c r="E346" s="106"/>
      <c r="F346" s="106"/>
      <c r="G346" s="106"/>
      <c r="H346" s="106"/>
      <c r="I346" s="106"/>
      <c r="J346" s="107"/>
      <c r="K346" s="107"/>
      <c r="L346" s="107"/>
      <c r="M346" s="107"/>
      <c r="N346" s="107"/>
      <c r="O346" s="107"/>
      <c r="P346" s="107"/>
      <c r="Q346" s="107"/>
      <c r="R346" s="107"/>
      <c r="S346" s="107"/>
      <c r="T346" s="107"/>
      <c r="U346" s="107"/>
      <c r="V346" s="107"/>
      <c r="W346" s="107"/>
      <c r="X346" s="107"/>
      <c r="Y346" s="107"/>
      <c r="Z346" s="107"/>
      <c r="AA346" s="107"/>
      <c r="AB346" s="107"/>
      <c r="AC346" s="107"/>
      <c r="AD346" s="107"/>
      <c r="AE346" s="107"/>
      <c r="AF346" s="107"/>
      <c r="AG346" s="107"/>
      <c r="AH346" s="107"/>
      <c r="AI346" s="107"/>
      <c r="AJ346" s="107"/>
      <c r="AK346" s="107"/>
      <c r="AL346" s="107"/>
      <c r="AM346" s="107"/>
      <c r="AN346" s="107"/>
      <c r="AO346" s="107"/>
      <c r="AP346" s="107"/>
      <c r="AQ346" s="107"/>
      <c r="AR346" s="107"/>
      <c r="AS346" s="107"/>
      <c r="AT346" s="107"/>
      <c r="AU346" s="107"/>
      <c r="AV346" s="107"/>
      <c r="AW346" s="108"/>
    </row>
    <row r="347" spans="1:50" ht="12.95" customHeight="1" x14ac:dyDescent="0.25">
      <c r="B347" s="19" t="s">
        <v>300</v>
      </c>
      <c r="C347" s="75"/>
      <c r="D347" s="75"/>
      <c r="E347" s="74"/>
      <c r="F347" s="74"/>
      <c r="G347" s="113" t="s">
        <v>1</v>
      </c>
      <c r="H347" s="114" t="s">
        <v>456</v>
      </c>
      <c r="I347" s="114" t="s">
        <v>381</v>
      </c>
      <c r="J347" s="56" t="s">
        <v>382</v>
      </c>
      <c r="K347" s="56" t="s">
        <v>383</v>
      </c>
      <c r="L347" s="56" t="s">
        <v>384</v>
      </c>
      <c r="M347" s="56" t="s">
        <v>385</v>
      </c>
      <c r="N347" s="56" t="s">
        <v>386</v>
      </c>
      <c r="O347" s="56" t="s">
        <v>387</v>
      </c>
      <c r="P347" s="56" t="s">
        <v>388</v>
      </c>
      <c r="Q347" s="56" t="s">
        <v>389</v>
      </c>
      <c r="R347" s="56" t="s">
        <v>390</v>
      </c>
      <c r="S347" s="56" t="s">
        <v>401</v>
      </c>
      <c r="T347" s="56" t="s">
        <v>402</v>
      </c>
      <c r="U347" s="56" t="s">
        <v>403</v>
      </c>
      <c r="V347" s="56" t="s">
        <v>404</v>
      </c>
      <c r="W347" s="56" t="s">
        <v>405</v>
      </c>
      <c r="X347" s="56" t="s">
        <v>406</v>
      </c>
      <c r="Y347" s="56" t="s">
        <v>407</v>
      </c>
      <c r="Z347" s="56" t="s">
        <v>408</v>
      </c>
      <c r="AA347" s="56" t="s">
        <v>409</v>
      </c>
      <c r="AB347" s="56" t="s">
        <v>410</v>
      </c>
      <c r="AC347" s="56" t="s">
        <v>411</v>
      </c>
      <c r="AD347" s="56" t="s">
        <v>412</v>
      </c>
      <c r="AE347" s="56" t="s">
        <v>413</v>
      </c>
      <c r="AF347" s="56" t="s">
        <v>414</v>
      </c>
      <c r="AG347" s="56" t="s">
        <v>415</v>
      </c>
      <c r="AH347" s="56" t="s">
        <v>416</v>
      </c>
      <c r="AI347" s="56" t="s">
        <v>417</v>
      </c>
      <c r="AJ347" s="56" t="s">
        <v>418</v>
      </c>
      <c r="AK347" s="56" t="s">
        <v>419</v>
      </c>
      <c r="AL347" s="56" t="s">
        <v>420</v>
      </c>
      <c r="AM347" s="56" t="s">
        <v>421</v>
      </c>
      <c r="AN347" s="56" t="s">
        <v>422</v>
      </c>
      <c r="AO347" s="56" t="s">
        <v>423</v>
      </c>
      <c r="AP347" s="56" t="s">
        <v>424</v>
      </c>
      <c r="AQ347" s="56" t="s">
        <v>425</v>
      </c>
      <c r="AR347" s="56" t="s">
        <v>426</v>
      </c>
      <c r="AS347" s="56" t="s">
        <v>427</v>
      </c>
      <c r="AT347" s="56" t="s">
        <v>428</v>
      </c>
      <c r="AU347" s="56" t="s">
        <v>429</v>
      </c>
      <c r="AV347" s="56" t="s">
        <v>430</v>
      </c>
      <c r="AW347" s="5" t="s">
        <v>2</v>
      </c>
      <c r="AX347" s="14"/>
    </row>
    <row r="348" spans="1:50" ht="12.95" customHeight="1" x14ac:dyDescent="0.2">
      <c r="B348" s="14" t="s">
        <v>971</v>
      </c>
      <c r="H348" s="171"/>
      <c r="I348" s="171"/>
      <c r="J348" s="171"/>
      <c r="K348" s="171"/>
      <c r="L348" s="171"/>
      <c r="M348" s="171"/>
      <c r="N348" s="171"/>
      <c r="O348" s="171"/>
      <c r="P348" s="171"/>
      <c r="Q348" s="171"/>
      <c r="R348" s="171"/>
      <c r="S348" s="171"/>
      <c r="T348" s="171"/>
      <c r="U348" s="171"/>
      <c r="V348" s="171"/>
      <c r="W348" s="171"/>
      <c r="X348" s="171"/>
      <c r="Y348" s="171"/>
      <c r="Z348" s="171"/>
      <c r="AA348" s="171"/>
      <c r="AB348" s="171"/>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row>
    <row r="349" spans="1:50" ht="12.95" customHeight="1" x14ac:dyDescent="0.2">
      <c r="B349" s="14"/>
      <c r="C349" s="253" t="s">
        <v>858</v>
      </c>
      <c r="F349" s="253" t="s">
        <v>493</v>
      </c>
      <c r="G349" s="253" t="s">
        <v>432</v>
      </c>
      <c r="H349" s="147"/>
      <c r="I349" s="124">
        <f>THIN!$F$35*INDEX(decay!$H$14:$AV$14,MATCH(I215,decay!$H$10:$AV$10,0))</f>
        <v>69884.035963081726</v>
      </c>
      <c r="J349" s="124">
        <f>THIN!$F$35*INDEX(decay!$H$14:$AV$14,MATCH(J215,decay!$H$10:$AV$10,0))</f>
        <v>41930.421577849047</v>
      </c>
      <c r="K349" s="124">
        <f>THIN!$F$35*INDEX(decay!$H$14:$AV$14,MATCH(K215,decay!$H$10:$AV$10,0))</f>
        <v>35640.858341171683</v>
      </c>
      <c r="L349" s="124">
        <f>THIN!$F$35*INDEX(decay!$H$14:$AV$14,MATCH(L215,decay!$H$10:$AV$10,0))</f>
        <v>30294.729589995935</v>
      </c>
      <c r="M349" s="124">
        <f>THIN!$F$35*INDEX(decay!$H$14:$AV$14,MATCH(M215,decay!$H$10:$AV$10,0))</f>
        <v>25750.520151496548</v>
      </c>
      <c r="N349" s="124">
        <f>THIN!$F$35*INDEX(decay!$H$14:$AV$14,MATCH(N215,decay!$H$10:$AV$10,0))</f>
        <v>21887.942128772072</v>
      </c>
      <c r="O349" s="124">
        <f>THIN!$F$35*INDEX(decay!$H$14:$AV$14,MATCH(O215,decay!$H$10:$AV$10,0))</f>
        <v>18604.750809456262</v>
      </c>
      <c r="P349" s="124">
        <f>THIN!$F$35*INDEX(decay!$H$14:$AV$14,MATCH(P215,decay!$H$10:$AV$10,0))</f>
        <v>15814.03818803781</v>
      </c>
      <c r="Q349" s="124">
        <f>THIN!$F$35*INDEX(decay!$H$14:$AV$14,MATCH(Q215,decay!$H$10:$AV$10,0))</f>
        <v>13441.932459832145</v>
      </c>
      <c r="R349" s="124">
        <f>THIN!$F$35*INDEX(decay!$H$14:$AV$14,MATCH(R215,decay!$H$10:$AV$10,0))</f>
        <v>11425.64259085732</v>
      </c>
      <c r="S349" s="124">
        <f>THIN!$F$35*INDEX(decay!$H$14:$AV$14,MATCH(S215,decay!$H$10:$AV$10,0))</f>
        <v>9711.7962022287265</v>
      </c>
      <c r="T349" s="124">
        <f>THIN!$F$35*INDEX(decay!$H$14:$AV$14,MATCH(T215,decay!$H$10:$AV$10,0))</f>
        <v>0</v>
      </c>
      <c r="U349" s="124">
        <f>THIN!$F$35*INDEX(decay!$H$14:$AV$14,MATCH(U215,decay!$H$10:$AV$10,0))</f>
        <v>0</v>
      </c>
      <c r="V349" s="124">
        <f>THIN!$F$35*INDEX(decay!$H$14:$AV$14,MATCH(V215,decay!$H$10:$AV$10,0))</f>
        <v>0</v>
      </c>
      <c r="W349" s="124">
        <f>THIN!$F$35*INDEX(decay!$H$14:$AV$14,MATCH(W215,decay!$H$10:$AV$10,0))</f>
        <v>0</v>
      </c>
      <c r="X349" s="124">
        <f>THIN!$F$35*INDEX(decay!$H$14:$AV$14,MATCH(X215,decay!$H$10:$AV$10,0))</f>
        <v>0</v>
      </c>
      <c r="Y349" s="124">
        <f>THIN!$F$35*INDEX(decay!$H$14:$AV$14,MATCH(Y215,decay!$H$10:$AV$10,0))</f>
        <v>0</v>
      </c>
      <c r="Z349" s="124">
        <f>THIN!$F$35*INDEX(decay!$H$14:$AV$14,MATCH(Z215,decay!$H$10:$AV$10,0))</f>
        <v>0</v>
      </c>
      <c r="AA349" s="124">
        <f>THIN!$F$35*INDEX(decay!$H$14:$AV$14,MATCH(AA215,decay!$H$10:$AV$10,0))</f>
        <v>0</v>
      </c>
      <c r="AB349" s="124">
        <f>THIN!$F$35*INDEX(decay!$H$14:$AV$14,MATCH(AB215,decay!$H$10:$AV$10,0))</f>
        <v>0</v>
      </c>
      <c r="AC349" s="124">
        <f>THIN!$F$35*INDEX(decay!$H$14:$AV$14,MATCH(AC215,decay!$H$10:$AV$10,0))</f>
        <v>0</v>
      </c>
      <c r="AD349" s="124">
        <f>THIN!$F$35*INDEX(decay!$H$14:$AV$14,MATCH(AD215,decay!$H$10:$AV$10,0))</f>
        <v>0</v>
      </c>
      <c r="AE349" s="124">
        <f>THIN!$F$35*INDEX(decay!$H$14:$AV$14,MATCH(AE215,decay!$H$10:$AV$10,0))</f>
        <v>0</v>
      </c>
      <c r="AF349" s="124">
        <f>THIN!$F$35*INDEX(decay!$H$14:$AV$14,MATCH(AF215,decay!$H$10:$AV$10,0))</f>
        <v>0</v>
      </c>
      <c r="AG349" s="124">
        <f>THIN!$F$35*INDEX(decay!$H$14:$AV$14,MATCH(AG215,decay!$H$10:$AV$10,0))</f>
        <v>0</v>
      </c>
      <c r="AH349" s="124">
        <f>THIN!$F$35*INDEX(decay!$H$14:$AV$14,MATCH(AH215,decay!$H$10:$AV$10,0))</f>
        <v>0</v>
      </c>
      <c r="AI349" s="124">
        <f>THIN!$F$35*INDEX(decay!$H$14:$AV$14,MATCH(AI215,decay!$H$10:$AV$10,0))</f>
        <v>69884.035963081726</v>
      </c>
      <c r="AJ349" s="124">
        <f>THIN!$F$35*INDEX(decay!$H$14:$AV$14,MATCH(AJ215,decay!$H$10:$AV$10,0))</f>
        <v>41930.421577849047</v>
      </c>
      <c r="AK349" s="124">
        <f>THIN!$F$35*INDEX(decay!$H$14:$AV$14,MATCH(AK215,decay!$H$10:$AV$10,0))</f>
        <v>35640.858341171683</v>
      </c>
      <c r="AL349" s="124">
        <f>THIN!$F$35*INDEX(decay!$H$14:$AV$14,MATCH(AL215,decay!$H$10:$AV$10,0))</f>
        <v>30294.729589995935</v>
      </c>
      <c r="AM349" s="124">
        <f>THIN!$F$35*INDEX(decay!$H$14:$AV$14,MATCH(AM215,decay!$H$10:$AV$10,0))</f>
        <v>25750.520151496548</v>
      </c>
      <c r="AN349" s="124">
        <f>THIN!$F$35*INDEX(decay!$H$14:$AV$14,MATCH(AN215,decay!$H$10:$AV$10,0))</f>
        <v>21887.942128772072</v>
      </c>
      <c r="AO349" s="124">
        <f>THIN!$F$35*INDEX(decay!$H$14:$AV$14,MATCH(AO215,decay!$H$10:$AV$10,0))</f>
        <v>18604.750809456262</v>
      </c>
      <c r="AP349" s="124">
        <f>THIN!$F$35*INDEX(decay!$H$14:$AV$14,MATCH(AP215,decay!$H$10:$AV$10,0))</f>
        <v>15814.03818803781</v>
      </c>
      <c r="AQ349" s="124">
        <f>THIN!$F$35*INDEX(decay!$H$14:$AV$14,MATCH(AQ215,decay!$H$10:$AV$10,0))</f>
        <v>13441.932459832145</v>
      </c>
      <c r="AR349" s="124">
        <f>THIN!$F$35*INDEX(decay!$H$14:$AV$14,MATCH(AR215,decay!$H$10:$AV$10,0))</f>
        <v>11425.64259085732</v>
      </c>
      <c r="AS349" s="124">
        <f>THIN!$F$35*INDEX(decay!$H$14:$AV$14,MATCH(AS215,decay!$H$10:$AV$10,0))</f>
        <v>9711.7962022287265</v>
      </c>
      <c r="AT349" s="124">
        <f>THIN!$F$35*INDEX(decay!$H$14:$AV$14,MATCH(AT215,decay!$H$10:$AV$10,0))</f>
        <v>0</v>
      </c>
      <c r="AU349" s="124">
        <f>THIN!$F$35*INDEX(decay!$H$14:$AV$14,MATCH(AU215,decay!$H$10:$AV$10,0))</f>
        <v>0</v>
      </c>
      <c r="AV349" s="124">
        <f>THIN!$F$35*INDEX(decay!$H$14:$AV$14,MATCH(AV215,decay!$H$10:$AV$10,0))</f>
        <v>0</v>
      </c>
    </row>
    <row r="350" spans="1:50" ht="12.95" customHeight="1" x14ac:dyDescent="0.2">
      <c r="B350" s="14"/>
      <c r="C350" s="253" t="s">
        <v>859</v>
      </c>
      <c r="F350" s="253" t="s">
        <v>493</v>
      </c>
      <c r="G350" s="253" t="s">
        <v>432</v>
      </c>
      <c r="H350" s="147"/>
      <c r="I350" s="147"/>
      <c r="J350" s="124">
        <f t="shared" ref="J350:AV350" si="178">IF(J135&gt;0,I349,0)</f>
        <v>69884.035963081726</v>
      </c>
      <c r="K350" s="124">
        <f t="shared" si="178"/>
        <v>41930.421577849047</v>
      </c>
      <c r="L350" s="124">
        <f t="shared" si="178"/>
        <v>35640.858341171683</v>
      </c>
      <c r="M350" s="124">
        <f t="shared" si="178"/>
        <v>30294.729589995935</v>
      </c>
      <c r="N350" s="124">
        <f t="shared" si="178"/>
        <v>25750.520151496548</v>
      </c>
      <c r="O350" s="124">
        <f t="shared" si="178"/>
        <v>21887.942128772072</v>
      </c>
      <c r="P350" s="124">
        <f t="shared" si="178"/>
        <v>18604.750809456262</v>
      </c>
      <c r="Q350" s="124">
        <f t="shared" si="178"/>
        <v>15814.03818803781</v>
      </c>
      <c r="R350" s="124">
        <f t="shared" si="178"/>
        <v>13441.932459832145</v>
      </c>
      <c r="S350" s="124">
        <f t="shared" si="178"/>
        <v>11425.64259085732</v>
      </c>
      <c r="T350" s="124">
        <f t="shared" si="178"/>
        <v>9711.7962022287265</v>
      </c>
      <c r="U350" s="124">
        <f t="shared" si="178"/>
        <v>0</v>
      </c>
      <c r="V350" s="124">
        <f t="shared" si="178"/>
        <v>0</v>
      </c>
      <c r="W350" s="124">
        <f t="shared" si="178"/>
        <v>0</v>
      </c>
      <c r="X350" s="124">
        <f t="shared" si="178"/>
        <v>0</v>
      </c>
      <c r="Y350" s="124">
        <f t="shared" si="178"/>
        <v>0</v>
      </c>
      <c r="Z350" s="124">
        <f t="shared" si="178"/>
        <v>0</v>
      </c>
      <c r="AA350" s="124">
        <f t="shared" si="178"/>
        <v>0</v>
      </c>
      <c r="AB350" s="124">
        <f t="shared" si="178"/>
        <v>0</v>
      </c>
      <c r="AC350" s="124">
        <f t="shared" si="178"/>
        <v>0</v>
      </c>
      <c r="AD350" s="124">
        <f t="shared" si="178"/>
        <v>0</v>
      </c>
      <c r="AE350" s="124">
        <f t="shared" si="178"/>
        <v>0</v>
      </c>
      <c r="AF350" s="124">
        <f t="shared" si="178"/>
        <v>0</v>
      </c>
      <c r="AG350" s="124">
        <f t="shared" si="178"/>
        <v>0</v>
      </c>
      <c r="AH350" s="124">
        <f t="shared" si="178"/>
        <v>0</v>
      </c>
      <c r="AI350" s="124">
        <f t="shared" si="178"/>
        <v>0</v>
      </c>
      <c r="AJ350" s="124">
        <f t="shared" si="178"/>
        <v>69884.035963081726</v>
      </c>
      <c r="AK350" s="124">
        <f t="shared" si="178"/>
        <v>41930.421577849047</v>
      </c>
      <c r="AL350" s="124">
        <f t="shared" si="178"/>
        <v>35640.858341171683</v>
      </c>
      <c r="AM350" s="124">
        <f t="shared" si="178"/>
        <v>30294.729589995935</v>
      </c>
      <c r="AN350" s="124">
        <f t="shared" si="178"/>
        <v>25750.520151496548</v>
      </c>
      <c r="AO350" s="124">
        <f t="shared" si="178"/>
        <v>21887.942128772072</v>
      </c>
      <c r="AP350" s="124">
        <f t="shared" si="178"/>
        <v>18604.750809456262</v>
      </c>
      <c r="AQ350" s="124">
        <f t="shared" si="178"/>
        <v>15814.03818803781</v>
      </c>
      <c r="AR350" s="124">
        <f t="shared" si="178"/>
        <v>13441.932459832145</v>
      </c>
      <c r="AS350" s="124">
        <f t="shared" si="178"/>
        <v>11425.64259085732</v>
      </c>
      <c r="AT350" s="124">
        <f t="shared" si="178"/>
        <v>9711.7962022287265</v>
      </c>
      <c r="AU350" s="124">
        <f t="shared" si="178"/>
        <v>0</v>
      </c>
      <c r="AV350" s="124">
        <f t="shared" si="178"/>
        <v>0</v>
      </c>
    </row>
    <row r="351" spans="1:50" ht="12.95" customHeight="1" x14ac:dyDescent="0.2">
      <c r="B351" s="14"/>
      <c r="C351" s="253" t="s">
        <v>860</v>
      </c>
      <c r="F351" s="253" t="s">
        <v>493</v>
      </c>
      <c r="G351" s="253" t="s">
        <v>432</v>
      </c>
      <c r="H351" s="277"/>
      <c r="I351" s="147"/>
      <c r="J351" s="124"/>
      <c r="K351" s="124">
        <f t="shared" ref="K351:AV351" si="179">IF(K136&gt;0,J350,0)</f>
        <v>69884.035963081726</v>
      </c>
      <c r="L351" s="124">
        <f t="shared" si="179"/>
        <v>41930.421577849047</v>
      </c>
      <c r="M351" s="124">
        <f t="shared" si="179"/>
        <v>35640.858341171683</v>
      </c>
      <c r="N351" s="124">
        <f t="shared" si="179"/>
        <v>30294.729589995935</v>
      </c>
      <c r="O351" s="124">
        <f t="shared" si="179"/>
        <v>25750.520151496548</v>
      </c>
      <c r="P351" s="124">
        <f t="shared" si="179"/>
        <v>21887.942128772072</v>
      </c>
      <c r="Q351" s="124">
        <f t="shared" si="179"/>
        <v>18604.750809456262</v>
      </c>
      <c r="R351" s="124">
        <f t="shared" si="179"/>
        <v>15814.03818803781</v>
      </c>
      <c r="S351" s="124">
        <f t="shared" si="179"/>
        <v>13441.932459832145</v>
      </c>
      <c r="T351" s="124">
        <f t="shared" si="179"/>
        <v>11425.64259085732</v>
      </c>
      <c r="U351" s="124">
        <f t="shared" si="179"/>
        <v>9711.7962022287265</v>
      </c>
      <c r="V351" s="124">
        <f t="shared" si="179"/>
        <v>0</v>
      </c>
      <c r="W351" s="124">
        <f t="shared" si="179"/>
        <v>0</v>
      </c>
      <c r="X351" s="124">
        <f t="shared" si="179"/>
        <v>0</v>
      </c>
      <c r="Y351" s="124">
        <f t="shared" si="179"/>
        <v>0</v>
      </c>
      <c r="Z351" s="124">
        <f t="shared" si="179"/>
        <v>0</v>
      </c>
      <c r="AA351" s="124">
        <f t="shared" si="179"/>
        <v>0</v>
      </c>
      <c r="AB351" s="124">
        <f t="shared" si="179"/>
        <v>0</v>
      </c>
      <c r="AC351" s="124">
        <f t="shared" si="179"/>
        <v>0</v>
      </c>
      <c r="AD351" s="124">
        <f t="shared" si="179"/>
        <v>0</v>
      </c>
      <c r="AE351" s="124">
        <f t="shared" si="179"/>
        <v>0</v>
      </c>
      <c r="AF351" s="124">
        <f t="shared" si="179"/>
        <v>0</v>
      </c>
      <c r="AG351" s="124">
        <f t="shared" si="179"/>
        <v>0</v>
      </c>
      <c r="AH351" s="124">
        <f t="shared" si="179"/>
        <v>0</v>
      </c>
      <c r="AI351" s="124">
        <f t="shared" si="179"/>
        <v>0</v>
      </c>
      <c r="AJ351" s="124">
        <f t="shared" si="179"/>
        <v>0</v>
      </c>
      <c r="AK351" s="124">
        <f t="shared" si="179"/>
        <v>69884.035963081726</v>
      </c>
      <c r="AL351" s="124">
        <f t="shared" si="179"/>
        <v>41930.421577849047</v>
      </c>
      <c r="AM351" s="124">
        <f t="shared" si="179"/>
        <v>35640.858341171683</v>
      </c>
      <c r="AN351" s="124">
        <f t="shared" si="179"/>
        <v>30294.729589995935</v>
      </c>
      <c r="AO351" s="124">
        <f t="shared" si="179"/>
        <v>25750.520151496548</v>
      </c>
      <c r="AP351" s="124">
        <f t="shared" si="179"/>
        <v>21887.942128772072</v>
      </c>
      <c r="AQ351" s="124">
        <f t="shared" si="179"/>
        <v>18604.750809456262</v>
      </c>
      <c r="AR351" s="124">
        <f t="shared" si="179"/>
        <v>15814.03818803781</v>
      </c>
      <c r="AS351" s="124">
        <f t="shared" si="179"/>
        <v>13441.932459832145</v>
      </c>
      <c r="AT351" s="124">
        <f t="shared" si="179"/>
        <v>11425.64259085732</v>
      </c>
      <c r="AU351" s="124">
        <f t="shared" si="179"/>
        <v>9711.7962022287265</v>
      </c>
      <c r="AV351" s="124">
        <f t="shared" si="179"/>
        <v>0</v>
      </c>
    </row>
    <row r="352" spans="1:50" ht="12.95" customHeight="1" x14ac:dyDescent="0.2">
      <c r="B352" s="14"/>
      <c r="C352" s="253" t="s">
        <v>861</v>
      </c>
      <c r="F352" s="253" t="s">
        <v>493</v>
      </c>
      <c r="G352" s="253" t="s">
        <v>432</v>
      </c>
      <c r="H352" s="277"/>
      <c r="I352" s="147"/>
      <c r="J352" s="124"/>
      <c r="K352" s="124"/>
      <c r="L352" s="124">
        <f t="shared" ref="L352:AV352" si="180">IF(L137&gt;0,K351,0)</f>
        <v>69884.035963081726</v>
      </c>
      <c r="M352" s="124">
        <f t="shared" si="180"/>
        <v>41930.421577849047</v>
      </c>
      <c r="N352" s="124">
        <f t="shared" si="180"/>
        <v>35640.858341171683</v>
      </c>
      <c r="O352" s="124">
        <f t="shared" si="180"/>
        <v>30294.729589995935</v>
      </c>
      <c r="P352" s="124">
        <f t="shared" si="180"/>
        <v>25750.520151496548</v>
      </c>
      <c r="Q352" s="124">
        <f t="shared" si="180"/>
        <v>21887.942128772072</v>
      </c>
      <c r="R352" s="124">
        <f t="shared" si="180"/>
        <v>18604.750809456262</v>
      </c>
      <c r="S352" s="124">
        <f t="shared" si="180"/>
        <v>15814.03818803781</v>
      </c>
      <c r="T352" s="124">
        <f t="shared" si="180"/>
        <v>13441.932459832145</v>
      </c>
      <c r="U352" s="124">
        <f t="shared" si="180"/>
        <v>11425.64259085732</v>
      </c>
      <c r="V352" s="124">
        <f t="shared" si="180"/>
        <v>9711.7962022287265</v>
      </c>
      <c r="W352" s="124">
        <f t="shared" si="180"/>
        <v>0</v>
      </c>
      <c r="X352" s="124">
        <f t="shared" si="180"/>
        <v>0</v>
      </c>
      <c r="Y352" s="124">
        <f t="shared" si="180"/>
        <v>0</v>
      </c>
      <c r="Z352" s="124">
        <f t="shared" si="180"/>
        <v>0</v>
      </c>
      <c r="AA352" s="124">
        <f t="shared" si="180"/>
        <v>0</v>
      </c>
      <c r="AB352" s="124">
        <f t="shared" si="180"/>
        <v>0</v>
      </c>
      <c r="AC352" s="124">
        <f t="shared" si="180"/>
        <v>0</v>
      </c>
      <c r="AD352" s="124">
        <f t="shared" si="180"/>
        <v>0</v>
      </c>
      <c r="AE352" s="124">
        <f t="shared" si="180"/>
        <v>0</v>
      </c>
      <c r="AF352" s="124">
        <f t="shared" si="180"/>
        <v>0</v>
      </c>
      <c r="AG352" s="124">
        <f t="shared" si="180"/>
        <v>0</v>
      </c>
      <c r="AH352" s="124">
        <f t="shared" si="180"/>
        <v>0</v>
      </c>
      <c r="AI352" s="124">
        <f t="shared" si="180"/>
        <v>0</v>
      </c>
      <c r="AJ352" s="124">
        <f t="shared" si="180"/>
        <v>0</v>
      </c>
      <c r="AK352" s="124">
        <f t="shared" si="180"/>
        <v>0</v>
      </c>
      <c r="AL352" s="124">
        <f t="shared" si="180"/>
        <v>69884.035963081726</v>
      </c>
      <c r="AM352" s="124">
        <f t="shared" si="180"/>
        <v>41930.421577849047</v>
      </c>
      <c r="AN352" s="124">
        <f t="shared" si="180"/>
        <v>35640.858341171683</v>
      </c>
      <c r="AO352" s="124">
        <f t="shared" si="180"/>
        <v>30294.729589995935</v>
      </c>
      <c r="AP352" s="124">
        <f t="shared" si="180"/>
        <v>25750.520151496548</v>
      </c>
      <c r="AQ352" s="124">
        <f t="shared" si="180"/>
        <v>21887.942128772072</v>
      </c>
      <c r="AR352" s="124">
        <f t="shared" si="180"/>
        <v>18604.750809456262</v>
      </c>
      <c r="AS352" s="124">
        <f t="shared" si="180"/>
        <v>15814.03818803781</v>
      </c>
      <c r="AT352" s="124">
        <f t="shared" si="180"/>
        <v>13441.932459832145</v>
      </c>
      <c r="AU352" s="124">
        <f t="shared" si="180"/>
        <v>11425.64259085732</v>
      </c>
      <c r="AV352" s="124">
        <f t="shared" si="180"/>
        <v>9711.7962022287265</v>
      </c>
    </row>
    <row r="353" spans="2:48" ht="12.95" customHeight="1" x14ac:dyDescent="0.2">
      <c r="B353" s="14"/>
      <c r="C353" s="253" t="s">
        <v>862</v>
      </c>
      <c r="F353" s="253" t="s">
        <v>493</v>
      </c>
      <c r="G353" s="253" t="s">
        <v>432</v>
      </c>
      <c r="H353" s="277"/>
      <c r="I353" s="147"/>
      <c r="J353" s="124"/>
      <c r="K353" s="124"/>
      <c r="L353" s="124"/>
      <c r="M353" s="124">
        <f t="shared" ref="M353:AV353" si="181">IF(M138&gt;0,L352,0)</f>
        <v>69884.035963081726</v>
      </c>
      <c r="N353" s="124">
        <f t="shared" si="181"/>
        <v>41930.421577849047</v>
      </c>
      <c r="O353" s="124">
        <f t="shared" si="181"/>
        <v>35640.858341171683</v>
      </c>
      <c r="P353" s="124">
        <f t="shared" si="181"/>
        <v>30294.729589995935</v>
      </c>
      <c r="Q353" s="124">
        <f t="shared" si="181"/>
        <v>25750.520151496548</v>
      </c>
      <c r="R353" s="124">
        <f t="shared" si="181"/>
        <v>21887.942128772072</v>
      </c>
      <c r="S353" s="124">
        <f t="shared" si="181"/>
        <v>18604.750809456262</v>
      </c>
      <c r="T353" s="124">
        <f t="shared" si="181"/>
        <v>15814.03818803781</v>
      </c>
      <c r="U353" s="124">
        <f t="shared" si="181"/>
        <v>13441.932459832145</v>
      </c>
      <c r="V353" s="124">
        <f t="shared" si="181"/>
        <v>11425.64259085732</v>
      </c>
      <c r="W353" s="124">
        <f t="shared" si="181"/>
        <v>9711.7962022287265</v>
      </c>
      <c r="X353" s="124">
        <f t="shared" si="181"/>
        <v>0</v>
      </c>
      <c r="Y353" s="124">
        <f t="shared" si="181"/>
        <v>0</v>
      </c>
      <c r="Z353" s="124">
        <f t="shared" si="181"/>
        <v>0</v>
      </c>
      <c r="AA353" s="124">
        <f t="shared" si="181"/>
        <v>0</v>
      </c>
      <c r="AB353" s="124">
        <f t="shared" si="181"/>
        <v>0</v>
      </c>
      <c r="AC353" s="124">
        <f t="shared" si="181"/>
        <v>0</v>
      </c>
      <c r="AD353" s="124">
        <f t="shared" si="181"/>
        <v>0</v>
      </c>
      <c r="AE353" s="124">
        <f t="shared" si="181"/>
        <v>0</v>
      </c>
      <c r="AF353" s="124">
        <f t="shared" si="181"/>
        <v>0</v>
      </c>
      <c r="AG353" s="124">
        <f t="shared" si="181"/>
        <v>0</v>
      </c>
      <c r="AH353" s="124">
        <f t="shared" si="181"/>
        <v>0</v>
      </c>
      <c r="AI353" s="124">
        <f t="shared" si="181"/>
        <v>0</v>
      </c>
      <c r="AJ353" s="124">
        <f t="shared" si="181"/>
        <v>0</v>
      </c>
      <c r="AK353" s="124">
        <f t="shared" si="181"/>
        <v>0</v>
      </c>
      <c r="AL353" s="124">
        <f t="shared" si="181"/>
        <v>0</v>
      </c>
      <c r="AM353" s="124">
        <f t="shared" si="181"/>
        <v>69884.035963081726</v>
      </c>
      <c r="AN353" s="124">
        <f t="shared" si="181"/>
        <v>41930.421577849047</v>
      </c>
      <c r="AO353" s="124">
        <f t="shared" si="181"/>
        <v>35640.858341171683</v>
      </c>
      <c r="AP353" s="124">
        <f t="shared" si="181"/>
        <v>30294.729589995935</v>
      </c>
      <c r="AQ353" s="124">
        <f t="shared" si="181"/>
        <v>25750.520151496548</v>
      </c>
      <c r="AR353" s="124">
        <f t="shared" si="181"/>
        <v>21887.942128772072</v>
      </c>
      <c r="AS353" s="124">
        <f t="shared" si="181"/>
        <v>18604.750809456262</v>
      </c>
      <c r="AT353" s="124">
        <f t="shared" si="181"/>
        <v>15814.03818803781</v>
      </c>
      <c r="AU353" s="124">
        <f t="shared" si="181"/>
        <v>13441.932459832145</v>
      </c>
      <c r="AV353" s="124">
        <f t="shared" si="181"/>
        <v>11425.64259085732</v>
      </c>
    </row>
    <row r="354" spans="2:48" ht="12.95" customHeight="1" x14ac:dyDescent="0.2">
      <c r="B354" s="14"/>
      <c r="C354" s="253" t="s">
        <v>863</v>
      </c>
      <c r="F354" s="253" t="s">
        <v>493</v>
      </c>
      <c r="G354" s="253" t="s">
        <v>432</v>
      </c>
      <c r="H354" s="277"/>
      <c r="I354" s="147"/>
      <c r="J354" s="124"/>
      <c r="K354" s="124"/>
      <c r="L354" s="124"/>
      <c r="M354" s="124"/>
      <c r="N354" s="124">
        <f t="shared" ref="N354:AV354" si="182">IF(N139&gt;0,M353,0)</f>
        <v>69884.035963081726</v>
      </c>
      <c r="O354" s="124">
        <f t="shared" si="182"/>
        <v>41930.421577849047</v>
      </c>
      <c r="P354" s="124">
        <f t="shared" si="182"/>
        <v>35640.858341171683</v>
      </c>
      <c r="Q354" s="124">
        <f t="shared" si="182"/>
        <v>30294.729589995935</v>
      </c>
      <c r="R354" s="124">
        <f t="shared" si="182"/>
        <v>25750.520151496548</v>
      </c>
      <c r="S354" s="124">
        <f t="shared" si="182"/>
        <v>21887.942128772072</v>
      </c>
      <c r="T354" s="124">
        <f t="shared" si="182"/>
        <v>18604.750809456262</v>
      </c>
      <c r="U354" s="124">
        <f t="shared" si="182"/>
        <v>15814.03818803781</v>
      </c>
      <c r="V354" s="124">
        <f t="shared" si="182"/>
        <v>13441.932459832145</v>
      </c>
      <c r="W354" s="124">
        <f t="shared" si="182"/>
        <v>11425.64259085732</v>
      </c>
      <c r="X354" s="124">
        <f t="shared" si="182"/>
        <v>9711.7962022287265</v>
      </c>
      <c r="Y354" s="124">
        <f t="shared" si="182"/>
        <v>0</v>
      </c>
      <c r="Z354" s="124">
        <f t="shared" si="182"/>
        <v>0</v>
      </c>
      <c r="AA354" s="124">
        <f t="shared" si="182"/>
        <v>0</v>
      </c>
      <c r="AB354" s="124">
        <f t="shared" si="182"/>
        <v>0</v>
      </c>
      <c r="AC354" s="124">
        <f t="shared" si="182"/>
        <v>0</v>
      </c>
      <c r="AD354" s="124">
        <f t="shared" si="182"/>
        <v>0</v>
      </c>
      <c r="AE354" s="124">
        <f t="shared" si="182"/>
        <v>0</v>
      </c>
      <c r="AF354" s="124">
        <f t="shared" si="182"/>
        <v>0</v>
      </c>
      <c r="AG354" s="124">
        <f t="shared" si="182"/>
        <v>0</v>
      </c>
      <c r="AH354" s="124">
        <f t="shared" si="182"/>
        <v>0</v>
      </c>
      <c r="AI354" s="124">
        <f t="shared" si="182"/>
        <v>0</v>
      </c>
      <c r="AJ354" s="124">
        <f t="shared" si="182"/>
        <v>0</v>
      </c>
      <c r="AK354" s="124">
        <f t="shared" si="182"/>
        <v>0</v>
      </c>
      <c r="AL354" s="124">
        <f t="shared" si="182"/>
        <v>0</v>
      </c>
      <c r="AM354" s="124">
        <f t="shared" si="182"/>
        <v>0</v>
      </c>
      <c r="AN354" s="124">
        <f t="shared" si="182"/>
        <v>69884.035963081726</v>
      </c>
      <c r="AO354" s="124">
        <f t="shared" si="182"/>
        <v>41930.421577849047</v>
      </c>
      <c r="AP354" s="124">
        <f t="shared" si="182"/>
        <v>35640.858341171683</v>
      </c>
      <c r="AQ354" s="124">
        <f t="shared" si="182"/>
        <v>30294.729589995935</v>
      </c>
      <c r="AR354" s="124">
        <f t="shared" si="182"/>
        <v>25750.520151496548</v>
      </c>
      <c r="AS354" s="124">
        <f t="shared" si="182"/>
        <v>21887.942128772072</v>
      </c>
      <c r="AT354" s="124">
        <f t="shared" si="182"/>
        <v>18604.750809456262</v>
      </c>
      <c r="AU354" s="124">
        <f t="shared" si="182"/>
        <v>15814.03818803781</v>
      </c>
      <c r="AV354" s="124">
        <f t="shared" si="182"/>
        <v>13441.932459832145</v>
      </c>
    </row>
    <row r="355" spans="2:48" ht="12.95" customHeight="1" x14ac:dyDescent="0.2">
      <c r="B355" s="14"/>
      <c r="C355" s="253" t="s">
        <v>864</v>
      </c>
      <c r="F355" s="253" t="s">
        <v>493</v>
      </c>
      <c r="G355" s="253" t="s">
        <v>432</v>
      </c>
      <c r="H355" s="277"/>
      <c r="I355" s="147"/>
      <c r="J355" s="124"/>
      <c r="K355" s="124"/>
      <c r="L355" s="124"/>
      <c r="M355" s="124"/>
      <c r="N355" s="124"/>
      <c r="O355" s="124">
        <f t="shared" ref="O355:AV355" si="183">IF(O140&gt;0,N354,0)</f>
        <v>69884.035963081726</v>
      </c>
      <c r="P355" s="124">
        <f t="shared" si="183"/>
        <v>41930.421577849047</v>
      </c>
      <c r="Q355" s="124">
        <f t="shared" si="183"/>
        <v>35640.858341171683</v>
      </c>
      <c r="R355" s="124">
        <f t="shared" si="183"/>
        <v>30294.729589995935</v>
      </c>
      <c r="S355" s="124">
        <f t="shared" si="183"/>
        <v>25750.520151496548</v>
      </c>
      <c r="T355" s="124">
        <f t="shared" si="183"/>
        <v>21887.942128772072</v>
      </c>
      <c r="U355" s="124">
        <f t="shared" si="183"/>
        <v>18604.750809456262</v>
      </c>
      <c r="V355" s="124">
        <f t="shared" si="183"/>
        <v>15814.03818803781</v>
      </c>
      <c r="W355" s="124">
        <f t="shared" si="183"/>
        <v>13441.932459832145</v>
      </c>
      <c r="X355" s="124">
        <f t="shared" si="183"/>
        <v>11425.64259085732</v>
      </c>
      <c r="Y355" s="124">
        <f t="shared" si="183"/>
        <v>9711.7962022287265</v>
      </c>
      <c r="Z355" s="124">
        <f t="shared" si="183"/>
        <v>0</v>
      </c>
      <c r="AA355" s="124">
        <f t="shared" si="183"/>
        <v>0</v>
      </c>
      <c r="AB355" s="124">
        <f t="shared" si="183"/>
        <v>0</v>
      </c>
      <c r="AC355" s="124">
        <f t="shared" si="183"/>
        <v>0</v>
      </c>
      <c r="AD355" s="124">
        <f t="shared" si="183"/>
        <v>0</v>
      </c>
      <c r="AE355" s="124">
        <f t="shared" si="183"/>
        <v>0</v>
      </c>
      <c r="AF355" s="124">
        <f t="shared" si="183"/>
        <v>0</v>
      </c>
      <c r="AG355" s="124">
        <f t="shared" si="183"/>
        <v>0</v>
      </c>
      <c r="AH355" s="124">
        <f t="shared" si="183"/>
        <v>0</v>
      </c>
      <c r="AI355" s="124">
        <f t="shared" si="183"/>
        <v>0</v>
      </c>
      <c r="AJ355" s="124">
        <f t="shared" si="183"/>
        <v>0</v>
      </c>
      <c r="AK355" s="124">
        <f t="shared" si="183"/>
        <v>0</v>
      </c>
      <c r="AL355" s="124">
        <f t="shared" si="183"/>
        <v>0</v>
      </c>
      <c r="AM355" s="124">
        <f t="shared" si="183"/>
        <v>0</v>
      </c>
      <c r="AN355" s="124">
        <f t="shared" si="183"/>
        <v>0</v>
      </c>
      <c r="AO355" s="124">
        <f t="shared" si="183"/>
        <v>69884.035963081726</v>
      </c>
      <c r="AP355" s="124">
        <f t="shared" si="183"/>
        <v>41930.421577849047</v>
      </c>
      <c r="AQ355" s="124">
        <f t="shared" si="183"/>
        <v>35640.858341171683</v>
      </c>
      <c r="AR355" s="124">
        <f t="shared" si="183"/>
        <v>30294.729589995935</v>
      </c>
      <c r="AS355" s="124">
        <f t="shared" si="183"/>
        <v>25750.520151496548</v>
      </c>
      <c r="AT355" s="124">
        <f t="shared" si="183"/>
        <v>21887.942128772072</v>
      </c>
      <c r="AU355" s="124">
        <f t="shared" si="183"/>
        <v>18604.750809456262</v>
      </c>
      <c r="AV355" s="124">
        <f t="shared" si="183"/>
        <v>15814.03818803781</v>
      </c>
    </row>
    <row r="356" spans="2:48" ht="12.95" customHeight="1" x14ac:dyDescent="0.2">
      <c r="B356" s="14"/>
      <c r="C356" s="253" t="s">
        <v>865</v>
      </c>
      <c r="F356" s="253" t="s">
        <v>493</v>
      </c>
      <c r="G356" s="253" t="s">
        <v>432</v>
      </c>
      <c r="H356" s="277"/>
      <c r="I356" s="147"/>
      <c r="J356" s="124"/>
      <c r="K356" s="124"/>
      <c r="L356" s="124"/>
      <c r="M356" s="124"/>
      <c r="N356" s="124"/>
      <c r="O356" s="124"/>
      <c r="P356" s="124">
        <f t="shared" ref="P356:AV356" si="184">IF(P141&gt;0,O355,0)</f>
        <v>69884.035963081726</v>
      </c>
      <c r="Q356" s="124">
        <f t="shared" si="184"/>
        <v>41930.421577849047</v>
      </c>
      <c r="R356" s="124">
        <f t="shared" si="184"/>
        <v>35640.858341171683</v>
      </c>
      <c r="S356" s="124">
        <f t="shared" si="184"/>
        <v>30294.729589995935</v>
      </c>
      <c r="T356" s="124">
        <f t="shared" si="184"/>
        <v>25750.520151496548</v>
      </c>
      <c r="U356" s="124">
        <f t="shared" si="184"/>
        <v>21887.942128772072</v>
      </c>
      <c r="V356" s="124">
        <f t="shared" si="184"/>
        <v>18604.750809456262</v>
      </c>
      <c r="W356" s="124">
        <f t="shared" si="184"/>
        <v>15814.03818803781</v>
      </c>
      <c r="X356" s="124">
        <f t="shared" si="184"/>
        <v>13441.932459832145</v>
      </c>
      <c r="Y356" s="124">
        <f t="shared" si="184"/>
        <v>11425.64259085732</v>
      </c>
      <c r="Z356" s="124">
        <f t="shared" si="184"/>
        <v>9711.7962022287265</v>
      </c>
      <c r="AA356" s="124">
        <f t="shared" si="184"/>
        <v>0</v>
      </c>
      <c r="AB356" s="124">
        <f t="shared" si="184"/>
        <v>0</v>
      </c>
      <c r="AC356" s="124">
        <f t="shared" si="184"/>
        <v>0</v>
      </c>
      <c r="AD356" s="124">
        <f t="shared" si="184"/>
        <v>0</v>
      </c>
      <c r="AE356" s="124">
        <f t="shared" si="184"/>
        <v>0</v>
      </c>
      <c r="AF356" s="124">
        <f t="shared" si="184"/>
        <v>0</v>
      </c>
      <c r="AG356" s="124">
        <f t="shared" si="184"/>
        <v>0</v>
      </c>
      <c r="AH356" s="124">
        <f t="shared" si="184"/>
        <v>0</v>
      </c>
      <c r="AI356" s="124">
        <f t="shared" si="184"/>
        <v>0</v>
      </c>
      <c r="AJ356" s="124">
        <f t="shared" si="184"/>
        <v>0</v>
      </c>
      <c r="AK356" s="124">
        <f t="shared" si="184"/>
        <v>0</v>
      </c>
      <c r="AL356" s="124">
        <f t="shared" si="184"/>
        <v>0</v>
      </c>
      <c r="AM356" s="124">
        <f t="shared" si="184"/>
        <v>0</v>
      </c>
      <c r="AN356" s="124">
        <f t="shared" si="184"/>
        <v>0</v>
      </c>
      <c r="AO356" s="124">
        <f t="shared" si="184"/>
        <v>0</v>
      </c>
      <c r="AP356" s="124">
        <f t="shared" si="184"/>
        <v>69884.035963081726</v>
      </c>
      <c r="AQ356" s="124">
        <f t="shared" si="184"/>
        <v>41930.421577849047</v>
      </c>
      <c r="AR356" s="124">
        <f t="shared" si="184"/>
        <v>35640.858341171683</v>
      </c>
      <c r="AS356" s="124">
        <f t="shared" si="184"/>
        <v>30294.729589995935</v>
      </c>
      <c r="AT356" s="124">
        <f t="shared" si="184"/>
        <v>25750.520151496548</v>
      </c>
      <c r="AU356" s="124">
        <f t="shared" si="184"/>
        <v>21887.942128772072</v>
      </c>
      <c r="AV356" s="124">
        <f t="shared" si="184"/>
        <v>18604.750809456262</v>
      </c>
    </row>
    <row r="357" spans="2:48" ht="12.95" customHeight="1" x14ac:dyDescent="0.2">
      <c r="B357" s="14"/>
      <c r="C357" s="253" t="s">
        <v>866</v>
      </c>
      <c r="F357" s="253" t="s">
        <v>493</v>
      </c>
      <c r="G357" s="253" t="s">
        <v>432</v>
      </c>
      <c r="H357" s="277"/>
      <c r="I357" s="147"/>
      <c r="J357" s="124"/>
      <c r="K357" s="124"/>
      <c r="L357" s="124"/>
      <c r="M357" s="124"/>
      <c r="N357" s="124"/>
      <c r="O357" s="124"/>
      <c r="P357" s="124"/>
      <c r="Q357" s="124">
        <f t="shared" ref="Q357:AV357" si="185">IF(Q142&gt;0,P356,0)</f>
        <v>69884.035963081726</v>
      </c>
      <c r="R357" s="124">
        <f t="shared" si="185"/>
        <v>41930.421577849047</v>
      </c>
      <c r="S357" s="124">
        <f t="shared" si="185"/>
        <v>35640.858341171683</v>
      </c>
      <c r="T357" s="124">
        <f t="shared" si="185"/>
        <v>30294.729589995935</v>
      </c>
      <c r="U357" s="124">
        <f t="shared" si="185"/>
        <v>25750.520151496548</v>
      </c>
      <c r="V357" s="124">
        <f t="shared" si="185"/>
        <v>21887.942128772072</v>
      </c>
      <c r="W357" s="124">
        <f t="shared" si="185"/>
        <v>18604.750809456262</v>
      </c>
      <c r="X357" s="124">
        <f t="shared" si="185"/>
        <v>15814.03818803781</v>
      </c>
      <c r="Y357" s="124">
        <f t="shared" si="185"/>
        <v>13441.932459832145</v>
      </c>
      <c r="Z357" s="124">
        <f t="shared" si="185"/>
        <v>11425.64259085732</v>
      </c>
      <c r="AA357" s="124">
        <f t="shared" si="185"/>
        <v>9711.7962022287265</v>
      </c>
      <c r="AB357" s="124">
        <f t="shared" si="185"/>
        <v>0</v>
      </c>
      <c r="AC357" s="124">
        <f t="shared" si="185"/>
        <v>0</v>
      </c>
      <c r="AD357" s="124">
        <f t="shared" si="185"/>
        <v>0</v>
      </c>
      <c r="AE357" s="124">
        <f t="shared" si="185"/>
        <v>0</v>
      </c>
      <c r="AF357" s="124">
        <f t="shared" si="185"/>
        <v>0</v>
      </c>
      <c r="AG357" s="124">
        <f t="shared" si="185"/>
        <v>0</v>
      </c>
      <c r="AH357" s="124">
        <f t="shared" si="185"/>
        <v>0</v>
      </c>
      <c r="AI357" s="124">
        <f t="shared" si="185"/>
        <v>0</v>
      </c>
      <c r="AJ357" s="124">
        <f t="shared" si="185"/>
        <v>0</v>
      </c>
      <c r="AK357" s="124">
        <f t="shared" si="185"/>
        <v>0</v>
      </c>
      <c r="AL357" s="124">
        <f t="shared" si="185"/>
        <v>0</v>
      </c>
      <c r="AM357" s="124">
        <f t="shared" si="185"/>
        <v>0</v>
      </c>
      <c r="AN357" s="124">
        <f t="shared" si="185"/>
        <v>0</v>
      </c>
      <c r="AO357" s="124">
        <f t="shared" si="185"/>
        <v>0</v>
      </c>
      <c r="AP357" s="124">
        <f t="shared" si="185"/>
        <v>0</v>
      </c>
      <c r="AQ357" s="124">
        <f t="shared" si="185"/>
        <v>69884.035963081726</v>
      </c>
      <c r="AR357" s="124">
        <f t="shared" si="185"/>
        <v>41930.421577849047</v>
      </c>
      <c r="AS357" s="124">
        <f t="shared" si="185"/>
        <v>35640.858341171683</v>
      </c>
      <c r="AT357" s="124">
        <f t="shared" si="185"/>
        <v>30294.729589995935</v>
      </c>
      <c r="AU357" s="124">
        <f t="shared" si="185"/>
        <v>25750.520151496548</v>
      </c>
      <c r="AV357" s="124">
        <f t="shared" si="185"/>
        <v>21887.942128772072</v>
      </c>
    </row>
    <row r="358" spans="2:48" ht="12.95" customHeight="1" x14ac:dyDescent="0.2">
      <c r="B358" s="14"/>
      <c r="C358" s="253" t="s">
        <v>867</v>
      </c>
      <c r="F358" s="253" t="s">
        <v>493</v>
      </c>
      <c r="G358" s="253" t="s">
        <v>432</v>
      </c>
      <c r="H358" s="277"/>
      <c r="I358" s="147"/>
      <c r="J358" s="124"/>
      <c r="K358" s="124"/>
      <c r="L358" s="124"/>
      <c r="M358" s="124"/>
      <c r="N358" s="124"/>
      <c r="O358" s="124"/>
      <c r="P358" s="124"/>
      <c r="Q358" s="124"/>
      <c r="R358" s="124">
        <f t="shared" ref="R358:AV358" si="186">IF(R143&gt;0,Q357,0)</f>
        <v>69884.035963081726</v>
      </c>
      <c r="S358" s="124">
        <f t="shared" si="186"/>
        <v>41930.421577849047</v>
      </c>
      <c r="T358" s="124">
        <f t="shared" si="186"/>
        <v>35640.858341171683</v>
      </c>
      <c r="U358" s="124">
        <f t="shared" si="186"/>
        <v>30294.729589995935</v>
      </c>
      <c r="V358" s="124">
        <f t="shared" si="186"/>
        <v>25750.520151496548</v>
      </c>
      <c r="W358" s="124">
        <f t="shared" si="186"/>
        <v>21887.942128772072</v>
      </c>
      <c r="X358" s="124">
        <f t="shared" si="186"/>
        <v>18604.750809456262</v>
      </c>
      <c r="Y358" s="124">
        <f t="shared" si="186"/>
        <v>15814.03818803781</v>
      </c>
      <c r="Z358" s="124">
        <f t="shared" si="186"/>
        <v>13441.932459832145</v>
      </c>
      <c r="AA358" s="124">
        <f t="shared" si="186"/>
        <v>11425.64259085732</v>
      </c>
      <c r="AB358" s="124">
        <f t="shared" si="186"/>
        <v>9711.7962022287265</v>
      </c>
      <c r="AC358" s="124">
        <f t="shared" si="186"/>
        <v>0</v>
      </c>
      <c r="AD358" s="124">
        <f t="shared" si="186"/>
        <v>0</v>
      </c>
      <c r="AE358" s="124">
        <f t="shared" si="186"/>
        <v>0</v>
      </c>
      <c r="AF358" s="124">
        <f t="shared" si="186"/>
        <v>0</v>
      </c>
      <c r="AG358" s="124">
        <f t="shared" si="186"/>
        <v>0</v>
      </c>
      <c r="AH358" s="124">
        <f t="shared" si="186"/>
        <v>0</v>
      </c>
      <c r="AI358" s="124">
        <f t="shared" si="186"/>
        <v>0</v>
      </c>
      <c r="AJ358" s="124">
        <f t="shared" si="186"/>
        <v>0</v>
      </c>
      <c r="AK358" s="124">
        <f t="shared" si="186"/>
        <v>0</v>
      </c>
      <c r="AL358" s="124">
        <f t="shared" si="186"/>
        <v>0</v>
      </c>
      <c r="AM358" s="124">
        <f t="shared" si="186"/>
        <v>0</v>
      </c>
      <c r="AN358" s="124">
        <f t="shared" si="186"/>
        <v>0</v>
      </c>
      <c r="AO358" s="124">
        <f t="shared" si="186"/>
        <v>0</v>
      </c>
      <c r="AP358" s="124">
        <f t="shared" si="186"/>
        <v>0</v>
      </c>
      <c r="AQ358" s="124">
        <f t="shared" si="186"/>
        <v>0</v>
      </c>
      <c r="AR358" s="124">
        <f t="shared" si="186"/>
        <v>69884.035963081726</v>
      </c>
      <c r="AS358" s="124">
        <f t="shared" si="186"/>
        <v>41930.421577849047</v>
      </c>
      <c r="AT358" s="124">
        <f t="shared" si="186"/>
        <v>35640.858341171683</v>
      </c>
      <c r="AU358" s="124">
        <f t="shared" si="186"/>
        <v>30294.729589995935</v>
      </c>
      <c r="AV358" s="124">
        <f t="shared" si="186"/>
        <v>25750.520151496548</v>
      </c>
    </row>
    <row r="359" spans="2:48" ht="12.95" customHeight="1" x14ac:dyDescent="0.2">
      <c r="B359" s="14"/>
      <c r="C359" s="253" t="s">
        <v>868</v>
      </c>
      <c r="F359" s="253" t="s">
        <v>493</v>
      </c>
      <c r="G359" s="253" t="s">
        <v>432</v>
      </c>
      <c r="H359" s="277"/>
      <c r="I359" s="147"/>
      <c r="J359" s="124"/>
      <c r="K359" s="124"/>
      <c r="L359" s="124"/>
      <c r="M359" s="124"/>
      <c r="N359" s="124"/>
      <c r="O359" s="124"/>
      <c r="P359" s="124"/>
      <c r="Q359" s="124"/>
      <c r="R359" s="124"/>
      <c r="S359" s="124">
        <f t="shared" ref="S359:AV359" si="187">IF(S144&gt;0,R358,0)</f>
        <v>69884.035963081726</v>
      </c>
      <c r="T359" s="124">
        <f t="shared" si="187"/>
        <v>41930.421577849047</v>
      </c>
      <c r="U359" s="124">
        <f t="shared" si="187"/>
        <v>35640.858341171683</v>
      </c>
      <c r="V359" s="124">
        <f t="shared" si="187"/>
        <v>30294.729589995935</v>
      </c>
      <c r="W359" s="124">
        <f t="shared" si="187"/>
        <v>25750.520151496548</v>
      </c>
      <c r="X359" s="124">
        <f t="shared" si="187"/>
        <v>21887.942128772072</v>
      </c>
      <c r="Y359" s="124">
        <f t="shared" si="187"/>
        <v>18604.750809456262</v>
      </c>
      <c r="Z359" s="124">
        <f t="shared" si="187"/>
        <v>15814.03818803781</v>
      </c>
      <c r="AA359" s="124">
        <f t="shared" si="187"/>
        <v>13441.932459832145</v>
      </c>
      <c r="AB359" s="124">
        <f t="shared" si="187"/>
        <v>11425.64259085732</v>
      </c>
      <c r="AC359" s="124">
        <f t="shared" si="187"/>
        <v>9711.7962022287265</v>
      </c>
      <c r="AD359" s="124">
        <f t="shared" si="187"/>
        <v>0</v>
      </c>
      <c r="AE359" s="124">
        <f t="shared" si="187"/>
        <v>0</v>
      </c>
      <c r="AF359" s="124">
        <f t="shared" si="187"/>
        <v>0</v>
      </c>
      <c r="AG359" s="124">
        <f t="shared" si="187"/>
        <v>0</v>
      </c>
      <c r="AH359" s="124">
        <f t="shared" si="187"/>
        <v>0</v>
      </c>
      <c r="AI359" s="124">
        <f t="shared" si="187"/>
        <v>0</v>
      </c>
      <c r="AJ359" s="124">
        <f t="shared" si="187"/>
        <v>0</v>
      </c>
      <c r="AK359" s="124">
        <f t="shared" si="187"/>
        <v>0</v>
      </c>
      <c r="AL359" s="124">
        <f t="shared" si="187"/>
        <v>0</v>
      </c>
      <c r="AM359" s="124">
        <f t="shared" si="187"/>
        <v>0</v>
      </c>
      <c r="AN359" s="124">
        <f t="shared" si="187"/>
        <v>0</v>
      </c>
      <c r="AO359" s="124">
        <f t="shared" si="187"/>
        <v>0</v>
      </c>
      <c r="AP359" s="124">
        <f t="shared" si="187"/>
        <v>0</v>
      </c>
      <c r="AQ359" s="124">
        <f t="shared" si="187"/>
        <v>0</v>
      </c>
      <c r="AR359" s="124">
        <f t="shared" si="187"/>
        <v>0</v>
      </c>
      <c r="AS359" s="124">
        <f t="shared" si="187"/>
        <v>69884.035963081726</v>
      </c>
      <c r="AT359" s="124">
        <f t="shared" si="187"/>
        <v>41930.421577849047</v>
      </c>
      <c r="AU359" s="124">
        <f t="shared" si="187"/>
        <v>35640.858341171683</v>
      </c>
      <c r="AV359" s="124">
        <f t="shared" si="187"/>
        <v>30294.729589995935</v>
      </c>
    </row>
    <row r="360" spans="2:48" ht="12.95" customHeight="1" x14ac:dyDescent="0.2">
      <c r="B360" s="14"/>
      <c r="C360" s="253" t="s">
        <v>869</v>
      </c>
      <c r="F360" s="253" t="s">
        <v>493</v>
      </c>
      <c r="G360" s="253" t="s">
        <v>432</v>
      </c>
      <c r="H360" s="277"/>
      <c r="I360" s="147"/>
      <c r="J360" s="124"/>
      <c r="K360" s="124"/>
      <c r="L360" s="124"/>
      <c r="M360" s="124"/>
      <c r="N360" s="124"/>
      <c r="O360" s="124"/>
      <c r="P360" s="124"/>
      <c r="Q360" s="124"/>
      <c r="R360" s="124"/>
      <c r="S360" s="124"/>
      <c r="T360" s="124">
        <f t="shared" ref="T360:AV360" si="188">IF(T145&gt;0,S359,0)</f>
        <v>69884.035963081726</v>
      </c>
      <c r="U360" s="124">
        <f t="shared" si="188"/>
        <v>41930.421577849047</v>
      </c>
      <c r="V360" s="124">
        <f t="shared" si="188"/>
        <v>35640.858341171683</v>
      </c>
      <c r="W360" s="124">
        <f t="shared" si="188"/>
        <v>30294.729589995935</v>
      </c>
      <c r="X360" s="124">
        <f t="shared" si="188"/>
        <v>25750.520151496548</v>
      </c>
      <c r="Y360" s="124">
        <f t="shared" si="188"/>
        <v>21887.942128772072</v>
      </c>
      <c r="Z360" s="124">
        <f t="shared" si="188"/>
        <v>18604.750809456262</v>
      </c>
      <c r="AA360" s="124">
        <f t="shared" si="188"/>
        <v>15814.03818803781</v>
      </c>
      <c r="AB360" s="124">
        <f t="shared" si="188"/>
        <v>13441.932459832145</v>
      </c>
      <c r="AC360" s="124">
        <f t="shared" si="188"/>
        <v>11425.64259085732</v>
      </c>
      <c r="AD360" s="124">
        <f t="shared" si="188"/>
        <v>9711.7962022287265</v>
      </c>
      <c r="AE360" s="124">
        <f t="shared" si="188"/>
        <v>0</v>
      </c>
      <c r="AF360" s="124">
        <f t="shared" si="188"/>
        <v>0</v>
      </c>
      <c r="AG360" s="124">
        <f t="shared" si="188"/>
        <v>0</v>
      </c>
      <c r="AH360" s="124">
        <f t="shared" si="188"/>
        <v>0</v>
      </c>
      <c r="AI360" s="124">
        <f t="shared" si="188"/>
        <v>0</v>
      </c>
      <c r="AJ360" s="124">
        <f t="shared" si="188"/>
        <v>0</v>
      </c>
      <c r="AK360" s="124">
        <f t="shared" si="188"/>
        <v>0</v>
      </c>
      <c r="AL360" s="124">
        <f t="shared" si="188"/>
        <v>0</v>
      </c>
      <c r="AM360" s="124">
        <f t="shared" si="188"/>
        <v>0</v>
      </c>
      <c r="AN360" s="124">
        <f t="shared" si="188"/>
        <v>0</v>
      </c>
      <c r="AO360" s="124">
        <f t="shared" si="188"/>
        <v>0</v>
      </c>
      <c r="AP360" s="124">
        <f t="shared" si="188"/>
        <v>0</v>
      </c>
      <c r="AQ360" s="124">
        <f t="shared" si="188"/>
        <v>0</v>
      </c>
      <c r="AR360" s="124">
        <f t="shared" si="188"/>
        <v>0</v>
      </c>
      <c r="AS360" s="124">
        <f t="shared" si="188"/>
        <v>0</v>
      </c>
      <c r="AT360" s="124">
        <f t="shared" si="188"/>
        <v>69884.035963081726</v>
      </c>
      <c r="AU360" s="124">
        <f t="shared" si="188"/>
        <v>41930.421577849047</v>
      </c>
      <c r="AV360" s="124">
        <f t="shared" si="188"/>
        <v>35640.858341171683</v>
      </c>
    </row>
    <row r="361" spans="2:48" ht="12.95" customHeight="1" x14ac:dyDescent="0.2">
      <c r="B361" s="14"/>
      <c r="C361" s="253" t="s">
        <v>870</v>
      </c>
      <c r="F361" s="253" t="s">
        <v>493</v>
      </c>
      <c r="G361" s="253" t="s">
        <v>432</v>
      </c>
      <c r="H361" s="277"/>
      <c r="I361" s="147"/>
      <c r="J361" s="124"/>
      <c r="K361" s="124"/>
      <c r="L361" s="124"/>
      <c r="M361" s="124"/>
      <c r="N361" s="124"/>
      <c r="O361" s="124"/>
      <c r="P361" s="124"/>
      <c r="Q361" s="124"/>
      <c r="R361" s="124"/>
      <c r="S361" s="124"/>
      <c r="T361" s="124"/>
      <c r="U361" s="124">
        <f t="shared" ref="U361:AV361" si="189">IF(U146&gt;0,T360,0)</f>
        <v>69884.035963081726</v>
      </c>
      <c r="V361" s="124">
        <f t="shared" si="189"/>
        <v>41930.421577849047</v>
      </c>
      <c r="W361" s="124">
        <f t="shared" si="189"/>
        <v>35640.858341171683</v>
      </c>
      <c r="X361" s="124">
        <f t="shared" si="189"/>
        <v>30294.729589995935</v>
      </c>
      <c r="Y361" s="124">
        <f t="shared" si="189"/>
        <v>25750.520151496548</v>
      </c>
      <c r="Z361" s="124">
        <f t="shared" si="189"/>
        <v>21887.942128772072</v>
      </c>
      <c r="AA361" s="124">
        <f t="shared" si="189"/>
        <v>18604.750809456262</v>
      </c>
      <c r="AB361" s="124">
        <f t="shared" si="189"/>
        <v>15814.03818803781</v>
      </c>
      <c r="AC361" s="124">
        <f t="shared" si="189"/>
        <v>13441.932459832145</v>
      </c>
      <c r="AD361" s="124">
        <f t="shared" si="189"/>
        <v>11425.64259085732</v>
      </c>
      <c r="AE361" s="124">
        <f t="shared" si="189"/>
        <v>9711.7962022287265</v>
      </c>
      <c r="AF361" s="124">
        <f t="shared" si="189"/>
        <v>0</v>
      </c>
      <c r="AG361" s="124">
        <f t="shared" si="189"/>
        <v>0</v>
      </c>
      <c r="AH361" s="124">
        <f t="shared" si="189"/>
        <v>0</v>
      </c>
      <c r="AI361" s="124">
        <f t="shared" si="189"/>
        <v>0</v>
      </c>
      <c r="AJ361" s="124">
        <f t="shared" si="189"/>
        <v>0</v>
      </c>
      <c r="AK361" s="124">
        <f t="shared" si="189"/>
        <v>0</v>
      </c>
      <c r="AL361" s="124">
        <f t="shared" si="189"/>
        <v>0</v>
      </c>
      <c r="AM361" s="124">
        <f t="shared" si="189"/>
        <v>0</v>
      </c>
      <c r="AN361" s="124">
        <f t="shared" si="189"/>
        <v>0</v>
      </c>
      <c r="AO361" s="124">
        <f t="shared" si="189"/>
        <v>0</v>
      </c>
      <c r="AP361" s="124">
        <f t="shared" si="189"/>
        <v>0</v>
      </c>
      <c r="AQ361" s="124">
        <f t="shared" si="189"/>
        <v>0</v>
      </c>
      <c r="AR361" s="124">
        <f t="shared" si="189"/>
        <v>0</v>
      </c>
      <c r="AS361" s="124">
        <f t="shared" si="189"/>
        <v>0</v>
      </c>
      <c r="AT361" s="124">
        <f t="shared" si="189"/>
        <v>0</v>
      </c>
      <c r="AU361" s="124">
        <f t="shared" si="189"/>
        <v>69884.035963081726</v>
      </c>
      <c r="AV361" s="124">
        <f t="shared" si="189"/>
        <v>41930.421577849047</v>
      </c>
    </row>
    <row r="362" spans="2:48" ht="12.95" customHeight="1" x14ac:dyDescent="0.2">
      <c r="B362" s="14"/>
      <c r="C362" s="253" t="s">
        <v>871</v>
      </c>
      <c r="F362" s="253" t="s">
        <v>493</v>
      </c>
      <c r="G362" s="253" t="s">
        <v>432</v>
      </c>
      <c r="H362" s="277"/>
      <c r="I362" s="147"/>
      <c r="J362" s="124"/>
      <c r="K362" s="124"/>
      <c r="L362" s="124"/>
      <c r="M362" s="124"/>
      <c r="N362" s="124"/>
      <c r="O362" s="124"/>
      <c r="P362" s="124"/>
      <c r="Q362" s="124"/>
      <c r="R362" s="124"/>
      <c r="S362" s="124"/>
      <c r="T362" s="124"/>
      <c r="U362" s="124"/>
      <c r="V362" s="124">
        <f t="shared" ref="V362:AV362" si="190">IF(V147&gt;0,U361,0)</f>
        <v>69884.035963081726</v>
      </c>
      <c r="W362" s="124">
        <f t="shared" si="190"/>
        <v>41930.421577849047</v>
      </c>
      <c r="X362" s="124">
        <f t="shared" si="190"/>
        <v>35640.858341171683</v>
      </c>
      <c r="Y362" s="124">
        <f t="shared" si="190"/>
        <v>30294.729589995935</v>
      </c>
      <c r="Z362" s="124">
        <f t="shared" si="190"/>
        <v>25750.520151496548</v>
      </c>
      <c r="AA362" s="124">
        <f t="shared" si="190"/>
        <v>21887.942128772072</v>
      </c>
      <c r="AB362" s="124">
        <f t="shared" si="190"/>
        <v>18604.750809456262</v>
      </c>
      <c r="AC362" s="124">
        <f t="shared" si="190"/>
        <v>15814.03818803781</v>
      </c>
      <c r="AD362" s="124">
        <f t="shared" si="190"/>
        <v>13441.932459832145</v>
      </c>
      <c r="AE362" s="124">
        <f t="shared" si="190"/>
        <v>11425.64259085732</v>
      </c>
      <c r="AF362" s="124">
        <f t="shared" si="190"/>
        <v>9711.7962022287265</v>
      </c>
      <c r="AG362" s="124">
        <f t="shared" si="190"/>
        <v>0</v>
      </c>
      <c r="AH362" s="124">
        <f t="shared" si="190"/>
        <v>0</v>
      </c>
      <c r="AI362" s="124">
        <f t="shared" si="190"/>
        <v>0</v>
      </c>
      <c r="AJ362" s="124">
        <f t="shared" si="190"/>
        <v>0</v>
      </c>
      <c r="AK362" s="124">
        <f t="shared" si="190"/>
        <v>0</v>
      </c>
      <c r="AL362" s="124">
        <f t="shared" si="190"/>
        <v>0</v>
      </c>
      <c r="AM362" s="124">
        <f t="shared" si="190"/>
        <v>0</v>
      </c>
      <c r="AN362" s="124">
        <f t="shared" si="190"/>
        <v>0</v>
      </c>
      <c r="AO362" s="124">
        <f t="shared" si="190"/>
        <v>0</v>
      </c>
      <c r="AP362" s="124">
        <f t="shared" si="190"/>
        <v>0</v>
      </c>
      <c r="AQ362" s="124">
        <f t="shared" si="190"/>
        <v>0</v>
      </c>
      <c r="AR362" s="124">
        <f t="shared" si="190"/>
        <v>0</v>
      </c>
      <c r="AS362" s="124">
        <f t="shared" si="190"/>
        <v>0</v>
      </c>
      <c r="AT362" s="124">
        <f t="shared" si="190"/>
        <v>0</v>
      </c>
      <c r="AU362" s="124">
        <f t="shared" si="190"/>
        <v>0</v>
      </c>
      <c r="AV362" s="124">
        <f t="shared" si="190"/>
        <v>69884.035963081726</v>
      </c>
    </row>
    <row r="363" spans="2:48" ht="12.95" customHeight="1" x14ac:dyDescent="0.2">
      <c r="B363" s="14"/>
      <c r="C363" s="253" t="s">
        <v>872</v>
      </c>
      <c r="F363" s="253" t="s">
        <v>493</v>
      </c>
      <c r="G363" s="253" t="s">
        <v>432</v>
      </c>
      <c r="H363" s="277"/>
      <c r="I363" s="147"/>
      <c r="J363" s="124"/>
      <c r="K363" s="124"/>
      <c r="L363" s="124"/>
      <c r="M363" s="124"/>
      <c r="N363" s="124"/>
      <c r="O363" s="124"/>
      <c r="P363" s="124"/>
      <c r="Q363" s="124"/>
      <c r="R363" s="124"/>
      <c r="S363" s="124"/>
      <c r="T363" s="124"/>
      <c r="U363" s="124"/>
      <c r="V363" s="124"/>
      <c r="W363" s="124">
        <f t="shared" ref="W363:AV363" si="191">IF(W148&gt;0,V362,0)</f>
        <v>69884.035963081726</v>
      </c>
      <c r="X363" s="124">
        <f t="shared" si="191"/>
        <v>41930.421577849047</v>
      </c>
      <c r="Y363" s="124">
        <f t="shared" si="191"/>
        <v>35640.858341171683</v>
      </c>
      <c r="Z363" s="124">
        <f t="shared" si="191"/>
        <v>30294.729589995935</v>
      </c>
      <c r="AA363" s="124">
        <f t="shared" si="191"/>
        <v>25750.520151496548</v>
      </c>
      <c r="AB363" s="124">
        <f t="shared" si="191"/>
        <v>21887.942128772072</v>
      </c>
      <c r="AC363" s="124">
        <f t="shared" si="191"/>
        <v>18604.750809456262</v>
      </c>
      <c r="AD363" s="124">
        <f t="shared" si="191"/>
        <v>15814.03818803781</v>
      </c>
      <c r="AE363" s="124">
        <f t="shared" si="191"/>
        <v>13441.932459832145</v>
      </c>
      <c r="AF363" s="124">
        <f t="shared" si="191"/>
        <v>11425.64259085732</v>
      </c>
      <c r="AG363" s="124">
        <f t="shared" si="191"/>
        <v>9711.7962022287265</v>
      </c>
      <c r="AH363" s="124">
        <f t="shared" si="191"/>
        <v>0</v>
      </c>
      <c r="AI363" s="124">
        <f t="shared" si="191"/>
        <v>0</v>
      </c>
      <c r="AJ363" s="124">
        <f t="shared" si="191"/>
        <v>0</v>
      </c>
      <c r="AK363" s="124">
        <f t="shared" si="191"/>
        <v>0</v>
      </c>
      <c r="AL363" s="124">
        <f t="shared" si="191"/>
        <v>0</v>
      </c>
      <c r="AM363" s="124">
        <f t="shared" si="191"/>
        <v>0</v>
      </c>
      <c r="AN363" s="124">
        <f t="shared" si="191"/>
        <v>0</v>
      </c>
      <c r="AO363" s="124">
        <f t="shared" si="191"/>
        <v>0</v>
      </c>
      <c r="AP363" s="124">
        <f t="shared" si="191"/>
        <v>0</v>
      </c>
      <c r="AQ363" s="124">
        <f t="shared" si="191"/>
        <v>0</v>
      </c>
      <c r="AR363" s="124">
        <f t="shared" si="191"/>
        <v>0</v>
      </c>
      <c r="AS363" s="124">
        <f t="shared" si="191"/>
        <v>0</v>
      </c>
      <c r="AT363" s="124">
        <f t="shared" si="191"/>
        <v>0</v>
      </c>
      <c r="AU363" s="124">
        <f t="shared" si="191"/>
        <v>0</v>
      </c>
      <c r="AV363" s="124">
        <f t="shared" si="191"/>
        <v>0</v>
      </c>
    </row>
    <row r="364" spans="2:48" ht="12.95" customHeight="1" x14ac:dyDescent="0.2">
      <c r="B364" s="14"/>
      <c r="C364" s="253" t="s">
        <v>873</v>
      </c>
      <c r="F364" s="253" t="s">
        <v>493</v>
      </c>
      <c r="G364" s="253" t="s">
        <v>432</v>
      </c>
      <c r="H364" s="277"/>
      <c r="I364" s="147"/>
      <c r="J364" s="124"/>
      <c r="K364" s="124"/>
      <c r="L364" s="124"/>
      <c r="M364" s="124"/>
      <c r="N364" s="124"/>
      <c r="O364" s="124"/>
      <c r="P364" s="124"/>
      <c r="Q364" s="124"/>
      <c r="R364" s="124"/>
      <c r="S364" s="124"/>
      <c r="T364" s="124"/>
      <c r="U364" s="124"/>
      <c r="V364" s="124"/>
      <c r="W364" s="124"/>
      <c r="X364" s="124">
        <f t="shared" ref="X364:AV364" si="192">IF(X149&gt;0,W363,0)</f>
        <v>69884.035963081726</v>
      </c>
      <c r="Y364" s="124">
        <f t="shared" si="192"/>
        <v>41930.421577849047</v>
      </c>
      <c r="Z364" s="124">
        <f t="shared" si="192"/>
        <v>35640.858341171683</v>
      </c>
      <c r="AA364" s="124">
        <f t="shared" si="192"/>
        <v>30294.729589995935</v>
      </c>
      <c r="AB364" s="124">
        <f t="shared" si="192"/>
        <v>25750.520151496548</v>
      </c>
      <c r="AC364" s="124">
        <f t="shared" si="192"/>
        <v>21887.942128772072</v>
      </c>
      <c r="AD364" s="124">
        <f t="shared" si="192"/>
        <v>18604.750809456262</v>
      </c>
      <c r="AE364" s="124">
        <f t="shared" si="192"/>
        <v>15814.03818803781</v>
      </c>
      <c r="AF364" s="124">
        <f t="shared" si="192"/>
        <v>13441.932459832145</v>
      </c>
      <c r="AG364" s="124">
        <f t="shared" si="192"/>
        <v>11425.64259085732</v>
      </c>
      <c r="AH364" s="124">
        <f t="shared" si="192"/>
        <v>9711.7962022287265</v>
      </c>
      <c r="AI364" s="124">
        <f t="shared" si="192"/>
        <v>0</v>
      </c>
      <c r="AJ364" s="124">
        <f t="shared" si="192"/>
        <v>0</v>
      </c>
      <c r="AK364" s="124">
        <f t="shared" si="192"/>
        <v>0</v>
      </c>
      <c r="AL364" s="124">
        <f t="shared" si="192"/>
        <v>0</v>
      </c>
      <c r="AM364" s="124">
        <f t="shared" si="192"/>
        <v>0</v>
      </c>
      <c r="AN364" s="124">
        <f t="shared" si="192"/>
        <v>0</v>
      </c>
      <c r="AO364" s="124">
        <f t="shared" si="192"/>
        <v>0</v>
      </c>
      <c r="AP364" s="124">
        <f t="shared" si="192"/>
        <v>0</v>
      </c>
      <c r="AQ364" s="124">
        <f t="shared" si="192"/>
        <v>0</v>
      </c>
      <c r="AR364" s="124">
        <f t="shared" si="192"/>
        <v>0</v>
      </c>
      <c r="AS364" s="124">
        <f t="shared" si="192"/>
        <v>0</v>
      </c>
      <c r="AT364" s="124">
        <f t="shared" si="192"/>
        <v>0</v>
      </c>
      <c r="AU364" s="124">
        <f t="shared" si="192"/>
        <v>0</v>
      </c>
      <c r="AV364" s="124">
        <f t="shared" si="192"/>
        <v>0</v>
      </c>
    </row>
    <row r="365" spans="2:48" ht="12.95" customHeight="1" x14ac:dyDescent="0.2">
      <c r="B365" s="14"/>
      <c r="C365" s="253" t="s">
        <v>874</v>
      </c>
      <c r="F365" s="253" t="s">
        <v>493</v>
      </c>
      <c r="G365" s="253" t="s">
        <v>432</v>
      </c>
      <c r="H365" s="277"/>
      <c r="I365" s="147"/>
      <c r="J365" s="124"/>
      <c r="K365" s="124"/>
      <c r="L365" s="124"/>
      <c r="M365" s="124"/>
      <c r="N365" s="124"/>
      <c r="O365" s="124"/>
      <c r="P365" s="124"/>
      <c r="Q365" s="124"/>
      <c r="R365" s="124"/>
      <c r="S365" s="124"/>
      <c r="T365" s="124"/>
      <c r="U365" s="124"/>
      <c r="V365" s="124"/>
      <c r="W365" s="124"/>
      <c r="X365" s="124"/>
      <c r="Y365" s="124">
        <f t="shared" ref="Y365:AV365" si="193">IF(Y150&gt;0,X364,0)</f>
        <v>69884.035963081726</v>
      </c>
      <c r="Z365" s="124">
        <f t="shared" si="193"/>
        <v>41930.421577849047</v>
      </c>
      <c r="AA365" s="124">
        <f t="shared" si="193"/>
        <v>35640.858341171683</v>
      </c>
      <c r="AB365" s="124">
        <f t="shared" si="193"/>
        <v>30294.729589995935</v>
      </c>
      <c r="AC365" s="124">
        <f t="shared" si="193"/>
        <v>25750.520151496548</v>
      </c>
      <c r="AD365" s="124">
        <f t="shared" si="193"/>
        <v>21887.942128772072</v>
      </c>
      <c r="AE365" s="124">
        <f t="shared" si="193"/>
        <v>18604.750809456262</v>
      </c>
      <c r="AF365" s="124">
        <f t="shared" si="193"/>
        <v>15814.03818803781</v>
      </c>
      <c r="AG365" s="124">
        <f t="shared" si="193"/>
        <v>13441.932459832145</v>
      </c>
      <c r="AH365" s="124">
        <f t="shared" si="193"/>
        <v>11425.64259085732</v>
      </c>
      <c r="AI365" s="124">
        <f t="shared" si="193"/>
        <v>9711.7962022287265</v>
      </c>
      <c r="AJ365" s="124">
        <f t="shared" si="193"/>
        <v>0</v>
      </c>
      <c r="AK365" s="124">
        <f t="shared" si="193"/>
        <v>0</v>
      </c>
      <c r="AL365" s="124">
        <f t="shared" si="193"/>
        <v>0</v>
      </c>
      <c r="AM365" s="124">
        <f t="shared" si="193"/>
        <v>0</v>
      </c>
      <c r="AN365" s="124">
        <f t="shared" si="193"/>
        <v>0</v>
      </c>
      <c r="AO365" s="124">
        <f t="shared" si="193"/>
        <v>0</v>
      </c>
      <c r="AP365" s="124">
        <f t="shared" si="193"/>
        <v>0</v>
      </c>
      <c r="AQ365" s="124">
        <f t="shared" si="193"/>
        <v>0</v>
      </c>
      <c r="AR365" s="124">
        <f t="shared" si="193"/>
        <v>0</v>
      </c>
      <c r="AS365" s="124">
        <f t="shared" si="193"/>
        <v>0</v>
      </c>
      <c r="AT365" s="124">
        <f t="shared" si="193"/>
        <v>0</v>
      </c>
      <c r="AU365" s="124">
        <f t="shared" si="193"/>
        <v>0</v>
      </c>
      <c r="AV365" s="124">
        <f t="shared" si="193"/>
        <v>0</v>
      </c>
    </row>
    <row r="366" spans="2:48" ht="12.95" customHeight="1" x14ac:dyDescent="0.2">
      <c r="B366" s="14"/>
      <c r="C366" s="253" t="s">
        <v>875</v>
      </c>
      <c r="F366" s="253" t="s">
        <v>493</v>
      </c>
      <c r="G366" s="253" t="s">
        <v>432</v>
      </c>
      <c r="H366" s="277"/>
      <c r="I366" s="147"/>
      <c r="J366" s="124"/>
      <c r="K366" s="124"/>
      <c r="L366" s="124"/>
      <c r="M366" s="124"/>
      <c r="N366" s="124"/>
      <c r="O366" s="124"/>
      <c r="P366" s="124"/>
      <c r="Q366" s="124"/>
      <c r="R366" s="124"/>
      <c r="S366" s="124"/>
      <c r="T366" s="124"/>
      <c r="U366" s="124"/>
      <c r="V366" s="124"/>
      <c r="W366" s="124"/>
      <c r="X366" s="124"/>
      <c r="Y366" s="124"/>
      <c r="Z366" s="124">
        <f t="shared" ref="Z366:AV366" si="194">IF(Z151&gt;0,Y365,0)</f>
        <v>69884.035963081726</v>
      </c>
      <c r="AA366" s="124">
        <f t="shared" si="194"/>
        <v>41930.421577849047</v>
      </c>
      <c r="AB366" s="124">
        <f t="shared" si="194"/>
        <v>35640.858341171683</v>
      </c>
      <c r="AC366" s="124">
        <f t="shared" si="194"/>
        <v>30294.729589995935</v>
      </c>
      <c r="AD366" s="124">
        <f t="shared" si="194"/>
        <v>25750.520151496548</v>
      </c>
      <c r="AE366" s="124">
        <f t="shared" si="194"/>
        <v>21887.942128772072</v>
      </c>
      <c r="AF366" s="124">
        <f t="shared" si="194"/>
        <v>18604.750809456262</v>
      </c>
      <c r="AG366" s="124">
        <f t="shared" si="194"/>
        <v>15814.03818803781</v>
      </c>
      <c r="AH366" s="124">
        <f t="shared" si="194"/>
        <v>13441.932459832145</v>
      </c>
      <c r="AI366" s="124">
        <f t="shared" si="194"/>
        <v>11425.64259085732</v>
      </c>
      <c r="AJ366" s="124">
        <f t="shared" si="194"/>
        <v>9711.7962022287265</v>
      </c>
      <c r="AK366" s="124">
        <f t="shared" si="194"/>
        <v>0</v>
      </c>
      <c r="AL366" s="124">
        <f t="shared" si="194"/>
        <v>0</v>
      </c>
      <c r="AM366" s="124">
        <f t="shared" si="194"/>
        <v>0</v>
      </c>
      <c r="AN366" s="124">
        <f t="shared" si="194"/>
        <v>0</v>
      </c>
      <c r="AO366" s="124">
        <f t="shared" si="194"/>
        <v>0</v>
      </c>
      <c r="AP366" s="124">
        <f t="shared" si="194"/>
        <v>0</v>
      </c>
      <c r="AQ366" s="124">
        <f t="shared" si="194"/>
        <v>0</v>
      </c>
      <c r="AR366" s="124">
        <f t="shared" si="194"/>
        <v>0</v>
      </c>
      <c r="AS366" s="124">
        <f t="shared" si="194"/>
        <v>0</v>
      </c>
      <c r="AT366" s="124">
        <f t="shared" si="194"/>
        <v>0</v>
      </c>
      <c r="AU366" s="124">
        <f t="shared" si="194"/>
        <v>0</v>
      </c>
      <c r="AV366" s="124">
        <f t="shared" si="194"/>
        <v>0</v>
      </c>
    </row>
    <row r="367" spans="2:48" ht="12.95" customHeight="1" x14ac:dyDescent="0.2">
      <c r="B367" s="14"/>
      <c r="C367" s="253" t="s">
        <v>876</v>
      </c>
      <c r="F367" s="253" t="s">
        <v>493</v>
      </c>
      <c r="G367" s="253" t="s">
        <v>432</v>
      </c>
      <c r="H367" s="277"/>
      <c r="I367" s="147"/>
      <c r="J367" s="124"/>
      <c r="K367" s="124"/>
      <c r="L367" s="124"/>
      <c r="M367" s="124"/>
      <c r="N367" s="124"/>
      <c r="O367" s="124"/>
      <c r="P367" s="124"/>
      <c r="Q367" s="124"/>
      <c r="R367" s="124"/>
      <c r="S367" s="124"/>
      <c r="T367" s="124"/>
      <c r="U367" s="124"/>
      <c r="V367" s="124"/>
      <c r="W367" s="124"/>
      <c r="X367" s="124"/>
      <c r="Y367" s="124"/>
      <c r="Z367" s="124"/>
      <c r="AA367" s="124">
        <f t="shared" ref="AA367:AV367" si="195">IF(AA152&gt;0,Z366,0)</f>
        <v>69884.035963081726</v>
      </c>
      <c r="AB367" s="124">
        <f t="shared" si="195"/>
        <v>41930.421577849047</v>
      </c>
      <c r="AC367" s="124">
        <f t="shared" si="195"/>
        <v>35640.858341171683</v>
      </c>
      <c r="AD367" s="124">
        <f t="shared" si="195"/>
        <v>30294.729589995935</v>
      </c>
      <c r="AE367" s="124">
        <f t="shared" si="195"/>
        <v>25750.520151496548</v>
      </c>
      <c r="AF367" s="124">
        <f t="shared" si="195"/>
        <v>21887.942128772072</v>
      </c>
      <c r="AG367" s="124">
        <f t="shared" si="195"/>
        <v>18604.750809456262</v>
      </c>
      <c r="AH367" s="124">
        <f t="shared" si="195"/>
        <v>15814.03818803781</v>
      </c>
      <c r="AI367" s="124">
        <f t="shared" si="195"/>
        <v>13441.932459832145</v>
      </c>
      <c r="AJ367" s="124">
        <f t="shared" si="195"/>
        <v>11425.64259085732</v>
      </c>
      <c r="AK367" s="124">
        <f t="shared" si="195"/>
        <v>9711.7962022287265</v>
      </c>
      <c r="AL367" s="124">
        <f t="shared" si="195"/>
        <v>0</v>
      </c>
      <c r="AM367" s="124">
        <f t="shared" si="195"/>
        <v>0</v>
      </c>
      <c r="AN367" s="124">
        <f t="shared" si="195"/>
        <v>0</v>
      </c>
      <c r="AO367" s="124">
        <f t="shared" si="195"/>
        <v>0</v>
      </c>
      <c r="AP367" s="124">
        <f t="shared" si="195"/>
        <v>0</v>
      </c>
      <c r="AQ367" s="124">
        <f t="shared" si="195"/>
        <v>0</v>
      </c>
      <c r="AR367" s="124">
        <f t="shared" si="195"/>
        <v>0</v>
      </c>
      <c r="AS367" s="124">
        <f t="shared" si="195"/>
        <v>0</v>
      </c>
      <c r="AT367" s="124">
        <f t="shared" si="195"/>
        <v>0</v>
      </c>
      <c r="AU367" s="124">
        <f t="shared" si="195"/>
        <v>0</v>
      </c>
      <c r="AV367" s="124">
        <f t="shared" si="195"/>
        <v>0</v>
      </c>
    </row>
    <row r="368" spans="2:48" ht="12.95" customHeight="1" x14ac:dyDescent="0.2">
      <c r="B368" s="14"/>
      <c r="C368" s="253" t="s">
        <v>877</v>
      </c>
      <c r="F368" s="253" t="s">
        <v>493</v>
      </c>
      <c r="G368" s="253" t="s">
        <v>432</v>
      </c>
      <c r="H368" s="277"/>
      <c r="I368" s="147"/>
      <c r="J368" s="124"/>
      <c r="K368" s="124"/>
      <c r="L368" s="124"/>
      <c r="M368" s="124"/>
      <c r="N368" s="124"/>
      <c r="O368" s="124"/>
      <c r="P368" s="124"/>
      <c r="Q368" s="124"/>
      <c r="R368" s="124"/>
      <c r="S368" s="124"/>
      <c r="T368" s="124"/>
      <c r="U368" s="124"/>
      <c r="V368" s="124"/>
      <c r="W368" s="124"/>
      <c r="X368" s="124"/>
      <c r="Y368" s="124"/>
      <c r="Z368" s="124"/>
      <c r="AA368" s="124"/>
      <c r="AB368" s="124">
        <f t="shared" ref="AB368:AV368" si="196">IF(AB153&gt;0,AA367,0)</f>
        <v>69884.035963081726</v>
      </c>
      <c r="AC368" s="124">
        <f t="shared" si="196"/>
        <v>41930.421577849047</v>
      </c>
      <c r="AD368" s="124">
        <f t="shared" si="196"/>
        <v>35640.858341171683</v>
      </c>
      <c r="AE368" s="124">
        <f t="shared" si="196"/>
        <v>30294.729589995935</v>
      </c>
      <c r="AF368" s="124">
        <f t="shared" si="196"/>
        <v>25750.520151496548</v>
      </c>
      <c r="AG368" s="124">
        <f t="shared" si="196"/>
        <v>21887.942128772072</v>
      </c>
      <c r="AH368" s="124">
        <f t="shared" si="196"/>
        <v>18604.750809456262</v>
      </c>
      <c r="AI368" s="124">
        <f t="shared" si="196"/>
        <v>15814.03818803781</v>
      </c>
      <c r="AJ368" s="124">
        <f t="shared" si="196"/>
        <v>13441.932459832145</v>
      </c>
      <c r="AK368" s="124">
        <f t="shared" si="196"/>
        <v>11425.64259085732</v>
      </c>
      <c r="AL368" s="124">
        <f t="shared" si="196"/>
        <v>9711.7962022287265</v>
      </c>
      <c r="AM368" s="124">
        <f t="shared" si="196"/>
        <v>0</v>
      </c>
      <c r="AN368" s="124">
        <f t="shared" si="196"/>
        <v>0</v>
      </c>
      <c r="AO368" s="124">
        <f t="shared" si="196"/>
        <v>0</v>
      </c>
      <c r="AP368" s="124">
        <f t="shared" si="196"/>
        <v>0</v>
      </c>
      <c r="AQ368" s="124">
        <f t="shared" si="196"/>
        <v>0</v>
      </c>
      <c r="AR368" s="124">
        <f t="shared" si="196"/>
        <v>0</v>
      </c>
      <c r="AS368" s="124">
        <f t="shared" si="196"/>
        <v>0</v>
      </c>
      <c r="AT368" s="124">
        <f t="shared" si="196"/>
        <v>0</v>
      </c>
      <c r="AU368" s="124">
        <f t="shared" si="196"/>
        <v>0</v>
      </c>
      <c r="AV368" s="124">
        <f t="shared" si="196"/>
        <v>0</v>
      </c>
    </row>
    <row r="369" spans="2:48" ht="12.95" customHeight="1" x14ac:dyDescent="0.2">
      <c r="B369" s="14"/>
      <c r="C369" s="253" t="s">
        <v>878</v>
      </c>
      <c r="F369" s="253" t="s">
        <v>493</v>
      </c>
      <c r="G369" s="253" t="s">
        <v>432</v>
      </c>
      <c r="H369" s="277"/>
      <c r="I369" s="147"/>
      <c r="J369" s="124"/>
      <c r="K369" s="124"/>
      <c r="L369" s="124"/>
      <c r="M369" s="124"/>
      <c r="N369" s="124"/>
      <c r="O369" s="124"/>
      <c r="P369" s="124"/>
      <c r="Q369" s="124"/>
      <c r="R369" s="124"/>
      <c r="S369" s="124"/>
      <c r="T369" s="124"/>
      <c r="U369" s="124"/>
      <c r="V369" s="124"/>
      <c r="W369" s="124"/>
      <c r="X369" s="124"/>
      <c r="Y369" s="124"/>
      <c r="Z369" s="124"/>
      <c r="AA369" s="124"/>
      <c r="AB369" s="124"/>
      <c r="AC369" s="124">
        <f t="shared" ref="AC369:AV369" si="197">IF(AC154&gt;0,AB368,0)</f>
        <v>69884.035963081726</v>
      </c>
      <c r="AD369" s="124">
        <f t="shared" si="197"/>
        <v>41930.421577849047</v>
      </c>
      <c r="AE369" s="124">
        <f t="shared" si="197"/>
        <v>35640.858341171683</v>
      </c>
      <c r="AF369" s="124">
        <f t="shared" si="197"/>
        <v>30294.729589995935</v>
      </c>
      <c r="AG369" s="124">
        <f t="shared" si="197"/>
        <v>25750.520151496548</v>
      </c>
      <c r="AH369" s="124">
        <f t="shared" si="197"/>
        <v>21887.942128772072</v>
      </c>
      <c r="AI369" s="124">
        <f t="shared" si="197"/>
        <v>18604.750809456262</v>
      </c>
      <c r="AJ369" s="124">
        <f t="shared" si="197"/>
        <v>15814.03818803781</v>
      </c>
      <c r="AK369" s="124">
        <f t="shared" si="197"/>
        <v>13441.932459832145</v>
      </c>
      <c r="AL369" s="124">
        <f t="shared" si="197"/>
        <v>11425.64259085732</v>
      </c>
      <c r="AM369" s="124">
        <f t="shared" si="197"/>
        <v>9711.7962022287265</v>
      </c>
      <c r="AN369" s="124">
        <f t="shared" si="197"/>
        <v>0</v>
      </c>
      <c r="AO369" s="124">
        <f t="shared" si="197"/>
        <v>0</v>
      </c>
      <c r="AP369" s="124">
        <f t="shared" si="197"/>
        <v>0</v>
      </c>
      <c r="AQ369" s="124">
        <f t="shared" si="197"/>
        <v>0</v>
      </c>
      <c r="AR369" s="124">
        <f t="shared" si="197"/>
        <v>0</v>
      </c>
      <c r="AS369" s="124">
        <f t="shared" si="197"/>
        <v>0</v>
      </c>
      <c r="AT369" s="124">
        <f t="shared" si="197"/>
        <v>0</v>
      </c>
      <c r="AU369" s="124">
        <f t="shared" si="197"/>
        <v>0</v>
      </c>
      <c r="AV369" s="124">
        <f t="shared" si="197"/>
        <v>0</v>
      </c>
    </row>
    <row r="370" spans="2:48" ht="12.95" customHeight="1" x14ac:dyDescent="0.2">
      <c r="B370" s="14"/>
      <c r="C370" s="253" t="s">
        <v>879</v>
      </c>
      <c r="F370" s="253" t="s">
        <v>493</v>
      </c>
      <c r="G370" s="253" t="s">
        <v>432</v>
      </c>
      <c r="H370" s="277"/>
      <c r="I370" s="147"/>
      <c r="J370" s="124"/>
      <c r="K370" s="124"/>
      <c r="L370" s="124"/>
      <c r="M370" s="124"/>
      <c r="N370" s="124"/>
      <c r="O370" s="124"/>
      <c r="P370" s="124"/>
      <c r="Q370" s="124"/>
      <c r="R370" s="124"/>
      <c r="S370" s="124"/>
      <c r="T370" s="124"/>
      <c r="U370" s="124"/>
      <c r="V370" s="124"/>
      <c r="W370" s="124"/>
      <c r="X370" s="124"/>
      <c r="Y370" s="124"/>
      <c r="Z370" s="124"/>
      <c r="AA370" s="124"/>
      <c r="AB370" s="124"/>
      <c r="AC370" s="124"/>
      <c r="AD370" s="124">
        <f t="shared" ref="AD370:AV370" si="198">IF(AD155&gt;0,AC369,0)</f>
        <v>69884.035963081726</v>
      </c>
      <c r="AE370" s="124">
        <f t="shared" si="198"/>
        <v>41930.421577849047</v>
      </c>
      <c r="AF370" s="124">
        <f t="shared" si="198"/>
        <v>35640.858341171683</v>
      </c>
      <c r="AG370" s="124">
        <f t="shared" si="198"/>
        <v>30294.729589995935</v>
      </c>
      <c r="AH370" s="124">
        <f t="shared" si="198"/>
        <v>25750.520151496548</v>
      </c>
      <c r="AI370" s="124">
        <f t="shared" si="198"/>
        <v>21887.942128772072</v>
      </c>
      <c r="AJ370" s="124">
        <f t="shared" si="198"/>
        <v>18604.750809456262</v>
      </c>
      <c r="AK370" s="124">
        <f t="shared" si="198"/>
        <v>15814.03818803781</v>
      </c>
      <c r="AL370" s="124">
        <f t="shared" si="198"/>
        <v>13441.932459832145</v>
      </c>
      <c r="AM370" s="124">
        <f t="shared" si="198"/>
        <v>11425.64259085732</v>
      </c>
      <c r="AN370" s="124">
        <f t="shared" si="198"/>
        <v>9711.7962022287265</v>
      </c>
      <c r="AO370" s="124">
        <f t="shared" si="198"/>
        <v>0</v>
      </c>
      <c r="AP370" s="124">
        <f t="shared" si="198"/>
        <v>0</v>
      </c>
      <c r="AQ370" s="124">
        <f t="shared" si="198"/>
        <v>0</v>
      </c>
      <c r="AR370" s="124">
        <f t="shared" si="198"/>
        <v>0</v>
      </c>
      <c r="AS370" s="124">
        <f t="shared" si="198"/>
        <v>0</v>
      </c>
      <c r="AT370" s="124">
        <f t="shared" si="198"/>
        <v>0</v>
      </c>
      <c r="AU370" s="124">
        <f t="shared" si="198"/>
        <v>0</v>
      </c>
      <c r="AV370" s="124">
        <f t="shared" si="198"/>
        <v>0</v>
      </c>
    </row>
    <row r="371" spans="2:48" ht="12.95" customHeight="1" x14ac:dyDescent="0.2">
      <c r="B371" s="14"/>
      <c r="C371" s="253" t="s">
        <v>880</v>
      </c>
      <c r="F371" s="253" t="s">
        <v>493</v>
      </c>
      <c r="G371" s="253" t="s">
        <v>432</v>
      </c>
      <c r="H371" s="277"/>
      <c r="I371" s="147"/>
      <c r="J371" s="124"/>
      <c r="K371" s="124"/>
      <c r="L371" s="124"/>
      <c r="M371" s="124"/>
      <c r="N371" s="124"/>
      <c r="O371" s="124"/>
      <c r="P371" s="124"/>
      <c r="Q371" s="124"/>
      <c r="R371" s="124"/>
      <c r="S371" s="124"/>
      <c r="T371" s="124"/>
      <c r="U371" s="124"/>
      <c r="V371" s="124"/>
      <c r="W371" s="124"/>
      <c r="X371" s="124"/>
      <c r="Y371" s="124"/>
      <c r="Z371" s="124"/>
      <c r="AA371" s="124"/>
      <c r="AB371" s="124"/>
      <c r="AC371" s="124"/>
      <c r="AD371" s="124"/>
      <c r="AE371" s="124">
        <f t="shared" ref="AE371:AV371" si="199">IF(AE156&gt;0,AD370,0)</f>
        <v>69884.035963081726</v>
      </c>
      <c r="AF371" s="124">
        <f t="shared" si="199"/>
        <v>41930.421577849047</v>
      </c>
      <c r="AG371" s="124">
        <f t="shared" si="199"/>
        <v>35640.858341171683</v>
      </c>
      <c r="AH371" s="124">
        <f t="shared" si="199"/>
        <v>30294.729589995935</v>
      </c>
      <c r="AI371" s="124">
        <f t="shared" si="199"/>
        <v>25750.520151496548</v>
      </c>
      <c r="AJ371" s="124">
        <f t="shared" si="199"/>
        <v>21887.942128772072</v>
      </c>
      <c r="AK371" s="124">
        <f t="shared" si="199"/>
        <v>18604.750809456262</v>
      </c>
      <c r="AL371" s="124">
        <f t="shared" si="199"/>
        <v>15814.03818803781</v>
      </c>
      <c r="AM371" s="124">
        <f t="shared" si="199"/>
        <v>13441.932459832145</v>
      </c>
      <c r="AN371" s="124">
        <f t="shared" si="199"/>
        <v>11425.64259085732</v>
      </c>
      <c r="AO371" s="124">
        <f t="shared" si="199"/>
        <v>9711.7962022287265</v>
      </c>
      <c r="AP371" s="124">
        <f t="shared" si="199"/>
        <v>0</v>
      </c>
      <c r="AQ371" s="124">
        <f t="shared" si="199"/>
        <v>0</v>
      </c>
      <c r="AR371" s="124">
        <f t="shared" si="199"/>
        <v>0</v>
      </c>
      <c r="AS371" s="124">
        <f t="shared" si="199"/>
        <v>0</v>
      </c>
      <c r="AT371" s="124">
        <f t="shared" si="199"/>
        <v>0</v>
      </c>
      <c r="AU371" s="124">
        <f t="shared" si="199"/>
        <v>0</v>
      </c>
      <c r="AV371" s="124">
        <f t="shared" si="199"/>
        <v>0</v>
      </c>
    </row>
    <row r="372" spans="2:48" ht="12.95" customHeight="1" x14ac:dyDescent="0.2">
      <c r="B372" s="14"/>
      <c r="C372" s="253" t="s">
        <v>881</v>
      </c>
      <c r="F372" s="253" t="s">
        <v>493</v>
      </c>
      <c r="G372" s="253" t="s">
        <v>432</v>
      </c>
      <c r="H372" s="277"/>
      <c r="I372" s="147"/>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f t="shared" ref="AF372:AV372" si="200">IF(AF157&gt;0,AE371,0)</f>
        <v>69884.035963081726</v>
      </c>
      <c r="AG372" s="124">
        <f t="shared" si="200"/>
        <v>41930.421577849047</v>
      </c>
      <c r="AH372" s="124">
        <f t="shared" si="200"/>
        <v>35640.858341171683</v>
      </c>
      <c r="AI372" s="124">
        <f t="shared" si="200"/>
        <v>30294.729589995935</v>
      </c>
      <c r="AJ372" s="124">
        <f t="shared" si="200"/>
        <v>25750.520151496548</v>
      </c>
      <c r="AK372" s="124">
        <f t="shared" si="200"/>
        <v>21887.942128772072</v>
      </c>
      <c r="AL372" s="124">
        <f t="shared" si="200"/>
        <v>18604.750809456262</v>
      </c>
      <c r="AM372" s="124">
        <f t="shared" si="200"/>
        <v>15814.03818803781</v>
      </c>
      <c r="AN372" s="124">
        <f t="shared" si="200"/>
        <v>13441.932459832145</v>
      </c>
      <c r="AO372" s="124">
        <f t="shared" si="200"/>
        <v>11425.64259085732</v>
      </c>
      <c r="AP372" s="124">
        <f t="shared" si="200"/>
        <v>9711.7962022287265</v>
      </c>
      <c r="AQ372" s="124">
        <f t="shared" si="200"/>
        <v>0</v>
      </c>
      <c r="AR372" s="124">
        <f t="shared" si="200"/>
        <v>0</v>
      </c>
      <c r="AS372" s="124">
        <f t="shared" si="200"/>
        <v>0</v>
      </c>
      <c r="AT372" s="124">
        <f t="shared" si="200"/>
        <v>0</v>
      </c>
      <c r="AU372" s="124">
        <f t="shared" si="200"/>
        <v>0</v>
      </c>
      <c r="AV372" s="124">
        <f t="shared" si="200"/>
        <v>0</v>
      </c>
    </row>
    <row r="373" spans="2:48" ht="12.95" customHeight="1" x14ac:dyDescent="0.2">
      <c r="B373" s="14"/>
      <c r="C373" s="253" t="s">
        <v>882</v>
      </c>
      <c r="F373" s="253" t="s">
        <v>493</v>
      </c>
      <c r="G373" s="253" t="s">
        <v>432</v>
      </c>
      <c r="H373" s="277"/>
      <c r="I373" s="147"/>
      <c r="J373" s="124"/>
      <c r="K373" s="124"/>
      <c r="L373" s="124"/>
      <c r="M373" s="124"/>
      <c r="N373" s="124"/>
      <c r="O373" s="124"/>
      <c r="P373" s="124"/>
      <c r="Q373" s="124"/>
      <c r="R373" s="124"/>
      <c r="S373" s="124"/>
      <c r="T373" s="124"/>
      <c r="U373" s="124"/>
      <c r="V373" s="124"/>
      <c r="W373" s="124"/>
      <c r="X373" s="124"/>
      <c r="Y373" s="124"/>
      <c r="Z373" s="124"/>
      <c r="AA373" s="124"/>
      <c r="AB373" s="124"/>
      <c r="AC373" s="124"/>
      <c r="AD373" s="124"/>
      <c r="AE373" s="124"/>
      <c r="AF373" s="124"/>
      <c r="AG373" s="124">
        <f t="shared" ref="AG373:AV373" si="201">IF(AG158&gt;0,AF372,0)</f>
        <v>69884.035963081726</v>
      </c>
      <c r="AH373" s="124">
        <f t="shared" si="201"/>
        <v>41930.421577849047</v>
      </c>
      <c r="AI373" s="124">
        <f t="shared" si="201"/>
        <v>35640.858341171683</v>
      </c>
      <c r="AJ373" s="124">
        <f t="shared" si="201"/>
        <v>30294.729589995935</v>
      </c>
      <c r="AK373" s="124">
        <f t="shared" si="201"/>
        <v>25750.520151496548</v>
      </c>
      <c r="AL373" s="124">
        <f t="shared" si="201"/>
        <v>21887.942128772072</v>
      </c>
      <c r="AM373" s="124">
        <f t="shared" si="201"/>
        <v>18604.750809456262</v>
      </c>
      <c r="AN373" s="124">
        <f t="shared" si="201"/>
        <v>15814.03818803781</v>
      </c>
      <c r="AO373" s="124">
        <f t="shared" si="201"/>
        <v>13441.932459832145</v>
      </c>
      <c r="AP373" s="124">
        <f t="shared" si="201"/>
        <v>11425.64259085732</v>
      </c>
      <c r="AQ373" s="124">
        <f t="shared" si="201"/>
        <v>9711.7962022287265</v>
      </c>
      <c r="AR373" s="124">
        <f t="shared" si="201"/>
        <v>0</v>
      </c>
      <c r="AS373" s="124">
        <f t="shared" si="201"/>
        <v>0</v>
      </c>
      <c r="AT373" s="124">
        <f t="shared" si="201"/>
        <v>0</v>
      </c>
      <c r="AU373" s="124">
        <f t="shared" si="201"/>
        <v>0</v>
      </c>
      <c r="AV373" s="124">
        <f t="shared" si="201"/>
        <v>0</v>
      </c>
    </row>
    <row r="374" spans="2:48" ht="12.95" customHeight="1" x14ac:dyDescent="0.2">
      <c r="B374" s="14"/>
      <c r="C374" s="253" t="s">
        <v>883</v>
      </c>
      <c r="F374" s="253" t="s">
        <v>493</v>
      </c>
      <c r="G374" s="253" t="s">
        <v>432</v>
      </c>
      <c r="H374" s="277"/>
      <c r="I374" s="147"/>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f t="shared" ref="AH374:AV374" si="202">IF(AH159&gt;0,AG373,0)</f>
        <v>69884.035963081726</v>
      </c>
      <c r="AI374" s="124">
        <f t="shared" si="202"/>
        <v>41930.421577849047</v>
      </c>
      <c r="AJ374" s="124">
        <f t="shared" si="202"/>
        <v>35640.858341171683</v>
      </c>
      <c r="AK374" s="124">
        <f t="shared" si="202"/>
        <v>30294.729589995935</v>
      </c>
      <c r="AL374" s="124">
        <f t="shared" si="202"/>
        <v>25750.520151496548</v>
      </c>
      <c r="AM374" s="124">
        <f t="shared" si="202"/>
        <v>21887.942128772072</v>
      </c>
      <c r="AN374" s="124">
        <f t="shared" si="202"/>
        <v>18604.750809456262</v>
      </c>
      <c r="AO374" s="124">
        <f t="shared" si="202"/>
        <v>15814.03818803781</v>
      </c>
      <c r="AP374" s="124">
        <f t="shared" si="202"/>
        <v>13441.932459832145</v>
      </c>
      <c r="AQ374" s="124">
        <f t="shared" si="202"/>
        <v>11425.64259085732</v>
      </c>
      <c r="AR374" s="124">
        <f t="shared" si="202"/>
        <v>9711.7962022287265</v>
      </c>
      <c r="AS374" s="124">
        <f t="shared" si="202"/>
        <v>0</v>
      </c>
      <c r="AT374" s="124">
        <f t="shared" si="202"/>
        <v>0</v>
      </c>
      <c r="AU374" s="124">
        <f t="shared" si="202"/>
        <v>0</v>
      </c>
      <c r="AV374" s="124">
        <f t="shared" si="202"/>
        <v>0</v>
      </c>
    </row>
    <row r="375" spans="2:48" ht="12.95" customHeight="1" x14ac:dyDescent="0.2">
      <c r="B375" s="14"/>
      <c r="C375" s="253" t="s">
        <v>884</v>
      </c>
      <c r="F375" s="253" t="s">
        <v>493</v>
      </c>
      <c r="G375" s="253" t="s">
        <v>432</v>
      </c>
      <c r="H375" s="277"/>
      <c r="I375" s="147"/>
      <c r="J375" s="124"/>
      <c r="K375" s="124"/>
      <c r="L375" s="124"/>
      <c r="M375" s="124"/>
      <c r="N375" s="124"/>
      <c r="O375" s="124"/>
      <c r="P375" s="124"/>
      <c r="Q375" s="124"/>
      <c r="R375" s="124"/>
      <c r="S375" s="124"/>
      <c r="T375" s="124"/>
      <c r="U375" s="124"/>
      <c r="V375" s="124"/>
      <c r="W375" s="124"/>
      <c r="X375" s="124"/>
      <c r="Y375" s="124"/>
      <c r="Z375" s="124"/>
      <c r="AA375" s="124"/>
      <c r="AB375" s="124"/>
      <c r="AC375" s="124"/>
      <c r="AD375" s="124"/>
      <c r="AE375" s="124"/>
      <c r="AF375" s="124"/>
      <c r="AG375" s="124"/>
      <c r="AH375" s="124"/>
      <c r="AI375" s="124">
        <f t="shared" ref="AI375:AV375" si="203">IF(AI160&gt;0,AH374,0)</f>
        <v>0</v>
      </c>
      <c r="AJ375" s="124">
        <f t="shared" si="203"/>
        <v>0</v>
      </c>
      <c r="AK375" s="124">
        <f t="shared" si="203"/>
        <v>0</v>
      </c>
      <c r="AL375" s="124">
        <f t="shared" si="203"/>
        <v>0</v>
      </c>
      <c r="AM375" s="124">
        <f t="shared" si="203"/>
        <v>0</v>
      </c>
      <c r="AN375" s="124">
        <f t="shared" si="203"/>
        <v>0</v>
      </c>
      <c r="AO375" s="124">
        <f t="shared" si="203"/>
        <v>0</v>
      </c>
      <c r="AP375" s="124">
        <f t="shared" si="203"/>
        <v>0</v>
      </c>
      <c r="AQ375" s="124">
        <f t="shared" si="203"/>
        <v>0</v>
      </c>
      <c r="AR375" s="124">
        <f t="shared" si="203"/>
        <v>0</v>
      </c>
      <c r="AS375" s="124">
        <f t="shared" si="203"/>
        <v>0</v>
      </c>
      <c r="AT375" s="124">
        <f t="shared" si="203"/>
        <v>0</v>
      </c>
      <c r="AU375" s="124">
        <f t="shared" si="203"/>
        <v>0</v>
      </c>
      <c r="AV375" s="124">
        <f t="shared" si="203"/>
        <v>0</v>
      </c>
    </row>
    <row r="376" spans="2:48" ht="12.95" customHeight="1" x14ac:dyDescent="0.2">
      <c r="B376" s="14"/>
      <c r="C376" s="253" t="s">
        <v>885</v>
      </c>
      <c r="F376" s="253" t="s">
        <v>493</v>
      </c>
      <c r="G376" s="253" t="s">
        <v>432</v>
      </c>
      <c r="H376" s="277"/>
      <c r="I376" s="147"/>
      <c r="J376" s="124"/>
      <c r="K376" s="124"/>
      <c r="L376" s="124"/>
      <c r="M376" s="124"/>
      <c r="N376" s="124"/>
      <c r="O376" s="124"/>
      <c r="P376" s="124"/>
      <c r="Q376" s="124"/>
      <c r="R376" s="124"/>
      <c r="S376" s="124"/>
      <c r="T376" s="124"/>
      <c r="U376" s="124"/>
      <c r="V376" s="124"/>
      <c r="W376" s="124"/>
      <c r="X376" s="124"/>
      <c r="Y376" s="124"/>
      <c r="Z376" s="124"/>
      <c r="AA376" s="124"/>
      <c r="AB376" s="124"/>
      <c r="AC376" s="124"/>
      <c r="AD376" s="124"/>
      <c r="AE376" s="124"/>
      <c r="AF376" s="124"/>
      <c r="AG376" s="124"/>
      <c r="AH376" s="124"/>
      <c r="AI376" s="124"/>
      <c r="AJ376" s="124">
        <f t="shared" ref="AJ376:AV376" si="204">IF(AJ161&gt;0,AI375,0)</f>
        <v>0</v>
      </c>
      <c r="AK376" s="124">
        <f t="shared" si="204"/>
        <v>0</v>
      </c>
      <c r="AL376" s="124">
        <f t="shared" si="204"/>
        <v>0</v>
      </c>
      <c r="AM376" s="124">
        <f t="shared" si="204"/>
        <v>0</v>
      </c>
      <c r="AN376" s="124">
        <f t="shared" si="204"/>
        <v>0</v>
      </c>
      <c r="AO376" s="124">
        <f t="shared" si="204"/>
        <v>0</v>
      </c>
      <c r="AP376" s="124">
        <f t="shared" si="204"/>
        <v>0</v>
      </c>
      <c r="AQ376" s="124">
        <f t="shared" si="204"/>
        <v>0</v>
      </c>
      <c r="AR376" s="124">
        <f t="shared" si="204"/>
        <v>0</v>
      </c>
      <c r="AS376" s="124">
        <f t="shared" si="204"/>
        <v>0</v>
      </c>
      <c r="AT376" s="124">
        <f t="shared" si="204"/>
        <v>0</v>
      </c>
      <c r="AU376" s="124">
        <f t="shared" si="204"/>
        <v>0</v>
      </c>
      <c r="AV376" s="124">
        <f t="shared" si="204"/>
        <v>0</v>
      </c>
    </row>
    <row r="377" spans="2:48" ht="12.95" customHeight="1" x14ac:dyDescent="0.2">
      <c r="B377" s="14"/>
      <c r="C377" s="253" t="s">
        <v>886</v>
      </c>
      <c r="F377" s="253" t="s">
        <v>493</v>
      </c>
      <c r="G377" s="253" t="s">
        <v>432</v>
      </c>
      <c r="H377" s="277"/>
      <c r="I377" s="147"/>
      <c r="J377" s="124"/>
      <c r="K377" s="124"/>
      <c r="L377" s="124"/>
      <c r="M377" s="124"/>
      <c r="N377" s="124"/>
      <c r="O377" s="124"/>
      <c r="P377" s="124"/>
      <c r="Q377" s="124"/>
      <c r="R377" s="124"/>
      <c r="S377" s="124"/>
      <c r="T377" s="124"/>
      <c r="U377" s="124"/>
      <c r="V377" s="124"/>
      <c r="W377" s="124"/>
      <c r="X377" s="124"/>
      <c r="Y377" s="124"/>
      <c r="Z377" s="124"/>
      <c r="AA377" s="124"/>
      <c r="AB377" s="124"/>
      <c r="AC377" s="124"/>
      <c r="AD377" s="124"/>
      <c r="AE377" s="124"/>
      <c r="AF377" s="124"/>
      <c r="AG377" s="124"/>
      <c r="AH377" s="124"/>
      <c r="AI377" s="124"/>
      <c r="AJ377" s="124"/>
      <c r="AK377" s="124">
        <f t="shared" ref="AK377:AV377" si="205">IF(AK162&gt;0,AJ376,0)</f>
        <v>0</v>
      </c>
      <c r="AL377" s="124">
        <f t="shared" si="205"/>
        <v>0</v>
      </c>
      <c r="AM377" s="124">
        <f t="shared" si="205"/>
        <v>0</v>
      </c>
      <c r="AN377" s="124">
        <f t="shared" si="205"/>
        <v>0</v>
      </c>
      <c r="AO377" s="124">
        <f t="shared" si="205"/>
        <v>0</v>
      </c>
      <c r="AP377" s="124">
        <f t="shared" si="205"/>
        <v>0</v>
      </c>
      <c r="AQ377" s="124">
        <f t="shared" si="205"/>
        <v>0</v>
      </c>
      <c r="AR377" s="124">
        <f t="shared" si="205"/>
        <v>0</v>
      </c>
      <c r="AS377" s="124">
        <f t="shared" si="205"/>
        <v>0</v>
      </c>
      <c r="AT377" s="124">
        <f t="shared" si="205"/>
        <v>0</v>
      </c>
      <c r="AU377" s="124">
        <f t="shared" si="205"/>
        <v>0</v>
      </c>
      <c r="AV377" s="124">
        <f t="shared" si="205"/>
        <v>0</v>
      </c>
    </row>
    <row r="378" spans="2:48" ht="12.95" customHeight="1" x14ac:dyDescent="0.2">
      <c r="B378" s="14"/>
      <c r="C378" s="253" t="s">
        <v>887</v>
      </c>
      <c r="F378" s="253" t="s">
        <v>493</v>
      </c>
      <c r="G378" s="253" t="s">
        <v>432</v>
      </c>
      <c r="H378" s="277"/>
      <c r="I378" s="147"/>
      <c r="J378" s="124"/>
      <c r="K378" s="124"/>
      <c r="L378" s="124"/>
      <c r="M378" s="124"/>
      <c r="N378" s="124"/>
      <c r="O378" s="124"/>
      <c r="P378" s="124"/>
      <c r="Q378" s="124"/>
      <c r="R378" s="124"/>
      <c r="S378" s="124"/>
      <c r="T378" s="124"/>
      <c r="U378" s="124"/>
      <c r="V378" s="124"/>
      <c r="W378" s="124"/>
      <c r="X378" s="124"/>
      <c r="Y378" s="124"/>
      <c r="Z378" s="124"/>
      <c r="AA378" s="124"/>
      <c r="AB378" s="124"/>
      <c r="AC378" s="124"/>
      <c r="AD378" s="124"/>
      <c r="AE378" s="124"/>
      <c r="AF378" s="124"/>
      <c r="AG378" s="124"/>
      <c r="AH378" s="124"/>
      <c r="AI378" s="124"/>
      <c r="AJ378" s="124"/>
      <c r="AK378" s="124"/>
      <c r="AL378" s="124">
        <f t="shared" ref="AL378:AV378" si="206">IF(AL163&gt;0,AK377,0)</f>
        <v>0</v>
      </c>
      <c r="AM378" s="124">
        <f t="shared" si="206"/>
        <v>0</v>
      </c>
      <c r="AN378" s="124">
        <f t="shared" si="206"/>
        <v>0</v>
      </c>
      <c r="AO378" s="124">
        <f t="shared" si="206"/>
        <v>0</v>
      </c>
      <c r="AP378" s="124">
        <f t="shared" si="206"/>
        <v>0</v>
      </c>
      <c r="AQ378" s="124">
        <f t="shared" si="206"/>
        <v>0</v>
      </c>
      <c r="AR378" s="124">
        <f t="shared" si="206"/>
        <v>0</v>
      </c>
      <c r="AS378" s="124">
        <f t="shared" si="206"/>
        <v>0</v>
      </c>
      <c r="AT378" s="124">
        <f t="shared" si="206"/>
        <v>0</v>
      </c>
      <c r="AU378" s="124">
        <f t="shared" si="206"/>
        <v>0</v>
      </c>
      <c r="AV378" s="124">
        <f t="shared" si="206"/>
        <v>0</v>
      </c>
    </row>
    <row r="379" spans="2:48" ht="12.95" customHeight="1" x14ac:dyDescent="0.2">
      <c r="B379" s="14"/>
      <c r="C379" s="253" t="s">
        <v>888</v>
      </c>
      <c r="F379" s="253" t="s">
        <v>493</v>
      </c>
      <c r="G379" s="253" t="s">
        <v>432</v>
      </c>
      <c r="H379" s="277"/>
      <c r="I379" s="147"/>
      <c r="J379" s="124"/>
      <c r="K379" s="124"/>
      <c r="L379" s="124"/>
      <c r="M379" s="124"/>
      <c r="N379" s="124"/>
      <c r="O379" s="124"/>
      <c r="P379" s="124"/>
      <c r="Q379" s="124"/>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f t="shared" ref="AM379:AV379" si="207">IF(AM164&gt;0,AL378,0)</f>
        <v>0</v>
      </c>
      <c r="AN379" s="124">
        <f t="shared" si="207"/>
        <v>0</v>
      </c>
      <c r="AO379" s="124">
        <f t="shared" si="207"/>
        <v>0</v>
      </c>
      <c r="AP379" s="124">
        <f t="shared" si="207"/>
        <v>0</v>
      </c>
      <c r="AQ379" s="124">
        <f t="shared" si="207"/>
        <v>0</v>
      </c>
      <c r="AR379" s="124">
        <f t="shared" si="207"/>
        <v>0</v>
      </c>
      <c r="AS379" s="124">
        <f t="shared" si="207"/>
        <v>0</v>
      </c>
      <c r="AT379" s="124">
        <f t="shared" si="207"/>
        <v>0</v>
      </c>
      <c r="AU379" s="124">
        <f t="shared" si="207"/>
        <v>0</v>
      </c>
      <c r="AV379" s="124">
        <f t="shared" si="207"/>
        <v>0</v>
      </c>
    </row>
    <row r="380" spans="2:48" ht="12.95" customHeight="1" x14ac:dyDescent="0.2">
      <c r="B380" s="14"/>
      <c r="C380" s="253" t="s">
        <v>889</v>
      </c>
      <c r="F380" s="253" t="s">
        <v>493</v>
      </c>
      <c r="G380" s="253" t="s">
        <v>432</v>
      </c>
      <c r="H380" s="277"/>
      <c r="I380" s="147"/>
      <c r="J380" s="124"/>
      <c r="K380" s="124"/>
      <c r="L380" s="124"/>
      <c r="M380" s="124"/>
      <c r="N380" s="124"/>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f t="shared" ref="AN380:AV380" si="208">IF(AN165&gt;0,AM379,0)</f>
        <v>0</v>
      </c>
      <c r="AO380" s="124">
        <f t="shared" si="208"/>
        <v>0</v>
      </c>
      <c r="AP380" s="124">
        <f t="shared" si="208"/>
        <v>0</v>
      </c>
      <c r="AQ380" s="124">
        <f t="shared" si="208"/>
        <v>0</v>
      </c>
      <c r="AR380" s="124">
        <f t="shared" si="208"/>
        <v>0</v>
      </c>
      <c r="AS380" s="124">
        <f t="shared" si="208"/>
        <v>0</v>
      </c>
      <c r="AT380" s="124">
        <f t="shared" si="208"/>
        <v>0</v>
      </c>
      <c r="AU380" s="124">
        <f t="shared" si="208"/>
        <v>0</v>
      </c>
      <c r="AV380" s="124">
        <f t="shared" si="208"/>
        <v>0</v>
      </c>
    </row>
    <row r="381" spans="2:48" ht="12.95" customHeight="1" x14ac:dyDescent="0.2">
      <c r="B381" s="14"/>
      <c r="C381" s="253" t="s">
        <v>890</v>
      </c>
      <c r="F381" s="253" t="s">
        <v>493</v>
      </c>
      <c r="G381" s="253" t="s">
        <v>432</v>
      </c>
      <c r="H381" s="277"/>
      <c r="I381" s="147"/>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f t="shared" ref="AO381:AV381" si="209">IF(AO166&gt;0,AN380,0)</f>
        <v>0</v>
      </c>
      <c r="AP381" s="124">
        <f t="shared" si="209"/>
        <v>0</v>
      </c>
      <c r="AQ381" s="124">
        <f t="shared" si="209"/>
        <v>0</v>
      </c>
      <c r="AR381" s="124">
        <f t="shared" si="209"/>
        <v>0</v>
      </c>
      <c r="AS381" s="124">
        <f t="shared" si="209"/>
        <v>0</v>
      </c>
      <c r="AT381" s="124">
        <f t="shared" si="209"/>
        <v>0</v>
      </c>
      <c r="AU381" s="124">
        <f t="shared" si="209"/>
        <v>0</v>
      </c>
      <c r="AV381" s="124">
        <f t="shared" si="209"/>
        <v>0</v>
      </c>
    </row>
    <row r="382" spans="2:48" ht="12.95" customHeight="1" x14ac:dyDescent="0.2">
      <c r="B382" s="14"/>
      <c r="C382" s="253" t="s">
        <v>891</v>
      </c>
      <c r="F382" s="253" t="s">
        <v>493</v>
      </c>
      <c r="G382" s="253" t="s">
        <v>432</v>
      </c>
      <c r="H382" s="277"/>
      <c r="I382" s="147"/>
      <c r="J382" s="124"/>
      <c r="K382" s="124"/>
      <c r="L382" s="124"/>
      <c r="M382" s="124"/>
      <c r="N382" s="124"/>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46"/>
      <c r="AJ382" s="124"/>
      <c r="AK382" s="124"/>
      <c r="AL382" s="124"/>
      <c r="AM382" s="124"/>
      <c r="AN382" s="124"/>
      <c r="AO382" s="124"/>
      <c r="AP382" s="124">
        <f t="shared" ref="AP382:AV382" si="210">IF(AP167&gt;0,AO381,0)</f>
        <v>0</v>
      </c>
      <c r="AQ382" s="124">
        <f t="shared" si="210"/>
        <v>0</v>
      </c>
      <c r="AR382" s="124">
        <f t="shared" si="210"/>
        <v>0</v>
      </c>
      <c r="AS382" s="124">
        <f t="shared" si="210"/>
        <v>0</v>
      </c>
      <c r="AT382" s="124">
        <f t="shared" si="210"/>
        <v>0</v>
      </c>
      <c r="AU382" s="124">
        <f t="shared" si="210"/>
        <v>0</v>
      </c>
      <c r="AV382" s="124">
        <f t="shared" si="210"/>
        <v>0</v>
      </c>
    </row>
    <row r="383" spans="2:48" ht="12.95" customHeight="1" x14ac:dyDescent="0.2">
      <c r="B383" s="14"/>
      <c r="C383" s="253" t="s">
        <v>892</v>
      </c>
      <c r="F383" s="253" t="s">
        <v>493</v>
      </c>
      <c r="G383" s="253" t="s">
        <v>432</v>
      </c>
      <c r="H383" s="277"/>
      <c r="I383" s="147"/>
      <c r="J383" s="124"/>
      <c r="K383" s="124"/>
      <c r="L383" s="124"/>
      <c r="M383" s="124"/>
      <c r="N383" s="124"/>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f t="shared" ref="AQ383:AV383" si="211">IF(AQ168&gt;0,AP382,0)</f>
        <v>0</v>
      </c>
      <c r="AR383" s="124">
        <f t="shared" si="211"/>
        <v>0</v>
      </c>
      <c r="AS383" s="124">
        <f t="shared" si="211"/>
        <v>0</v>
      </c>
      <c r="AT383" s="124">
        <f t="shared" si="211"/>
        <v>0</v>
      </c>
      <c r="AU383" s="124">
        <f t="shared" si="211"/>
        <v>0</v>
      </c>
      <c r="AV383" s="124">
        <f t="shared" si="211"/>
        <v>0</v>
      </c>
    </row>
    <row r="384" spans="2:48" ht="12.95" customHeight="1" x14ac:dyDescent="0.2">
      <c r="B384" s="14"/>
      <c r="C384" s="253" t="s">
        <v>893</v>
      </c>
      <c r="F384" s="253" t="s">
        <v>493</v>
      </c>
      <c r="G384" s="253" t="s">
        <v>432</v>
      </c>
      <c r="H384" s="277"/>
      <c r="I384" s="147"/>
      <c r="J384" s="124"/>
      <c r="K384" s="124"/>
      <c r="L384" s="124"/>
      <c r="M384" s="124"/>
      <c r="N384" s="124"/>
      <c r="O384" s="124"/>
      <c r="P384" s="124"/>
      <c r="Q384" s="124"/>
      <c r="R384" s="124"/>
      <c r="S384" s="124"/>
      <c r="T384" s="124"/>
      <c r="U384" s="124"/>
      <c r="V384" s="124"/>
      <c r="W384" s="124"/>
      <c r="X384" s="124"/>
      <c r="Y384" s="124"/>
      <c r="Z384" s="124"/>
      <c r="AA384" s="124"/>
      <c r="AB384" s="124"/>
      <c r="AC384" s="124"/>
      <c r="AD384" s="124"/>
      <c r="AE384" s="124"/>
      <c r="AF384" s="124"/>
      <c r="AG384" s="124"/>
      <c r="AH384" s="124"/>
      <c r="AI384" s="124"/>
      <c r="AJ384" s="124"/>
      <c r="AK384" s="124"/>
      <c r="AL384" s="124"/>
      <c r="AM384" s="124"/>
      <c r="AN384" s="124"/>
      <c r="AO384" s="124"/>
      <c r="AP384" s="124"/>
      <c r="AQ384" s="124"/>
      <c r="AR384" s="124">
        <f>IF(AR169&gt;0,AQ383,0)</f>
        <v>0</v>
      </c>
      <c r="AS384" s="124">
        <f>IF(AS169&gt;0,AR383,0)</f>
        <v>0</v>
      </c>
      <c r="AT384" s="124">
        <f>IF(AT169&gt;0,AS383,0)</f>
        <v>0</v>
      </c>
      <c r="AU384" s="124">
        <f>IF(AU169&gt;0,AT383,0)</f>
        <v>0</v>
      </c>
      <c r="AV384" s="124">
        <f>IF(AV169&gt;0,AU383,0)</f>
        <v>0</v>
      </c>
    </row>
    <row r="385" spans="1:50" ht="12.95" customHeight="1" x14ac:dyDescent="0.2">
      <c r="B385" s="14"/>
      <c r="C385" s="253" t="s">
        <v>894</v>
      </c>
      <c r="F385" s="253" t="s">
        <v>493</v>
      </c>
      <c r="G385" s="253" t="s">
        <v>432</v>
      </c>
      <c r="H385" s="277"/>
      <c r="I385" s="147"/>
      <c r="J385" s="124"/>
      <c r="K385" s="124"/>
      <c r="L385" s="124"/>
      <c r="M385" s="124"/>
      <c r="N385" s="124"/>
      <c r="O385" s="124"/>
      <c r="P385" s="124"/>
      <c r="Q385" s="124"/>
      <c r="R385" s="124"/>
      <c r="S385" s="124"/>
      <c r="T385" s="124"/>
      <c r="U385" s="124"/>
      <c r="V385" s="124"/>
      <c r="W385" s="124"/>
      <c r="X385" s="124"/>
      <c r="Y385" s="124"/>
      <c r="Z385" s="124"/>
      <c r="AA385" s="124"/>
      <c r="AB385" s="124"/>
      <c r="AC385" s="124"/>
      <c r="AD385" s="124"/>
      <c r="AE385" s="124"/>
      <c r="AF385" s="124"/>
      <c r="AG385" s="124"/>
      <c r="AH385" s="124"/>
      <c r="AI385" s="124"/>
      <c r="AJ385" s="124"/>
      <c r="AK385" s="124"/>
      <c r="AL385" s="124"/>
      <c r="AM385" s="124"/>
      <c r="AN385" s="124"/>
      <c r="AO385" s="124"/>
      <c r="AP385" s="124"/>
      <c r="AQ385" s="124"/>
      <c r="AR385" s="124"/>
      <c r="AS385" s="124">
        <f>IF(AS170&gt;0,AR384,0)</f>
        <v>0</v>
      </c>
      <c r="AT385" s="124">
        <f>IF(AT170&gt;0,AS384,0)</f>
        <v>0</v>
      </c>
      <c r="AU385" s="124">
        <f>IF(AU170&gt;0,AT384,0)</f>
        <v>0</v>
      </c>
      <c r="AV385" s="124">
        <f>IF(AV170&gt;0,AU384,0)</f>
        <v>0</v>
      </c>
    </row>
    <row r="386" spans="1:50" ht="12.95" customHeight="1" x14ac:dyDescent="0.2">
      <c r="B386" s="14"/>
      <c r="C386" s="253" t="s">
        <v>895</v>
      </c>
      <c r="F386" s="253" t="s">
        <v>493</v>
      </c>
      <c r="G386" s="253" t="s">
        <v>432</v>
      </c>
      <c r="H386" s="277"/>
      <c r="I386" s="147"/>
      <c r="J386" s="124"/>
      <c r="K386" s="124"/>
      <c r="L386" s="124"/>
      <c r="M386" s="124"/>
      <c r="N386" s="124"/>
      <c r="O386" s="124"/>
      <c r="P386" s="124"/>
      <c r="Q386" s="124"/>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c r="AS386" s="124"/>
      <c r="AT386" s="124">
        <f>IF(AT171&gt;0,AS385,0)</f>
        <v>0</v>
      </c>
      <c r="AU386" s="124">
        <f>IF(AU171&gt;0,AT385,0)</f>
        <v>0</v>
      </c>
      <c r="AV386" s="124">
        <f>IF(AV171&gt;0,AU385,0)</f>
        <v>0</v>
      </c>
    </row>
    <row r="387" spans="1:50" ht="12.95" customHeight="1" x14ac:dyDescent="0.2">
      <c r="B387" s="14"/>
      <c r="C387" s="253" t="s">
        <v>896</v>
      </c>
      <c r="F387" s="253" t="s">
        <v>493</v>
      </c>
      <c r="G387" s="253" t="s">
        <v>432</v>
      </c>
      <c r="H387" s="277"/>
      <c r="I387" s="147"/>
      <c r="J387" s="124"/>
      <c r="K387" s="124"/>
      <c r="L387" s="124"/>
      <c r="M387" s="124"/>
      <c r="N387" s="124"/>
      <c r="O387" s="124"/>
      <c r="P387" s="124"/>
      <c r="Q387" s="124"/>
      <c r="R387" s="124"/>
      <c r="S387" s="124"/>
      <c r="T387" s="124"/>
      <c r="U387" s="124"/>
      <c r="V387" s="124"/>
      <c r="W387" s="124"/>
      <c r="X387" s="124"/>
      <c r="Y387" s="124"/>
      <c r="Z387" s="124"/>
      <c r="AA387" s="124"/>
      <c r="AB387" s="124"/>
      <c r="AC387" s="124"/>
      <c r="AD387" s="124"/>
      <c r="AE387" s="124"/>
      <c r="AF387" s="124"/>
      <c r="AG387" s="124"/>
      <c r="AH387" s="124"/>
      <c r="AI387" s="124"/>
      <c r="AJ387" s="124"/>
      <c r="AK387" s="124"/>
      <c r="AL387" s="124"/>
      <c r="AM387" s="124"/>
      <c r="AN387" s="124"/>
      <c r="AO387" s="124"/>
      <c r="AP387" s="124"/>
      <c r="AQ387" s="124"/>
      <c r="AR387" s="124"/>
      <c r="AS387" s="124"/>
      <c r="AT387" s="124"/>
      <c r="AU387" s="124">
        <f>IF(AU172&gt;0,AT386,0)</f>
        <v>0</v>
      </c>
      <c r="AV387" s="124">
        <f>IF(AV172&gt;0,AU386,0)</f>
        <v>0</v>
      </c>
    </row>
    <row r="388" spans="1:50" ht="12.95" customHeight="1" x14ac:dyDescent="0.2">
      <c r="B388" s="14"/>
      <c r="C388" s="253" t="s">
        <v>897</v>
      </c>
      <c r="F388" s="253" t="s">
        <v>493</v>
      </c>
      <c r="G388" s="253" t="s">
        <v>432</v>
      </c>
      <c r="H388" s="277"/>
      <c r="I388" s="147"/>
      <c r="J388" s="124"/>
      <c r="K388" s="124"/>
      <c r="L388" s="124"/>
      <c r="M388" s="124"/>
      <c r="N388" s="124"/>
      <c r="O388" s="124"/>
      <c r="P388" s="124"/>
      <c r="Q388" s="124"/>
      <c r="R388" s="124"/>
      <c r="S388" s="124"/>
      <c r="T388" s="124"/>
      <c r="U388" s="124"/>
      <c r="V388" s="124"/>
      <c r="W388" s="124"/>
      <c r="X388" s="124"/>
      <c r="Y388" s="124"/>
      <c r="Z388" s="124"/>
      <c r="AA388" s="124"/>
      <c r="AB388" s="124"/>
      <c r="AC388" s="124"/>
      <c r="AD388" s="124"/>
      <c r="AE388" s="124"/>
      <c r="AF388" s="124"/>
      <c r="AG388" s="124"/>
      <c r="AH388" s="124"/>
      <c r="AI388" s="124"/>
      <c r="AJ388" s="124"/>
      <c r="AK388" s="124"/>
      <c r="AL388" s="124"/>
      <c r="AM388" s="124"/>
      <c r="AN388" s="124"/>
      <c r="AO388" s="124"/>
      <c r="AP388" s="124"/>
      <c r="AQ388" s="124"/>
      <c r="AR388" s="124"/>
      <c r="AS388" s="124"/>
      <c r="AT388" s="124"/>
      <c r="AU388" s="124"/>
      <c r="AV388" s="124">
        <f>IF(AV173&gt;0,AU387,0)</f>
        <v>0</v>
      </c>
    </row>
    <row r="389" spans="1:50" ht="12.95" customHeight="1" x14ac:dyDescent="0.2">
      <c r="C389" s="253" t="s">
        <v>972</v>
      </c>
      <c r="F389" s="253" t="s">
        <v>493</v>
      </c>
      <c r="G389" s="253" t="s">
        <v>432</v>
      </c>
      <c r="H389" s="124"/>
      <c r="I389" s="124">
        <f t="shared" ref="I389:AV389" si="212">SUM(I349:I388)</f>
        <v>69884.035963081726</v>
      </c>
      <c r="J389" s="124">
        <f t="shared" si="212"/>
        <v>111814.45754093077</v>
      </c>
      <c r="K389" s="124">
        <f t="shared" si="212"/>
        <v>147455.31588210247</v>
      </c>
      <c r="L389" s="124">
        <f t="shared" si="212"/>
        <v>177750.0454720984</v>
      </c>
      <c r="M389" s="124">
        <f t="shared" si="212"/>
        <v>203500.56562359494</v>
      </c>
      <c r="N389" s="124">
        <f t="shared" si="212"/>
        <v>225388.50775236703</v>
      </c>
      <c r="O389" s="124">
        <f t="shared" si="212"/>
        <v>243993.25856182328</v>
      </c>
      <c r="P389" s="124">
        <f t="shared" si="212"/>
        <v>259807.2967498611</v>
      </c>
      <c r="Q389" s="124">
        <f t="shared" si="212"/>
        <v>273249.22920969321</v>
      </c>
      <c r="R389" s="124">
        <f t="shared" si="212"/>
        <v>284674.87180055055</v>
      </c>
      <c r="S389" s="124">
        <f t="shared" si="212"/>
        <v>294386.6680027793</v>
      </c>
      <c r="T389" s="124">
        <f t="shared" si="212"/>
        <v>294386.6680027793</v>
      </c>
      <c r="U389" s="124">
        <f t="shared" si="212"/>
        <v>294386.6680027793</v>
      </c>
      <c r="V389" s="124">
        <f t="shared" si="212"/>
        <v>294386.6680027793</v>
      </c>
      <c r="W389" s="124">
        <f t="shared" si="212"/>
        <v>294386.6680027793</v>
      </c>
      <c r="X389" s="124">
        <f t="shared" si="212"/>
        <v>294386.6680027793</v>
      </c>
      <c r="Y389" s="124">
        <f t="shared" si="212"/>
        <v>294386.6680027793</v>
      </c>
      <c r="Z389" s="124">
        <f t="shared" si="212"/>
        <v>294386.6680027793</v>
      </c>
      <c r="AA389" s="124">
        <f t="shared" si="212"/>
        <v>294386.6680027793</v>
      </c>
      <c r="AB389" s="124">
        <f t="shared" si="212"/>
        <v>294386.6680027793</v>
      </c>
      <c r="AC389" s="124">
        <f t="shared" si="212"/>
        <v>294386.6680027793</v>
      </c>
      <c r="AD389" s="124">
        <f t="shared" si="212"/>
        <v>294386.6680027793</v>
      </c>
      <c r="AE389" s="124">
        <f t="shared" si="212"/>
        <v>294386.6680027793</v>
      </c>
      <c r="AF389" s="124">
        <f t="shared" si="212"/>
        <v>294386.6680027793</v>
      </c>
      <c r="AG389" s="124">
        <f t="shared" si="212"/>
        <v>294386.6680027793</v>
      </c>
      <c r="AH389" s="124">
        <f t="shared" si="212"/>
        <v>294386.6680027793</v>
      </c>
      <c r="AI389" s="124">
        <f t="shared" si="212"/>
        <v>294386.66800277925</v>
      </c>
      <c r="AJ389" s="124">
        <f t="shared" si="212"/>
        <v>294386.66800277925</v>
      </c>
      <c r="AK389" s="124">
        <f t="shared" si="212"/>
        <v>294386.66800277925</v>
      </c>
      <c r="AL389" s="124">
        <f t="shared" si="212"/>
        <v>294386.6680027793</v>
      </c>
      <c r="AM389" s="124">
        <f t="shared" si="212"/>
        <v>294386.6680027793</v>
      </c>
      <c r="AN389" s="124">
        <f t="shared" si="212"/>
        <v>294386.6680027793</v>
      </c>
      <c r="AO389" s="124">
        <f t="shared" si="212"/>
        <v>294386.6680027793</v>
      </c>
      <c r="AP389" s="124">
        <f t="shared" si="212"/>
        <v>294386.66800277936</v>
      </c>
      <c r="AQ389" s="124">
        <f t="shared" si="212"/>
        <v>294386.6680027793</v>
      </c>
      <c r="AR389" s="124">
        <f t="shared" si="212"/>
        <v>294386.6680027793</v>
      </c>
      <c r="AS389" s="124">
        <f t="shared" si="212"/>
        <v>294386.6680027793</v>
      </c>
      <c r="AT389" s="124">
        <f t="shared" si="212"/>
        <v>294386.6680027793</v>
      </c>
      <c r="AU389" s="124">
        <f t="shared" si="212"/>
        <v>294386.6680027793</v>
      </c>
      <c r="AV389" s="124">
        <f t="shared" si="212"/>
        <v>294386.6680027793</v>
      </c>
    </row>
    <row r="390" spans="1:50" ht="12.95" customHeight="1" x14ac:dyDescent="0.2">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row>
    <row r="391" spans="1:50" ht="12.95" customHeight="1" x14ac:dyDescent="0.2">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row>
    <row r="392" spans="1:50" ht="12.95" customHeight="1" x14ac:dyDescent="0.2">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row>
    <row r="393" spans="1:50" ht="12.95" customHeight="1" x14ac:dyDescent="0.2">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row>
    <row r="394" spans="1:50" ht="12.95" customHeight="1" x14ac:dyDescent="0.2">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row>
    <row r="395" spans="1:50" ht="12.95" customHeight="1" x14ac:dyDescent="0.2">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row>
    <row r="396" spans="1:50" ht="12.95" customHeight="1" x14ac:dyDescent="0.2">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row>
    <row r="397" spans="1:50" ht="12.95" customHeight="1" x14ac:dyDescent="0.2">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row>
    <row r="398" spans="1:50" s="170" customFormat="1" ht="12.95" customHeight="1" x14ac:dyDescent="0.2">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row>
    <row r="399" spans="1:50" ht="12.95" customHeight="1" x14ac:dyDescent="0.2">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row>
    <row r="400" spans="1:50" ht="12.95" customHeight="1" x14ac:dyDescent="0.2">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row>
    <row r="401" spans="1:50" ht="12.95" customHeight="1" x14ac:dyDescent="0.2">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row>
    <row r="402" spans="1:50" ht="12.95" customHeight="1" x14ac:dyDescent="0.2">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row>
    <row r="403" spans="1:50" ht="12.95" customHeight="1" x14ac:dyDescent="0.2">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row>
    <row r="404" spans="1:50" ht="12.95" customHeight="1" x14ac:dyDescent="0.2">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row>
    <row r="405" spans="1:50" ht="12.95" customHeight="1" x14ac:dyDescent="0.2">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row>
    <row r="406" spans="1:50" ht="12.95" customHeight="1" x14ac:dyDescent="0.2">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row>
    <row r="407" spans="1:50" ht="12.95" customHeight="1" x14ac:dyDescent="0.2">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row>
    <row r="408" spans="1:50" ht="12.95" customHeight="1" x14ac:dyDescent="0.2">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row>
    <row r="409" spans="1:50" ht="12.95" customHeight="1" x14ac:dyDescent="0.2">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row>
    <row r="410" spans="1:50" ht="12.95" customHeight="1" x14ac:dyDescent="0.2">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row>
    <row r="411" spans="1:50" ht="12.95" customHeight="1" x14ac:dyDescent="0.2">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row>
    <row r="412" spans="1:50" ht="12.95" customHeight="1" x14ac:dyDescent="0.2">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row>
    <row r="413" spans="1:50" ht="12.95" customHeight="1" x14ac:dyDescent="0.2">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row>
    <row r="414" spans="1:50" ht="12.95" customHeight="1" x14ac:dyDescent="0.2">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row>
    <row r="415" spans="1:50" ht="12.95" customHeight="1" x14ac:dyDescent="0.2">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row>
    <row r="416" spans="1:50" ht="12.95" customHeight="1" x14ac:dyDescent="0.2">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row>
    <row r="417" spans="1:50" ht="12.95" customHeight="1" x14ac:dyDescent="0.2">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row>
    <row r="418" spans="1:50" ht="12.95" customHeight="1" x14ac:dyDescent="0.2">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row>
    <row r="419" spans="1:50" ht="12.95" customHeight="1" x14ac:dyDescent="0.2">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row>
    <row r="420" spans="1:50" ht="12.95" customHeight="1" x14ac:dyDescent="0.2">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row>
    <row r="421" spans="1:50" ht="12.95" customHeight="1" x14ac:dyDescent="0.2">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row>
    <row r="422" spans="1:50" ht="12.95" customHeight="1" x14ac:dyDescent="0.2">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row>
    <row r="423" spans="1:50" ht="12.95" customHeight="1" x14ac:dyDescent="0.2">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row>
    <row r="424" spans="1:50" ht="12.95" customHeight="1" x14ac:dyDescent="0.2">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row>
    <row r="425" spans="1:50" ht="12.95" customHeight="1" x14ac:dyDescent="0.2">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row>
    <row r="426" spans="1:50" ht="12.95" customHeight="1" x14ac:dyDescent="0.2">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row>
    <row r="427" spans="1:50" ht="12.95" customHeight="1" x14ac:dyDescent="0.2">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row>
    <row r="428" spans="1:50" ht="12.95" customHeight="1" x14ac:dyDescent="0.2">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row>
    <row r="429" spans="1:50" ht="12.95" customHeight="1" x14ac:dyDescent="0.2">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row>
    <row r="430" spans="1:50" ht="12.95" customHeight="1" x14ac:dyDescent="0.2">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row>
    <row r="431" spans="1:50" ht="12.95" customHeight="1" x14ac:dyDescent="0.2">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row>
    <row r="432" spans="1:50" ht="12.95" customHeight="1" x14ac:dyDescent="0.2">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row>
    <row r="433" spans="1:50" ht="12.95" customHeight="1" x14ac:dyDescent="0.2">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row>
    <row r="434" spans="1:50" ht="12.95" customHeight="1" x14ac:dyDescent="0.2">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row>
    <row r="435" spans="1:50" ht="12.95" customHeight="1" x14ac:dyDescent="0.2">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row>
    <row r="436" spans="1:50" ht="12.95" customHeight="1" x14ac:dyDescent="0.2">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row>
    <row r="437" spans="1:50" ht="12.95" customHeight="1" x14ac:dyDescent="0.2">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row>
    <row r="438" spans="1:50" ht="12.95" customHeight="1" x14ac:dyDescent="0.2">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row>
    <row r="439" spans="1:50" ht="12.95" customHeight="1" x14ac:dyDescent="0.2">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row>
    <row r="440" spans="1:50" ht="12.95" customHeight="1" x14ac:dyDescent="0.2">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row>
    <row r="441" spans="1:50" ht="12.95" customHeight="1" x14ac:dyDescent="0.2">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row>
    <row r="442" spans="1:50" ht="12.95" customHeight="1" x14ac:dyDescent="0.2">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row>
    <row r="443" spans="1:50" ht="12.95" customHeight="1" x14ac:dyDescent="0.2">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row>
    <row r="444" spans="1:50" ht="12.95" customHeight="1" x14ac:dyDescent="0.2">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row>
    <row r="445" spans="1:50" ht="12.95" customHeight="1" x14ac:dyDescent="0.2">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row>
    <row r="446" spans="1:50" ht="12.95" customHeight="1" x14ac:dyDescent="0.2">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row>
    <row r="447" spans="1:50" ht="12.95" customHeight="1" x14ac:dyDescent="0.2">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row>
    <row r="448" spans="1:50" ht="12.95" customHeight="1" x14ac:dyDescent="0.2">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row>
    <row r="449" spans="1:50" ht="12.95" customHeight="1" x14ac:dyDescent="0.2">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row>
    <row r="450" spans="1:50" ht="12.95" customHeight="1" x14ac:dyDescent="0.2">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row>
    <row r="451" spans="1:50" ht="12.95" customHeight="1" x14ac:dyDescent="0.2">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row>
    <row r="452" spans="1:50" ht="12.95" customHeight="1" x14ac:dyDescent="0.2">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row>
    <row r="453" spans="1:50" ht="12.95" customHeight="1" x14ac:dyDescent="0.2">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row>
    <row r="454" spans="1:50" ht="12.95" customHeight="1" x14ac:dyDescent="0.2">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row>
    <row r="455" spans="1:50" ht="12.95" customHeight="1" x14ac:dyDescent="0.2">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row>
    <row r="456" spans="1:50" ht="12.95" customHeight="1" x14ac:dyDescent="0.2">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row>
    <row r="457" spans="1:50" ht="12.95" customHeight="1" x14ac:dyDescent="0.2">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row>
    <row r="458" spans="1:50" ht="12.95" customHeight="1" x14ac:dyDescent="0.2">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row>
    <row r="459" spans="1:50" ht="12.95" customHeight="1" x14ac:dyDescent="0.2">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row>
    <row r="460" spans="1:50" ht="12.95" customHeight="1" x14ac:dyDescent="0.2">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row>
    <row r="461" spans="1:50" ht="12.95" customHeight="1" x14ac:dyDescent="0.2">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row>
    <row r="462" spans="1:50" ht="12.95" customHeight="1" x14ac:dyDescent="0.2">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row>
    <row r="463" spans="1:50" ht="12.95" customHeight="1" x14ac:dyDescent="0.2">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row>
    <row r="464" spans="1:50" ht="12.95" customHeight="1" x14ac:dyDescent="0.2">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row>
    <row r="465" spans="1:50" ht="12.95" customHeight="1" x14ac:dyDescent="0.2">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row>
    <row r="466" spans="1:50" ht="12.95" customHeight="1" x14ac:dyDescent="0.2">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row>
    <row r="467" spans="1:50" ht="12.95" customHeight="1" x14ac:dyDescent="0.2">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row>
    <row r="468" spans="1:50" ht="12.95" customHeight="1" x14ac:dyDescent="0.2">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row>
    <row r="469" spans="1:50" ht="12.95" customHeight="1" x14ac:dyDescent="0.2">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row>
    <row r="470" spans="1:50" ht="12.95" customHeight="1" x14ac:dyDescent="0.2">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row>
    <row r="471" spans="1:50" ht="12.95" customHeight="1" x14ac:dyDescent="0.2">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row>
    <row r="472" spans="1:50" ht="12.95" customHeight="1" x14ac:dyDescent="0.2">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row>
    <row r="473" spans="1:50" ht="12.95" customHeight="1" x14ac:dyDescent="0.2">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row>
    <row r="474" spans="1:50" ht="12.95" customHeight="1" x14ac:dyDescent="0.2">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row>
    <row r="475" spans="1:50" ht="12.95" customHeight="1" x14ac:dyDescent="0.2">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row>
    <row r="476" spans="1:50" ht="12.95" customHeight="1" x14ac:dyDescent="0.2">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row>
    <row r="477" spans="1:50" ht="12.95" customHeight="1" x14ac:dyDescent="0.2">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row>
    <row r="478" spans="1:50" ht="12.95" customHeight="1" x14ac:dyDescent="0.2">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row>
    <row r="479" spans="1:50" ht="12.95" customHeight="1" x14ac:dyDescent="0.2">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row>
    <row r="480" spans="1:50" ht="12.95" customHeight="1" x14ac:dyDescent="0.2">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row>
    <row r="481" spans="1:50" ht="12.95" customHeight="1" x14ac:dyDescent="0.2">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row>
    <row r="482" spans="1:50" ht="12.95" customHeight="1" x14ac:dyDescent="0.2">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row>
    <row r="483" spans="1:50" ht="12.95" customHeight="1" x14ac:dyDescent="0.2">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row>
    <row r="484" spans="1:50" ht="12.95" customHeight="1" x14ac:dyDescent="0.2">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row>
    <row r="485" spans="1:50" ht="12.95" customHeight="1" x14ac:dyDescent="0.2">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row>
    <row r="486" spans="1:50" ht="12.95" customHeight="1" x14ac:dyDescent="0.2">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row>
    <row r="487" spans="1:50" ht="12.95" customHeight="1" x14ac:dyDescent="0.2">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row>
    <row r="488" spans="1:50" ht="12.95" customHeight="1" x14ac:dyDescent="0.2">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row>
    <row r="489" spans="1:50" ht="12.95" customHeight="1" x14ac:dyDescent="0.2">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row>
    <row r="490" spans="1:50" ht="12.95" customHeight="1" x14ac:dyDescent="0.2">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row>
    <row r="491" spans="1:50" ht="12.95" customHeight="1" x14ac:dyDescent="0.2">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row>
    <row r="492" spans="1:50" ht="12.95" customHeight="1" x14ac:dyDescent="0.2">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row>
    <row r="493" spans="1:50" ht="12.95" customHeight="1" x14ac:dyDescent="0.2">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row>
    <row r="494" spans="1:50" ht="12.95" customHeight="1" x14ac:dyDescent="0.2">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row>
    <row r="495" spans="1:50" ht="12.95" customHeight="1" x14ac:dyDescent="0.2">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row>
    <row r="496" spans="1:50" ht="12.95" customHeight="1" x14ac:dyDescent="0.2">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row>
    <row r="497" spans="1:50" ht="12.95" customHeight="1" x14ac:dyDescent="0.2">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row>
    <row r="498" spans="1:50" ht="12.95" customHeight="1" x14ac:dyDescent="0.2">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row>
    <row r="499" spans="1:50" ht="12.95" customHeight="1" x14ac:dyDescent="0.2">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row>
    <row r="500" spans="1:50" ht="12.95" customHeight="1" x14ac:dyDescent="0.2">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row>
    <row r="501" spans="1:50" ht="12.95" customHeight="1" x14ac:dyDescent="0.2">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row>
    <row r="502" spans="1:50" ht="12.95" customHeight="1" x14ac:dyDescent="0.2">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row>
    <row r="503" spans="1:50" ht="12.95" customHeight="1" x14ac:dyDescent="0.2">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row>
    <row r="504" spans="1:50" ht="12.95" customHeight="1" x14ac:dyDescent="0.2">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row>
    <row r="505" spans="1:50" ht="12.95" customHeight="1" x14ac:dyDescent="0.2">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row>
    <row r="506" spans="1:50" ht="12.95" customHeight="1" x14ac:dyDescent="0.2">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row>
    <row r="507" spans="1:50" ht="12.95" customHeight="1" x14ac:dyDescent="0.2">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row>
    <row r="508" spans="1:50" ht="12.95" customHeight="1" x14ac:dyDescent="0.2">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row>
    <row r="509" spans="1:50" ht="12.95" customHeight="1" x14ac:dyDescent="0.2">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row>
    <row r="510" spans="1:50" ht="12.95" customHeight="1" x14ac:dyDescent="0.2">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row>
    <row r="511" spans="1:50" ht="12.95" customHeight="1" x14ac:dyDescent="0.2">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row>
    <row r="512" spans="1:50" ht="12.95" customHeight="1" x14ac:dyDescent="0.2">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row>
    <row r="513" spans="1:50" ht="12.95" customHeight="1" x14ac:dyDescent="0.2">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row>
    <row r="514" spans="1:50" ht="12.95" customHeight="1" x14ac:dyDescent="0.2">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row>
    <row r="515" spans="1:50" ht="12.95" customHeight="1" x14ac:dyDescent="0.2">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row>
    <row r="516" spans="1:50" ht="12.95" customHeight="1" x14ac:dyDescent="0.2">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row>
    <row r="517" spans="1:50" ht="12.95" customHeight="1" x14ac:dyDescent="0.2">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row>
    <row r="518" spans="1:50" ht="12.95" customHeight="1" x14ac:dyDescent="0.2">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row>
    <row r="519" spans="1:50" ht="12.95" customHeight="1" x14ac:dyDescent="0.2">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row>
    <row r="520" spans="1:50" ht="12.95" customHeight="1" x14ac:dyDescent="0.2">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row>
    <row r="521" spans="1:50" ht="12.95" customHeight="1" x14ac:dyDescent="0.2">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row>
    <row r="522" spans="1:50" ht="12.95" customHeight="1" x14ac:dyDescent="0.2">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row>
    <row r="523" spans="1:50" ht="12.95" customHeight="1" x14ac:dyDescent="0.2">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row>
    <row r="524" spans="1:50" ht="12.95" customHeight="1" x14ac:dyDescent="0.2">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row>
    <row r="525" spans="1:50" ht="12.95" customHeight="1" x14ac:dyDescent="0.2">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row>
    <row r="526" spans="1:50" ht="12.95" customHeight="1" x14ac:dyDescent="0.2">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row>
    <row r="527" spans="1:50" ht="12.95" customHeight="1" x14ac:dyDescent="0.2">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row>
    <row r="528" spans="1:50" ht="12.95" customHeight="1" x14ac:dyDescent="0.2">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row>
    <row r="529" spans="1:50" ht="12.95" customHeight="1" x14ac:dyDescent="0.2">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row>
    <row r="530" spans="1:50" ht="12.95" customHeight="1" x14ac:dyDescent="0.2">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row>
    <row r="531" spans="1:50" ht="12.95" customHeight="1" x14ac:dyDescent="0.2">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row>
    <row r="532" spans="1:50" ht="12.95" customHeight="1" x14ac:dyDescent="0.2">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row>
    <row r="533" spans="1:50" ht="12.95" customHeight="1" x14ac:dyDescent="0.2">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row>
    <row r="534" spans="1:50" ht="12.95" customHeight="1" x14ac:dyDescent="0.2">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row>
    <row r="535" spans="1:50" ht="12.95" customHeight="1" x14ac:dyDescent="0.2">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row>
    <row r="536" spans="1:50" ht="12.95" customHeight="1" x14ac:dyDescent="0.2">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row>
    <row r="537" spans="1:50" ht="12.95" customHeight="1" x14ac:dyDescent="0.2">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row>
    <row r="538" spans="1:50" ht="12.95" customHeight="1" x14ac:dyDescent="0.2">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row>
    <row r="539" spans="1:50" ht="12.95" customHeight="1" x14ac:dyDescent="0.2">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row>
    <row r="540" spans="1:50" ht="12.95" customHeight="1" x14ac:dyDescent="0.2">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row>
    <row r="541" spans="1:50" ht="12.95" customHeight="1" x14ac:dyDescent="0.2">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row>
    <row r="542" spans="1:50" ht="12.95" customHeight="1" x14ac:dyDescent="0.2">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row>
    <row r="543" spans="1:50" ht="12.95" customHeight="1" x14ac:dyDescent="0.2">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row>
    <row r="544" spans="1:50" ht="12.95" customHeight="1" x14ac:dyDescent="0.2">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row>
    <row r="545" spans="1:50" ht="12.95" customHeight="1" x14ac:dyDescent="0.2">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row>
    <row r="546" spans="1:50" ht="12.95" customHeight="1" x14ac:dyDescent="0.2">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row>
    <row r="547" spans="1:50" ht="12.95" customHeight="1" x14ac:dyDescent="0.2">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row>
    <row r="548" spans="1:50" ht="12.95" customHeight="1" x14ac:dyDescent="0.2">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row>
    <row r="549" spans="1:50" ht="12.95" customHeight="1" x14ac:dyDescent="0.2">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row>
    <row r="550" spans="1:50" ht="12.95" customHeight="1" x14ac:dyDescent="0.2">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row>
    <row r="551" spans="1:50" ht="12.95" customHeight="1" x14ac:dyDescent="0.2">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row>
    <row r="552" spans="1:50" ht="12.95" customHeight="1" x14ac:dyDescent="0.2">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row>
    <row r="553" spans="1:50" ht="12.95" customHeight="1" x14ac:dyDescent="0.2">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row>
    <row r="554" spans="1:50" ht="12.95" customHeight="1" x14ac:dyDescent="0.2">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row>
    <row r="555" spans="1:50" ht="12.95" customHeight="1" x14ac:dyDescent="0.2">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row>
    <row r="556" spans="1:50" ht="12.95" customHeight="1" x14ac:dyDescent="0.2">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row>
    <row r="557" spans="1:50" ht="12.95" customHeight="1" x14ac:dyDescent="0.2">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row>
    <row r="558" spans="1:50" ht="12.95" customHeight="1" x14ac:dyDescent="0.2">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row>
    <row r="559" spans="1:50" ht="12.95" customHeight="1" x14ac:dyDescent="0.2">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row>
    <row r="560" spans="1:50" ht="12.95" customHeight="1" x14ac:dyDescent="0.2">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row>
    <row r="561" spans="1:50" ht="12.95" customHeight="1" x14ac:dyDescent="0.2">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row>
    <row r="562" spans="1:50" ht="12.95" customHeight="1" x14ac:dyDescent="0.2">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row>
    <row r="563" spans="1:50" ht="12.95" customHeight="1" x14ac:dyDescent="0.2">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row>
    <row r="564" spans="1:50" ht="12.95" customHeight="1" x14ac:dyDescent="0.2">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row>
    <row r="565" spans="1:50" ht="12.95" customHeight="1" x14ac:dyDescent="0.2">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row>
    <row r="566" spans="1:50" ht="12.95" customHeight="1" x14ac:dyDescent="0.2">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row>
    <row r="567" spans="1:50" ht="12.95" customHeight="1" x14ac:dyDescent="0.2">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row>
    <row r="568" spans="1:50" ht="12.95" customHeight="1" x14ac:dyDescent="0.2">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row>
    <row r="569" spans="1:50" ht="12.95" customHeight="1" x14ac:dyDescent="0.2">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row>
    <row r="570" spans="1:50" ht="12.95" customHeight="1" x14ac:dyDescent="0.2">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row>
    <row r="571" spans="1:50" ht="12.95" customHeight="1" x14ac:dyDescent="0.2">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row>
    <row r="572" spans="1:50" ht="12.95" customHeight="1" x14ac:dyDescent="0.2">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row>
    <row r="573" spans="1:50" ht="12.95" customHeight="1" x14ac:dyDescent="0.2">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row>
    <row r="574" spans="1:50" ht="12.95" customHeight="1" x14ac:dyDescent="0.2">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row>
    <row r="575" spans="1:50" ht="12.95" customHeight="1" x14ac:dyDescent="0.2">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row>
    <row r="576" spans="1:50" ht="12.95" customHeight="1" x14ac:dyDescent="0.2">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row>
    <row r="577" spans="1:50" ht="12.95" customHeight="1" x14ac:dyDescent="0.2">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row>
    <row r="578" spans="1:50" ht="12.95" customHeight="1" x14ac:dyDescent="0.2">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row>
    <row r="579" spans="1:50" ht="12.95" customHeight="1" x14ac:dyDescent="0.2">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row>
    <row r="580" spans="1:50" ht="12.95" customHeight="1" x14ac:dyDescent="0.2">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row>
    <row r="581" spans="1:50" ht="12.95" customHeight="1" x14ac:dyDescent="0.2">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row>
    <row r="582" spans="1:50" ht="12.95" customHeight="1" x14ac:dyDescent="0.2">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row>
    <row r="583" spans="1:50" ht="12.95" customHeight="1" x14ac:dyDescent="0.2">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row>
    <row r="584" spans="1:50" ht="12.95" customHeight="1" x14ac:dyDescent="0.2">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row>
    <row r="585" spans="1:50" ht="12.95" customHeight="1" x14ac:dyDescent="0.2">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row>
    <row r="586" spans="1:50" ht="12.95" customHeight="1" x14ac:dyDescent="0.2">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row>
    <row r="587" spans="1:50" ht="12.95" customHeight="1" x14ac:dyDescent="0.2">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row>
    <row r="588" spans="1:50" ht="12.95" customHeight="1" x14ac:dyDescent="0.2">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row>
    <row r="589" spans="1:50" ht="12.95" customHeight="1" x14ac:dyDescent="0.2">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row>
    <row r="590" spans="1:50" ht="12.95" customHeight="1" x14ac:dyDescent="0.2">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row>
    <row r="591" spans="1:50" ht="12.95" customHeight="1" x14ac:dyDescent="0.2">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row>
    <row r="592" spans="1:50" ht="12.95" customHeight="1" x14ac:dyDescent="0.2">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row>
    <row r="593" spans="1:50" ht="12.95" customHeight="1" x14ac:dyDescent="0.2">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row>
    <row r="594" spans="1:50" ht="12.95" customHeight="1" x14ac:dyDescent="0.2">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row>
    <row r="595" spans="1:50" ht="12.95" customHeight="1" x14ac:dyDescent="0.2">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row>
    <row r="596" spans="1:50" ht="12.95" customHeight="1" x14ac:dyDescent="0.2">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row>
    <row r="597" spans="1:50" ht="12.95" customHeight="1" x14ac:dyDescent="0.2">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row>
    <row r="598" spans="1:50" ht="12.95" customHeight="1" x14ac:dyDescent="0.2">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row>
    <row r="599" spans="1:50" ht="12.95" customHeight="1" x14ac:dyDescent="0.2">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row>
    <row r="600" spans="1:50" ht="12.95" customHeight="1" x14ac:dyDescent="0.2">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row>
    <row r="601" spans="1:50" ht="12.95" customHeight="1" x14ac:dyDescent="0.2">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row>
    <row r="602" spans="1:50" ht="12.95" customHeight="1" x14ac:dyDescent="0.2">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row>
    <row r="603" spans="1:50" ht="12.95" customHeight="1" x14ac:dyDescent="0.2">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row>
    <row r="604" spans="1:50" ht="12.95" customHeight="1" x14ac:dyDescent="0.2">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row>
    <row r="605" spans="1:50" ht="12.95" customHeight="1" x14ac:dyDescent="0.2">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row>
    <row r="606" spans="1:50" ht="12.95" customHeight="1" x14ac:dyDescent="0.2">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row>
    <row r="607" spans="1:50" ht="12.95" customHeight="1" x14ac:dyDescent="0.2">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row>
    <row r="608" spans="1:50" ht="12.95" customHeight="1" x14ac:dyDescent="0.2">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row>
    <row r="609" spans="1:50" ht="12.95" customHeight="1" x14ac:dyDescent="0.2">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row>
    <row r="610" spans="1:50" ht="12.95" customHeight="1" x14ac:dyDescent="0.2">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row>
    <row r="611" spans="1:50" ht="12.95" customHeight="1" x14ac:dyDescent="0.2">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row>
    <row r="612" spans="1:50" ht="12.95" customHeight="1" x14ac:dyDescent="0.2">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row>
    <row r="613" spans="1:50" ht="12.95" customHeight="1" x14ac:dyDescent="0.2">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row>
    <row r="614" spans="1:50" ht="12.95" customHeight="1" x14ac:dyDescent="0.2">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row>
    <row r="615" spans="1:50" ht="12.95" customHeight="1" x14ac:dyDescent="0.2">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row>
    <row r="616" spans="1:50" ht="12.95" customHeight="1" x14ac:dyDescent="0.2">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row>
    <row r="617" spans="1:50" ht="12.95" customHeight="1" x14ac:dyDescent="0.2">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row>
    <row r="618" spans="1:50" ht="12.95" customHeight="1" x14ac:dyDescent="0.2">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row>
    <row r="619" spans="1:50" ht="12.95" customHeight="1" x14ac:dyDescent="0.2">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row>
    <row r="620" spans="1:50" ht="12.95" customHeight="1" x14ac:dyDescent="0.2">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row>
    <row r="621" spans="1:50" ht="12.95" customHeight="1" x14ac:dyDescent="0.2">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row>
    <row r="622" spans="1:50" ht="12.95" customHeight="1" x14ac:dyDescent="0.2">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row>
    <row r="623" spans="1:50" ht="12.95" customHeight="1" x14ac:dyDescent="0.2">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row>
    <row r="624" spans="1:50" ht="12.95" customHeight="1" x14ac:dyDescent="0.2">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row>
    <row r="625" spans="1:50" ht="12.95" customHeight="1" x14ac:dyDescent="0.2">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row>
    <row r="626" spans="1:50" ht="12.95" customHeight="1" x14ac:dyDescent="0.2">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row>
    <row r="627" spans="1:50" ht="12.95" customHeight="1" x14ac:dyDescent="0.2">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row>
    <row r="628" spans="1:50" ht="12.95" customHeight="1" x14ac:dyDescent="0.2">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row>
    <row r="629" spans="1:50" ht="12.95" customHeight="1" x14ac:dyDescent="0.2">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row>
    <row r="630" spans="1:50" ht="12.95" customHeight="1" x14ac:dyDescent="0.2">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row>
    <row r="631" spans="1:50" ht="12.95" customHeight="1" x14ac:dyDescent="0.2">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row>
    <row r="632" spans="1:50" ht="12.95" customHeight="1" x14ac:dyDescent="0.2">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row>
    <row r="633" spans="1:50" ht="12.95" customHeight="1" x14ac:dyDescent="0.2">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row>
    <row r="634" spans="1:50" ht="12.95" customHeight="1" x14ac:dyDescent="0.2">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row>
    <row r="635" spans="1:50" ht="12.95" customHeight="1" x14ac:dyDescent="0.2">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row>
    <row r="636" spans="1:50" ht="12.95" customHeight="1" x14ac:dyDescent="0.2">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row>
    <row r="637" spans="1:50" ht="12.95" customHeight="1" x14ac:dyDescent="0.2">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row>
    <row r="638" spans="1:50" ht="12.95" customHeight="1" x14ac:dyDescent="0.2">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row>
    <row r="639" spans="1:50" ht="12.95" customHeight="1" x14ac:dyDescent="0.2">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row>
    <row r="640" spans="1:50" ht="12.95" customHeight="1" x14ac:dyDescent="0.2">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row>
    <row r="641" spans="1:50" ht="12.95" customHeight="1" x14ac:dyDescent="0.2">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row>
    <row r="642" spans="1:50" ht="12.95" customHeight="1" x14ac:dyDescent="0.2">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row>
    <row r="643" spans="1:50" ht="12.95" customHeight="1" x14ac:dyDescent="0.2">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row>
    <row r="644" spans="1:50" ht="12.95" customHeight="1" x14ac:dyDescent="0.2">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row>
    <row r="645" spans="1:50" ht="12.95" customHeight="1" x14ac:dyDescent="0.2">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row>
    <row r="646" spans="1:50" ht="12.95" customHeight="1" x14ac:dyDescent="0.2">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row>
    <row r="647" spans="1:50" ht="12.95" customHeight="1" x14ac:dyDescent="0.2">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row>
    <row r="648" spans="1:50" ht="12.95" customHeight="1" x14ac:dyDescent="0.2">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row>
    <row r="649" spans="1:50" ht="12.95" customHeight="1" x14ac:dyDescent="0.2">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row>
    <row r="650" spans="1:50" ht="12.95" customHeight="1" x14ac:dyDescent="0.2">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row>
    <row r="651" spans="1:50" ht="12.95" customHeight="1" x14ac:dyDescent="0.2">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row>
    <row r="652" spans="1:50" ht="12.95" customHeight="1" x14ac:dyDescent="0.2">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row>
    <row r="653" spans="1:50" ht="12.95" customHeight="1" x14ac:dyDescent="0.2">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row>
    <row r="654" spans="1:50" ht="12.95" customHeight="1" x14ac:dyDescent="0.2">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row>
    <row r="655" spans="1:50" ht="12.95" customHeight="1" x14ac:dyDescent="0.2">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row>
    <row r="656" spans="1:50" ht="12.95" customHeight="1" x14ac:dyDescent="0.2">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row>
    <row r="657" spans="1:50" ht="12.95" customHeight="1" x14ac:dyDescent="0.2">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row>
    <row r="658" spans="1:50" ht="12.95" customHeight="1" x14ac:dyDescent="0.2">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row>
    <row r="659" spans="1:50" ht="12.95" customHeight="1" x14ac:dyDescent="0.2">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row>
    <row r="660" spans="1:50" ht="12.95" customHeight="1" x14ac:dyDescent="0.2">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row>
    <row r="661" spans="1:50" ht="12.95" customHeight="1" x14ac:dyDescent="0.2">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row>
    <row r="662" spans="1:50" ht="12.95" customHeight="1" x14ac:dyDescent="0.2">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row>
    <row r="663" spans="1:50" ht="12.95" customHeight="1" x14ac:dyDescent="0.2">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row>
    <row r="664" spans="1:50" ht="12.95" customHeight="1" x14ac:dyDescent="0.2">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row>
    <row r="665" spans="1:50" ht="12.95" customHeight="1" x14ac:dyDescent="0.2">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row>
    <row r="666" spans="1:50" ht="12.95" customHeight="1" x14ac:dyDescent="0.2">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row>
    <row r="667" spans="1:50" ht="12.95" customHeight="1" x14ac:dyDescent="0.2">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row>
    <row r="668" spans="1:50" ht="12.95" customHeight="1" x14ac:dyDescent="0.2">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row>
    <row r="669" spans="1:50" ht="12.95" customHeight="1" x14ac:dyDescent="0.2">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row>
    <row r="670" spans="1:50" ht="12.95" customHeight="1" x14ac:dyDescent="0.2">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row>
    <row r="671" spans="1:50" ht="12.95" customHeight="1" x14ac:dyDescent="0.2">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row>
    <row r="672" spans="1:50" ht="12.95" customHeight="1" x14ac:dyDescent="0.2">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row>
    <row r="673" spans="1:50" ht="12.95" customHeight="1" x14ac:dyDescent="0.2">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row>
    <row r="674" spans="1:50" ht="12.95" customHeight="1" x14ac:dyDescent="0.2">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row>
    <row r="675" spans="1:50" ht="12.95" customHeight="1" x14ac:dyDescent="0.2">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row>
    <row r="676" spans="1:50" ht="12.95" customHeight="1" x14ac:dyDescent="0.2">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row>
    <row r="677" spans="1:50" ht="12.95" customHeight="1" x14ac:dyDescent="0.2">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row>
    <row r="678" spans="1:50" ht="12.95" customHeight="1" x14ac:dyDescent="0.2">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row>
    <row r="679" spans="1:50" ht="12.95" customHeight="1" x14ac:dyDescent="0.2">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row>
    <row r="680" spans="1:50" ht="12.95" customHeight="1" x14ac:dyDescent="0.2">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row>
    <row r="681" spans="1:50" ht="12.95" customHeight="1" x14ac:dyDescent="0.2">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row>
    <row r="682" spans="1:50" ht="12.95" customHeight="1" x14ac:dyDescent="0.2">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row>
    <row r="683" spans="1:50" ht="12.95" customHeight="1" x14ac:dyDescent="0.2">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row>
    <row r="684" spans="1:50" ht="12.95" customHeight="1" x14ac:dyDescent="0.2">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row>
    <row r="685" spans="1:50" ht="12.95" customHeight="1" x14ac:dyDescent="0.2">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row>
    <row r="686" spans="1:50" ht="12.95" customHeight="1" x14ac:dyDescent="0.2">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row>
    <row r="687" spans="1:50" ht="12.95" customHeight="1" x14ac:dyDescent="0.2">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row>
    <row r="688" spans="1:50" ht="12.95" customHeight="1" x14ac:dyDescent="0.2">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row>
    <row r="689" spans="1:50" ht="12.95" customHeight="1" x14ac:dyDescent="0.2">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row>
    <row r="690" spans="1:50" ht="12.95" customHeight="1" x14ac:dyDescent="0.2">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row>
    <row r="691" spans="1:50" ht="12.95" customHeight="1" x14ac:dyDescent="0.2">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row>
    <row r="692" spans="1:50" ht="12.95" customHeight="1" x14ac:dyDescent="0.2">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row>
    <row r="693" spans="1:50" ht="12.95" customHeight="1" x14ac:dyDescent="0.2">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row>
    <row r="694" spans="1:50" ht="12.95" customHeight="1" x14ac:dyDescent="0.2">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row>
    <row r="695" spans="1:50" ht="12.95" customHeight="1" x14ac:dyDescent="0.2">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row>
    <row r="696" spans="1:50" ht="12.95" customHeight="1" x14ac:dyDescent="0.2">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row>
    <row r="697" spans="1:50" ht="12.95" customHeight="1" x14ac:dyDescent="0.2">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row>
    <row r="698" spans="1:50" ht="12.95" customHeight="1" x14ac:dyDescent="0.2">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row>
    <row r="699" spans="1:50" ht="12.95" customHeight="1" x14ac:dyDescent="0.2">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row>
    <row r="700" spans="1:50" ht="12.95" customHeight="1" x14ac:dyDescent="0.2">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row>
    <row r="701" spans="1:50" ht="12.95" customHeight="1" x14ac:dyDescent="0.2">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row>
    <row r="702" spans="1:50" ht="12.95" customHeight="1" x14ac:dyDescent="0.2">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row>
    <row r="703" spans="1:50" ht="12.95" customHeight="1" x14ac:dyDescent="0.2">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row>
    <row r="704" spans="1:50" ht="12.95" customHeight="1" x14ac:dyDescent="0.2">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row>
    <row r="705" spans="1:50" ht="12.95" customHeight="1" x14ac:dyDescent="0.2">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row>
    <row r="706" spans="1:50" ht="12.95" customHeight="1" x14ac:dyDescent="0.2">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row>
    <row r="707" spans="1:50" ht="12.95" customHeight="1" x14ac:dyDescent="0.2">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row>
    <row r="708" spans="1:50" ht="12.95" customHeight="1" x14ac:dyDescent="0.2">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row>
    <row r="709" spans="1:50" ht="12.95" customHeight="1" x14ac:dyDescent="0.2">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row>
    <row r="710" spans="1:50" ht="12.95" customHeight="1" x14ac:dyDescent="0.2">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row>
    <row r="711" spans="1:50" ht="12.95" customHeight="1" x14ac:dyDescent="0.2">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row>
    <row r="712" spans="1:50" ht="12.95" customHeight="1" x14ac:dyDescent="0.2">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row>
    <row r="713" spans="1:50" ht="12.95" customHeight="1" x14ac:dyDescent="0.2">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row>
    <row r="714" spans="1:50" ht="12.95" customHeight="1" x14ac:dyDescent="0.2">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row>
    <row r="715" spans="1:50" ht="12.95" customHeight="1" x14ac:dyDescent="0.2">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row>
    <row r="716" spans="1:50" ht="12.95" customHeight="1" x14ac:dyDescent="0.2">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row>
    <row r="717" spans="1:50" ht="12.95" customHeight="1" x14ac:dyDescent="0.2">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row>
    <row r="718" spans="1:50" ht="12.95" customHeight="1" x14ac:dyDescent="0.2">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row>
    <row r="719" spans="1:50" ht="12.95" customHeight="1" x14ac:dyDescent="0.2">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row>
    <row r="720" spans="1:50" ht="12.95" customHeight="1" x14ac:dyDescent="0.2">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row>
    <row r="721" spans="1:50" ht="12.95" customHeight="1" x14ac:dyDescent="0.2">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row>
    <row r="722" spans="1:50" ht="12.95" customHeight="1" x14ac:dyDescent="0.2">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row>
    <row r="723" spans="1:50" ht="12.95" customHeight="1" x14ac:dyDescent="0.2">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row>
    <row r="724" spans="1:50" ht="12.95" customHeight="1" x14ac:dyDescent="0.2">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row>
    <row r="725" spans="1:50" ht="12.95" customHeight="1" x14ac:dyDescent="0.2">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row>
    <row r="726" spans="1:50" ht="12.95" customHeight="1" x14ac:dyDescent="0.2">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row>
    <row r="727" spans="1:50" ht="12.95" customHeight="1" x14ac:dyDescent="0.2">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row>
    <row r="728" spans="1:50" ht="12.95" customHeight="1" x14ac:dyDescent="0.2">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row>
    <row r="729" spans="1:50" ht="12.95" customHeight="1" x14ac:dyDescent="0.2">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row>
    <row r="730" spans="1:50" ht="12.95" customHeight="1" x14ac:dyDescent="0.2">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row>
    <row r="731" spans="1:50" ht="12.95" customHeight="1" x14ac:dyDescent="0.2">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row>
    <row r="732" spans="1:50" ht="12.95" customHeight="1" x14ac:dyDescent="0.2">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row>
    <row r="733" spans="1:50" ht="12.95" customHeight="1" x14ac:dyDescent="0.2">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row>
    <row r="734" spans="1:50" ht="12.95" customHeight="1" x14ac:dyDescent="0.2">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row>
    <row r="735" spans="1:50" ht="12.95" customHeight="1" x14ac:dyDescent="0.2">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row>
    <row r="736" spans="1:50" ht="12.95" customHeight="1" x14ac:dyDescent="0.2">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row>
    <row r="737" spans="1:50" ht="12.95" customHeight="1" x14ac:dyDescent="0.2">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row>
    <row r="738" spans="1:50" ht="12.95" customHeight="1" x14ac:dyDescent="0.2">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row>
    <row r="739" spans="1:50" ht="12.95" customHeight="1" x14ac:dyDescent="0.2">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row>
    <row r="740" spans="1:50" ht="12.95" customHeight="1" x14ac:dyDescent="0.2">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row>
    <row r="741" spans="1:50" ht="12.95" customHeight="1" x14ac:dyDescent="0.2">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row>
    <row r="742" spans="1:50" ht="12.95" customHeight="1" x14ac:dyDescent="0.2">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row>
    <row r="743" spans="1:50" ht="12.95" customHeight="1" x14ac:dyDescent="0.2">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row>
    <row r="744" spans="1:50" ht="12.95" customHeight="1" x14ac:dyDescent="0.2">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row>
    <row r="745" spans="1:50" ht="12.95" customHeight="1" x14ac:dyDescent="0.2">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row>
    <row r="746" spans="1:50" ht="12.95" customHeight="1" x14ac:dyDescent="0.2">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row>
    <row r="747" spans="1:50" ht="12.95" customHeight="1" x14ac:dyDescent="0.2">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row>
    <row r="748" spans="1:50" ht="12.95" customHeight="1" x14ac:dyDescent="0.2">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row>
    <row r="749" spans="1:50" ht="12.95" customHeight="1" x14ac:dyDescent="0.2">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row>
    <row r="750" spans="1:50" ht="12.95" customHeight="1" x14ac:dyDescent="0.2">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row>
    <row r="751" spans="1:50" ht="12.95" customHeight="1" x14ac:dyDescent="0.2">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row>
    <row r="752" spans="1:50" ht="12.95" customHeight="1" x14ac:dyDescent="0.2">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row>
    <row r="753" spans="1:50" ht="12.95" customHeight="1" x14ac:dyDescent="0.2">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row>
    <row r="754" spans="1:50" ht="12.95" customHeight="1" x14ac:dyDescent="0.2">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row>
    <row r="755" spans="1:50" ht="12.95" customHeight="1" x14ac:dyDescent="0.2">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row>
    <row r="756" spans="1:50" ht="12.95" customHeight="1" x14ac:dyDescent="0.2">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row>
    <row r="757" spans="1:50" ht="12.95" customHeight="1" x14ac:dyDescent="0.2">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row>
    <row r="758" spans="1:50" ht="12.95" customHeight="1" x14ac:dyDescent="0.2">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row>
    <row r="759" spans="1:50" ht="12.95" customHeight="1" x14ac:dyDescent="0.2">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row>
    <row r="760" spans="1:50" ht="12.95" customHeight="1" x14ac:dyDescent="0.2">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row>
    <row r="761" spans="1:50" ht="12.95" customHeight="1" x14ac:dyDescent="0.2">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row>
    <row r="762" spans="1:50" ht="12.95" customHeight="1" x14ac:dyDescent="0.2">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row>
    <row r="763" spans="1:50" ht="12.95" customHeight="1" x14ac:dyDescent="0.2">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row>
    <row r="764" spans="1:50" ht="12.95" customHeight="1" x14ac:dyDescent="0.2">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row>
    <row r="765" spans="1:50" ht="12.95" customHeight="1" x14ac:dyDescent="0.2">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row>
    <row r="766" spans="1:50" ht="12.95" customHeight="1" x14ac:dyDescent="0.2">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row>
    <row r="767" spans="1:50" ht="12.95" customHeight="1" x14ac:dyDescent="0.2">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row>
    <row r="768" spans="1:50" ht="12.95" customHeight="1" x14ac:dyDescent="0.2">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row>
    <row r="769" spans="1:50" ht="12.95" customHeight="1" x14ac:dyDescent="0.2">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row>
    <row r="770" spans="1:50" ht="12.95" customHeight="1" x14ac:dyDescent="0.2">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row>
    <row r="771" spans="1:50" ht="12.95" customHeight="1" x14ac:dyDescent="0.2">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row>
    <row r="772" spans="1:50" ht="12.95" customHeight="1" x14ac:dyDescent="0.2">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row>
    <row r="773" spans="1:50" ht="12.95" customHeight="1" x14ac:dyDescent="0.2">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row>
    <row r="774" spans="1:50" ht="12.95" customHeight="1" x14ac:dyDescent="0.2">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row>
    <row r="775" spans="1:50" ht="12.95" customHeight="1" x14ac:dyDescent="0.2">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row>
    <row r="776" spans="1:50" ht="12.95" customHeight="1" x14ac:dyDescent="0.2">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row>
    <row r="777" spans="1:50" ht="12.95" customHeight="1" x14ac:dyDescent="0.2">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row>
    <row r="778" spans="1:50" ht="12.95" customHeight="1" x14ac:dyDescent="0.2">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row>
    <row r="779" spans="1:50" ht="12.95" customHeight="1" x14ac:dyDescent="0.2">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row>
    <row r="780" spans="1:50" ht="12.95" customHeight="1" x14ac:dyDescent="0.2">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row>
    <row r="781" spans="1:50" ht="12.95" customHeight="1" x14ac:dyDescent="0.2">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row>
    <row r="782" spans="1:50" ht="12.95" customHeight="1" x14ac:dyDescent="0.2">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row>
    <row r="783" spans="1:50" ht="12.95" customHeight="1" x14ac:dyDescent="0.2">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row>
    <row r="784" spans="1:50" ht="12.95" customHeight="1" x14ac:dyDescent="0.2">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row>
    <row r="785" spans="1:50" ht="12.95" customHeight="1" x14ac:dyDescent="0.2">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row>
    <row r="786" spans="1:50" ht="12.95" customHeight="1" x14ac:dyDescent="0.2">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row>
    <row r="787" spans="1:50" ht="12.95" customHeight="1" x14ac:dyDescent="0.2">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row>
    <row r="788" spans="1:50" ht="12.95" customHeight="1" x14ac:dyDescent="0.2">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row>
    <row r="789" spans="1:50" ht="12.95" customHeight="1" x14ac:dyDescent="0.2">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row>
    <row r="790" spans="1:50" ht="12.95" customHeight="1" x14ac:dyDescent="0.2">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row>
    <row r="791" spans="1:50" ht="12.95" customHeight="1" x14ac:dyDescent="0.2">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row>
    <row r="792" spans="1:50" ht="12.95" customHeight="1" x14ac:dyDescent="0.2">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row>
    <row r="793" spans="1:50" ht="12.95" customHeight="1" x14ac:dyDescent="0.2">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row>
    <row r="794" spans="1:50" ht="12.95" customHeight="1" x14ac:dyDescent="0.2">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row>
    <row r="795" spans="1:50" ht="12.95" customHeight="1" x14ac:dyDescent="0.2">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row>
    <row r="796" spans="1:50" ht="12.95" customHeight="1" x14ac:dyDescent="0.2">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row>
    <row r="797" spans="1:50" ht="12.95" customHeight="1" x14ac:dyDescent="0.2">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row>
    <row r="798" spans="1:50" ht="12.95" customHeight="1" x14ac:dyDescent="0.2">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row>
    <row r="799" spans="1:50" ht="12.95" customHeight="1" x14ac:dyDescent="0.2">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row>
    <row r="800" spans="1:50" ht="12.95" customHeight="1" x14ac:dyDescent="0.2">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row>
    <row r="801" spans="1:50" ht="12.95" customHeight="1" x14ac:dyDescent="0.2">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row>
    <row r="802" spans="1:50" ht="12.95" customHeight="1" x14ac:dyDescent="0.2">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row>
    <row r="803" spans="1:50" ht="12.95" customHeight="1" x14ac:dyDescent="0.2">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row>
    <row r="804" spans="1:50" ht="12.95" customHeight="1" x14ac:dyDescent="0.2">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row>
    <row r="805" spans="1:50" ht="12.95" customHeight="1" x14ac:dyDescent="0.2">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row>
    <row r="806" spans="1:50" ht="12.95" customHeight="1" x14ac:dyDescent="0.2">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row>
    <row r="807" spans="1:50" ht="12.95" customHeight="1" x14ac:dyDescent="0.2">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row>
    <row r="808" spans="1:50" ht="12.95" customHeight="1" x14ac:dyDescent="0.2">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row>
    <row r="809" spans="1:50" ht="12.95" customHeight="1" x14ac:dyDescent="0.2">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row>
    <row r="810" spans="1:50" ht="12.95" customHeight="1" x14ac:dyDescent="0.2">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row>
    <row r="811" spans="1:50" ht="12.95" customHeight="1" x14ac:dyDescent="0.2">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row>
    <row r="812" spans="1:50" ht="12.95" customHeight="1" x14ac:dyDescent="0.2">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row>
    <row r="813" spans="1:50" ht="12.95" customHeight="1" x14ac:dyDescent="0.2">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row>
    <row r="814" spans="1:50" ht="12.95" customHeight="1" x14ac:dyDescent="0.2">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row>
    <row r="815" spans="1:50" ht="12.95" customHeight="1" x14ac:dyDescent="0.2">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row>
    <row r="816" spans="1:50" ht="12.95" customHeight="1" x14ac:dyDescent="0.2">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row>
    <row r="817" spans="1:50" ht="12.95" customHeight="1" x14ac:dyDescent="0.2">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row>
    <row r="818" spans="1:50" ht="12.95" customHeight="1" x14ac:dyDescent="0.2">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row>
    <row r="819" spans="1:50" ht="12.95" customHeight="1" x14ac:dyDescent="0.2">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row>
    <row r="820" spans="1:50" ht="12.95" customHeight="1" x14ac:dyDescent="0.2">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row>
    <row r="821" spans="1:50" ht="12.95" customHeight="1" x14ac:dyDescent="0.2">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row>
    <row r="822" spans="1:50" ht="12.95" customHeight="1" x14ac:dyDescent="0.2">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row>
    <row r="823" spans="1:50" ht="12.95" customHeight="1" x14ac:dyDescent="0.2">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row>
    <row r="824" spans="1:50" ht="12.95" customHeight="1" x14ac:dyDescent="0.2">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row>
    <row r="825" spans="1:50" ht="12.95" customHeight="1" x14ac:dyDescent="0.2">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row>
    <row r="826" spans="1:50" ht="12.95" customHeight="1" x14ac:dyDescent="0.2">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row>
    <row r="827" spans="1:50" ht="12.95" customHeight="1" x14ac:dyDescent="0.2">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row>
    <row r="828" spans="1:50" ht="12.95" customHeight="1" x14ac:dyDescent="0.2">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row>
    <row r="829" spans="1:50" ht="12.95" customHeight="1" x14ac:dyDescent="0.2">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row>
    <row r="830" spans="1:50" ht="12.95" customHeight="1" x14ac:dyDescent="0.2">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row>
    <row r="831" spans="1:50" ht="12.95" customHeight="1" x14ac:dyDescent="0.2">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row>
    <row r="832" spans="1:50" ht="12.95" customHeight="1" x14ac:dyDescent="0.2">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row>
    <row r="833" spans="1:50" ht="12.95" customHeight="1" x14ac:dyDescent="0.2">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row>
    <row r="834" spans="1:50" ht="12.95" customHeight="1" x14ac:dyDescent="0.2">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row>
    <row r="835" spans="1:50" ht="12.95" customHeight="1" x14ac:dyDescent="0.2">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row>
    <row r="836" spans="1:50" ht="12.95" customHeight="1" x14ac:dyDescent="0.2">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row>
    <row r="837" spans="1:50" ht="12.95" customHeight="1" x14ac:dyDescent="0.2">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row>
    <row r="838" spans="1:50" ht="12.95" customHeight="1" x14ac:dyDescent="0.2">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row>
    <row r="839" spans="1:50" ht="12.95" customHeight="1" x14ac:dyDescent="0.2">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row>
    <row r="840" spans="1:50" ht="12.95" customHeight="1" x14ac:dyDescent="0.2">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row>
    <row r="841" spans="1:50" ht="12.95" customHeight="1" x14ac:dyDescent="0.2">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row>
    <row r="842" spans="1:50" ht="12.95" customHeight="1" x14ac:dyDescent="0.2">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row>
    <row r="843" spans="1:50" ht="12.95" customHeight="1" x14ac:dyDescent="0.2">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row>
    <row r="844" spans="1:50" ht="12.95" customHeight="1" x14ac:dyDescent="0.2">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row>
    <row r="845" spans="1:50" ht="12.95" customHeight="1" x14ac:dyDescent="0.2">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row>
    <row r="846" spans="1:50" ht="12.95" customHeight="1" x14ac:dyDescent="0.2">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row>
    <row r="847" spans="1:50" ht="12.95" customHeight="1" x14ac:dyDescent="0.2">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row>
    <row r="848" spans="1:50" ht="12.95" customHeight="1" x14ac:dyDescent="0.2">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row>
    <row r="849" spans="1:50" ht="12.95" customHeight="1" x14ac:dyDescent="0.2">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row>
    <row r="850" spans="1:50" ht="12.95" customHeight="1" x14ac:dyDescent="0.2">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row>
    <row r="851" spans="1:50" ht="12.95" customHeight="1" x14ac:dyDescent="0.2">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row>
    <row r="852" spans="1:50" ht="12.95" customHeight="1" x14ac:dyDescent="0.2">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row>
    <row r="853" spans="1:50" ht="12.95" customHeight="1" x14ac:dyDescent="0.2">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row>
    <row r="854" spans="1:50" ht="12.95" customHeight="1" x14ac:dyDescent="0.2">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row>
    <row r="855" spans="1:50" ht="12.95" customHeight="1" x14ac:dyDescent="0.2">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row>
    <row r="856" spans="1:50" ht="12.95" customHeight="1" x14ac:dyDescent="0.2">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row>
    <row r="857" spans="1:50" ht="12.95" customHeight="1" x14ac:dyDescent="0.2">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row>
    <row r="858" spans="1:50" ht="12.95" customHeight="1" x14ac:dyDescent="0.2">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row>
    <row r="859" spans="1:50" ht="12.95" customHeight="1" x14ac:dyDescent="0.2">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row>
    <row r="860" spans="1:50" ht="12.95" customHeight="1" x14ac:dyDescent="0.2">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row>
    <row r="861" spans="1:50" ht="12.95" customHeight="1" x14ac:dyDescent="0.2">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row>
    <row r="862" spans="1:50" ht="12.95" customHeight="1" x14ac:dyDescent="0.2">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row>
    <row r="863" spans="1:50" ht="12.95" customHeight="1" x14ac:dyDescent="0.2">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row>
    <row r="864" spans="1:50" ht="12.95" customHeight="1" x14ac:dyDescent="0.2">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row>
    <row r="865" spans="1:50" ht="12.95" customHeight="1" x14ac:dyDescent="0.2">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row>
    <row r="866" spans="1:50" ht="12.95" customHeight="1" x14ac:dyDescent="0.2">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row>
    <row r="867" spans="1:50" ht="12.95" customHeight="1" x14ac:dyDescent="0.2">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row>
    <row r="868" spans="1:50" ht="12.95" customHeight="1" x14ac:dyDescent="0.2">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row>
    <row r="869" spans="1:50" ht="12.95" customHeight="1" x14ac:dyDescent="0.2">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row>
    <row r="870" spans="1:50" ht="12.95" customHeight="1" x14ac:dyDescent="0.2">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row>
    <row r="871" spans="1:50" ht="12.95" customHeight="1" x14ac:dyDescent="0.2">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row>
    <row r="872" spans="1:50" ht="12.95" customHeight="1" x14ac:dyDescent="0.2">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row>
    <row r="873" spans="1:50" ht="12.95" customHeight="1" x14ac:dyDescent="0.2">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row>
    <row r="874" spans="1:50" ht="12.95" customHeight="1" x14ac:dyDescent="0.2">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row>
    <row r="875" spans="1:50" ht="12.95" customHeight="1" x14ac:dyDescent="0.2">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row>
    <row r="876" spans="1:50" ht="12.95" customHeight="1" x14ac:dyDescent="0.2">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row>
    <row r="877" spans="1:50" ht="12.95" customHeight="1" x14ac:dyDescent="0.2">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row>
    <row r="878" spans="1:50" ht="12.95" customHeight="1" x14ac:dyDescent="0.2">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row>
    <row r="879" spans="1:50" ht="12.95" customHeight="1" x14ac:dyDescent="0.2">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row>
    <row r="880" spans="1:50" ht="12.95" customHeight="1" x14ac:dyDescent="0.2">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row>
    <row r="881" spans="1:50" ht="12.95" customHeight="1" x14ac:dyDescent="0.2">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row>
    <row r="882" spans="1:50" ht="12.95" customHeight="1" x14ac:dyDescent="0.2">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row>
    <row r="883" spans="1:50" ht="12.95" customHeight="1" x14ac:dyDescent="0.2">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row>
    <row r="884" spans="1:50" ht="12.95" customHeight="1" x14ac:dyDescent="0.2">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row>
    <row r="885" spans="1:50" ht="12.95" customHeight="1" x14ac:dyDescent="0.2">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row>
    <row r="886" spans="1:50" ht="12.95" customHeight="1" x14ac:dyDescent="0.2">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row>
    <row r="887" spans="1:50" ht="12.95" customHeight="1" x14ac:dyDescent="0.2">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row>
    <row r="888" spans="1:50" ht="12.95" customHeight="1" x14ac:dyDescent="0.2">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row>
    <row r="889" spans="1:50" ht="12.95" customHeight="1" x14ac:dyDescent="0.2">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row>
    <row r="890" spans="1:50" ht="12.95" customHeight="1" x14ac:dyDescent="0.2">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row>
    <row r="891" spans="1:50" ht="12.95" customHeight="1" x14ac:dyDescent="0.2">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row>
    <row r="892" spans="1:50" ht="12.95" customHeight="1" x14ac:dyDescent="0.2">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row>
    <row r="893" spans="1:50" ht="12.95" customHeight="1" x14ac:dyDescent="0.2">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row>
    <row r="894" spans="1:50" ht="12.95" customHeight="1" x14ac:dyDescent="0.2">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row>
    <row r="895" spans="1:50" ht="12.95" customHeight="1" x14ac:dyDescent="0.2">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row>
    <row r="896" spans="1:50" ht="12.95" customHeight="1" x14ac:dyDescent="0.2">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row>
    <row r="897" spans="1:50" ht="12.95" customHeight="1" x14ac:dyDescent="0.2">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row>
    <row r="898" spans="1:50" ht="12.95" customHeight="1" x14ac:dyDescent="0.2">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row>
    <row r="899" spans="1:50" ht="12.95" customHeight="1" x14ac:dyDescent="0.2">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row>
    <row r="900" spans="1:50" ht="12.95" customHeight="1" x14ac:dyDescent="0.2">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row>
    <row r="901" spans="1:50" ht="12.95" customHeight="1" x14ac:dyDescent="0.2">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row>
    <row r="902" spans="1:50" ht="12.95" customHeight="1" x14ac:dyDescent="0.2">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row>
    <row r="903" spans="1:50" ht="12.95" customHeight="1" x14ac:dyDescent="0.2">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row>
    <row r="904" spans="1:50" ht="12.95" customHeight="1" x14ac:dyDescent="0.2">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row>
    <row r="905" spans="1:50" ht="12.95" customHeight="1" x14ac:dyDescent="0.2">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row>
    <row r="906" spans="1:50" ht="12.95" customHeight="1" x14ac:dyDescent="0.2">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row>
    <row r="907" spans="1:50" ht="12.95" customHeight="1" x14ac:dyDescent="0.2">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row>
    <row r="908" spans="1:50" ht="12.95" customHeight="1" x14ac:dyDescent="0.2">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row>
    <row r="909" spans="1:50" ht="12.95" customHeight="1" x14ac:dyDescent="0.2">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row>
    <row r="910" spans="1:50" ht="12.95" customHeight="1" x14ac:dyDescent="0.2">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row>
    <row r="911" spans="1:50" ht="12.95" customHeight="1" x14ac:dyDescent="0.2">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row>
    <row r="912" spans="1:50" ht="12.95" customHeight="1" x14ac:dyDescent="0.2">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row>
    <row r="913" spans="1:50" ht="12.95" customHeight="1" x14ac:dyDescent="0.2">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row>
    <row r="914" spans="1:50" ht="12.95" customHeight="1" x14ac:dyDescent="0.2">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row>
    <row r="915" spans="1:50" ht="12.95" customHeight="1" x14ac:dyDescent="0.2">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row>
    <row r="916" spans="1:50" ht="12.95" customHeight="1" x14ac:dyDescent="0.2">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row>
    <row r="917" spans="1:50" ht="12.95" customHeight="1" x14ac:dyDescent="0.2">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row>
    <row r="918" spans="1:50" ht="12.95" customHeight="1" x14ac:dyDescent="0.2">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row>
    <row r="919" spans="1:50" ht="12.95" customHeight="1" x14ac:dyDescent="0.2">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row>
    <row r="920" spans="1:50" ht="12.95" customHeight="1" x14ac:dyDescent="0.2">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row>
    <row r="921" spans="1:50" ht="12.95" customHeight="1" x14ac:dyDescent="0.2">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row>
    <row r="922" spans="1:50" ht="12.95" customHeight="1" x14ac:dyDescent="0.2">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row>
    <row r="923" spans="1:50" ht="12.95" customHeight="1" x14ac:dyDescent="0.2">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row>
    <row r="924" spans="1:50" ht="12.95" customHeight="1" x14ac:dyDescent="0.2">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row>
    <row r="925" spans="1:50" ht="12.95" customHeight="1" x14ac:dyDescent="0.2">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row>
    <row r="926" spans="1:50" ht="12.95" customHeight="1" x14ac:dyDescent="0.2">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row>
    <row r="927" spans="1:50" ht="12.95" customHeight="1" x14ac:dyDescent="0.2">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row>
    <row r="928" spans="1:50" ht="12.95" customHeight="1" x14ac:dyDescent="0.2">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row>
    <row r="929" spans="1:50" ht="12.95" customHeight="1" x14ac:dyDescent="0.2">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row>
    <row r="930" spans="1:50" ht="12.95" customHeight="1" x14ac:dyDescent="0.2">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row>
    <row r="931" spans="1:50" ht="12.95" customHeight="1" x14ac:dyDescent="0.2">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row>
    <row r="932" spans="1:50" ht="12.95" customHeight="1" x14ac:dyDescent="0.2">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row>
    <row r="933" spans="1:50" ht="12.95" customHeight="1" x14ac:dyDescent="0.2">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row>
    <row r="934" spans="1:50" ht="12.95" customHeight="1" x14ac:dyDescent="0.2">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row>
    <row r="935" spans="1:50" ht="12.95" customHeight="1" x14ac:dyDescent="0.2">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row>
  </sheetData>
  <mergeCells count="200">
    <mergeCell ref="C141:E141"/>
    <mergeCell ref="C182:E182"/>
    <mergeCell ref="C13:E13"/>
    <mergeCell ref="C14:E14"/>
    <mergeCell ref="C55:E55"/>
    <mergeCell ref="C134:E134"/>
    <mergeCell ref="C135:E135"/>
    <mergeCell ref="C136:E136"/>
    <mergeCell ref="C306:E306"/>
    <mergeCell ref="C299:E299"/>
    <mergeCell ref="C300:E300"/>
    <mergeCell ref="C301:E301"/>
    <mergeCell ref="C213:E213"/>
    <mergeCell ref="C214:E214"/>
    <mergeCell ref="C207:E207"/>
    <mergeCell ref="C208:E208"/>
    <mergeCell ref="C209:E209"/>
    <mergeCell ref="C210:E210"/>
    <mergeCell ref="C211:E211"/>
    <mergeCell ref="C212:E212"/>
    <mergeCell ref="C201:E201"/>
    <mergeCell ref="C202:E202"/>
    <mergeCell ref="C203:E203"/>
    <mergeCell ref="C204:E204"/>
    <mergeCell ref="C7:E7"/>
    <mergeCell ref="C8:E8"/>
    <mergeCell ref="C9:E9"/>
    <mergeCell ref="C10:E10"/>
    <mergeCell ref="C11:E11"/>
    <mergeCell ref="C12:E12"/>
    <mergeCell ref="C333:E333"/>
    <mergeCell ref="C334:E334"/>
    <mergeCell ref="C335:E335"/>
    <mergeCell ref="C321:E321"/>
    <mergeCell ref="C322:E322"/>
    <mergeCell ref="C323:E323"/>
    <mergeCell ref="C324:E324"/>
    <mergeCell ref="C325:E325"/>
    <mergeCell ref="C326:E326"/>
    <mergeCell ref="C315:E315"/>
    <mergeCell ref="C316:E316"/>
    <mergeCell ref="C317:E317"/>
    <mergeCell ref="C318:E318"/>
    <mergeCell ref="C319:E319"/>
    <mergeCell ref="C320:E320"/>
    <mergeCell ref="C309:E309"/>
    <mergeCell ref="C310:E310"/>
    <mergeCell ref="C311:E311"/>
    <mergeCell ref="C336:E336"/>
    <mergeCell ref="C337:E337"/>
    <mergeCell ref="C338:E338"/>
    <mergeCell ref="C327:E327"/>
    <mergeCell ref="C328:E328"/>
    <mergeCell ref="C329:E329"/>
    <mergeCell ref="C330:E330"/>
    <mergeCell ref="C331:E331"/>
    <mergeCell ref="C332:E332"/>
    <mergeCell ref="C312:E312"/>
    <mergeCell ref="C313:E313"/>
    <mergeCell ref="C314:E314"/>
    <mergeCell ref="C307:E307"/>
    <mergeCell ref="C308:E308"/>
    <mergeCell ref="C302:E302"/>
    <mergeCell ref="C303:E303"/>
    <mergeCell ref="C304:E304"/>
    <mergeCell ref="C305:E305"/>
    <mergeCell ref="C205:E205"/>
    <mergeCell ref="C206:E206"/>
    <mergeCell ref="C195:E195"/>
    <mergeCell ref="C196:E196"/>
    <mergeCell ref="C197:E197"/>
    <mergeCell ref="C198:E198"/>
    <mergeCell ref="C199:E199"/>
    <mergeCell ref="C200:E200"/>
    <mergeCell ref="C189:E189"/>
    <mergeCell ref="C190:E190"/>
    <mergeCell ref="C191:E191"/>
    <mergeCell ref="C192:E192"/>
    <mergeCell ref="C193:E193"/>
    <mergeCell ref="C194:E194"/>
    <mergeCell ref="C183:E183"/>
    <mergeCell ref="C184:E184"/>
    <mergeCell ref="C185:E185"/>
    <mergeCell ref="C186:E186"/>
    <mergeCell ref="C187:E187"/>
    <mergeCell ref="C188:E188"/>
    <mergeCell ref="C176:E176"/>
    <mergeCell ref="C177:E177"/>
    <mergeCell ref="C178:E178"/>
    <mergeCell ref="C179:E179"/>
    <mergeCell ref="C180:E180"/>
    <mergeCell ref="C181:E181"/>
    <mergeCell ref="C170:E170"/>
    <mergeCell ref="C171:E171"/>
    <mergeCell ref="C172:E172"/>
    <mergeCell ref="C173:E173"/>
    <mergeCell ref="C175:E175"/>
    <mergeCell ref="C164:E164"/>
    <mergeCell ref="C165:E165"/>
    <mergeCell ref="C166:E166"/>
    <mergeCell ref="C167:E167"/>
    <mergeCell ref="C168:E168"/>
    <mergeCell ref="C169:E169"/>
    <mergeCell ref="C158:E158"/>
    <mergeCell ref="C159:E159"/>
    <mergeCell ref="C160:E160"/>
    <mergeCell ref="C161:E161"/>
    <mergeCell ref="C162:E162"/>
    <mergeCell ref="C163:E163"/>
    <mergeCell ref="C152:E152"/>
    <mergeCell ref="C153:E153"/>
    <mergeCell ref="C154:E154"/>
    <mergeCell ref="C155:E155"/>
    <mergeCell ref="C156:E156"/>
    <mergeCell ref="C157:E157"/>
    <mergeCell ref="C146:E146"/>
    <mergeCell ref="C147:E147"/>
    <mergeCell ref="C148:E148"/>
    <mergeCell ref="C149:E149"/>
    <mergeCell ref="C150:E150"/>
    <mergeCell ref="C151:E151"/>
    <mergeCell ref="C142:E142"/>
    <mergeCell ref="C143:E143"/>
    <mergeCell ref="C144:E144"/>
    <mergeCell ref="C145:E145"/>
    <mergeCell ref="C137:E137"/>
    <mergeCell ref="C138:E138"/>
    <mergeCell ref="C139:E139"/>
    <mergeCell ref="C140:E140"/>
    <mergeCell ref="C82:E82"/>
    <mergeCell ref="C83:E83"/>
    <mergeCell ref="C84:E84"/>
    <mergeCell ref="C85:E85"/>
    <mergeCell ref="C86:E86"/>
    <mergeCell ref="C87:E87"/>
    <mergeCell ref="C76:E76"/>
    <mergeCell ref="C77:E77"/>
    <mergeCell ref="C78:E78"/>
    <mergeCell ref="C79:E79"/>
    <mergeCell ref="C80:E80"/>
    <mergeCell ref="C81:E81"/>
    <mergeCell ref="C70:E70"/>
    <mergeCell ref="C71:E71"/>
    <mergeCell ref="C72:E72"/>
    <mergeCell ref="C73:E73"/>
    <mergeCell ref="C74:E74"/>
    <mergeCell ref="C75:E75"/>
    <mergeCell ref="C64:E64"/>
    <mergeCell ref="C65:E65"/>
    <mergeCell ref="C66:E66"/>
    <mergeCell ref="C67:E67"/>
    <mergeCell ref="C68:E68"/>
    <mergeCell ref="C69:E69"/>
    <mergeCell ref="C58:E58"/>
    <mergeCell ref="C59:E59"/>
    <mergeCell ref="C60:E60"/>
    <mergeCell ref="C61:E61"/>
    <mergeCell ref="C62:E62"/>
    <mergeCell ref="C63:E63"/>
    <mergeCell ref="C51:E51"/>
    <mergeCell ref="C52:E52"/>
    <mergeCell ref="C53:E53"/>
    <mergeCell ref="C54:E54"/>
    <mergeCell ref="C56:E56"/>
    <mergeCell ref="C57:E57"/>
    <mergeCell ref="C45:E45"/>
    <mergeCell ref="C46:E46"/>
    <mergeCell ref="C48:E48"/>
    <mergeCell ref="C49:E49"/>
    <mergeCell ref="C50:E50"/>
    <mergeCell ref="C39:E39"/>
    <mergeCell ref="C40:E40"/>
    <mergeCell ref="C41:E41"/>
    <mergeCell ref="C42:E42"/>
    <mergeCell ref="C43:E43"/>
    <mergeCell ref="C44:E44"/>
    <mergeCell ref="C33:E33"/>
    <mergeCell ref="C34:E34"/>
    <mergeCell ref="C35:E35"/>
    <mergeCell ref="C36:E36"/>
    <mergeCell ref="C37:E37"/>
    <mergeCell ref="C38:E38"/>
    <mergeCell ref="C30:E30"/>
    <mergeCell ref="C31:E31"/>
    <mergeCell ref="C32:E32"/>
    <mergeCell ref="C21:E21"/>
    <mergeCell ref="C22:E22"/>
    <mergeCell ref="C23:E23"/>
    <mergeCell ref="C24:E24"/>
    <mergeCell ref="C25:E25"/>
    <mergeCell ref="C26:E26"/>
    <mergeCell ref="C15:E15"/>
    <mergeCell ref="C16:E16"/>
    <mergeCell ref="C17:E17"/>
    <mergeCell ref="C18:E18"/>
    <mergeCell ref="C19:E19"/>
    <mergeCell ref="C20:E20"/>
    <mergeCell ref="C27:E27"/>
    <mergeCell ref="C28:E28"/>
    <mergeCell ref="C29:E29"/>
  </mergeCells>
  <hyperlinks>
    <hyperlink ref="B2" location="cover!B18" display="return to TOC" xr:uid="{4FC812B6-7553-47FF-91FB-5B1F02F989EB}"/>
  </hyperlink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D20C6-AC0E-4DB0-83C1-5B6910EE7A58}">
  <sheetPr published="0" codeName="Sheet30">
    <tabColor rgb="FF2171B5"/>
  </sheetPr>
  <dimension ref="A1:AX935"/>
  <sheetViews>
    <sheetView workbookViewId="0"/>
  </sheetViews>
  <sheetFormatPr defaultColWidth="10.83203125" defaultRowHeight="12.95" customHeight="1" x14ac:dyDescent="0.2"/>
  <cols>
    <col min="1" max="1" width="1.83203125" style="253" customWidth="1"/>
    <col min="2" max="4" width="2.83203125" style="253" customWidth="1"/>
    <col min="5" max="5" width="32.83203125" style="253" customWidth="1"/>
    <col min="6" max="6" width="8.83203125" style="253" customWidth="1"/>
    <col min="7" max="8" width="10.83203125" style="253" customWidth="1"/>
    <col min="9" max="9" width="8.83203125" style="253" customWidth="1"/>
    <col min="10" max="48" width="8.83203125" style="250" customWidth="1"/>
    <col min="49" max="49" width="75.83203125" style="253" customWidth="1"/>
    <col min="50" max="50" width="10.83203125" style="253" customWidth="1"/>
    <col min="51" max="16384" width="10.83203125" style="253"/>
  </cols>
  <sheetData>
    <row r="1" spans="1:50" ht="30" customHeight="1" x14ac:dyDescent="0.2">
      <c r="A1" s="85"/>
      <c r="B1" s="86" t="s">
        <v>1024</v>
      </c>
      <c r="C1" s="302"/>
      <c r="D1" s="302"/>
      <c r="E1" s="302"/>
      <c r="F1" s="302"/>
      <c r="G1" s="14"/>
      <c r="H1" s="14"/>
      <c r="I1" s="14"/>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14"/>
      <c r="AX1" s="14"/>
    </row>
    <row r="2" spans="1:50" ht="12.95" customHeight="1" x14ac:dyDescent="0.2">
      <c r="A2" s="85"/>
      <c r="B2" s="81" t="s">
        <v>349</v>
      </c>
      <c r="C2" s="21"/>
      <c r="D2" s="21"/>
      <c r="E2" s="21"/>
      <c r="F2" s="21"/>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row>
    <row r="3" spans="1:50" ht="12.95" customHeight="1" x14ac:dyDescent="0.2">
      <c r="B3" s="21"/>
      <c r="C3" s="21"/>
      <c r="D3" s="21"/>
      <c r="E3" s="21"/>
      <c r="F3" s="21"/>
      <c r="I3" s="81"/>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row>
    <row r="4" spans="1:50" s="54" customFormat="1" ht="12.95" customHeight="1" x14ac:dyDescent="0.25">
      <c r="B4" s="105" t="s">
        <v>1023</v>
      </c>
      <c r="C4" s="106"/>
      <c r="D4" s="106"/>
      <c r="E4" s="106"/>
      <c r="F4" s="106"/>
      <c r="G4" s="106"/>
      <c r="H4" s="106"/>
      <c r="I4" s="106"/>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8"/>
    </row>
    <row r="5" spans="1:50" s="54" customFormat="1" ht="12.95" customHeight="1" x14ac:dyDescent="0.25">
      <c r="B5" s="19" t="s">
        <v>300</v>
      </c>
      <c r="C5" s="75"/>
      <c r="D5" s="75"/>
      <c r="E5" s="74"/>
      <c r="F5" s="74"/>
      <c r="G5" s="113" t="s">
        <v>1</v>
      </c>
      <c r="H5" s="114" t="s">
        <v>456</v>
      </c>
      <c r="I5" s="114" t="s">
        <v>381</v>
      </c>
      <c r="J5" s="56" t="s">
        <v>382</v>
      </c>
      <c r="K5" s="56" t="s">
        <v>383</v>
      </c>
      <c r="L5" s="56" t="s">
        <v>384</v>
      </c>
      <c r="M5" s="56" t="s">
        <v>385</v>
      </c>
      <c r="N5" s="56" t="s">
        <v>386</v>
      </c>
      <c r="O5" s="56" t="s">
        <v>387</v>
      </c>
      <c r="P5" s="56" t="s">
        <v>388</v>
      </c>
      <c r="Q5" s="56" t="s">
        <v>389</v>
      </c>
      <c r="R5" s="56" t="s">
        <v>390</v>
      </c>
      <c r="S5" s="56" t="s">
        <v>401</v>
      </c>
      <c r="T5" s="56" t="s">
        <v>402</v>
      </c>
      <c r="U5" s="56" t="s">
        <v>403</v>
      </c>
      <c r="V5" s="56" t="s">
        <v>404</v>
      </c>
      <c r="W5" s="56" t="s">
        <v>405</v>
      </c>
      <c r="X5" s="56" t="s">
        <v>406</v>
      </c>
      <c r="Y5" s="56" t="s">
        <v>407</v>
      </c>
      <c r="Z5" s="56" t="s">
        <v>408</v>
      </c>
      <c r="AA5" s="56" t="s">
        <v>409</v>
      </c>
      <c r="AB5" s="56" t="s">
        <v>410</v>
      </c>
      <c r="AC5" s="56" t="s">
        <v>411</v>
      </c>
      <c r="AD5" s="56" t="s">
        <v>412</v>
      </c>
      <c r="AE5" s="56" t="s">
        <v>413</v>
      </c>
      <c r="AF5" s="56" t="s">
        <v>414</v>
      </c>
      <c r="AG5" s="56" t="s">
        <v>415</v>
      </c>
      <c r="AH5" s="56" t="s">
        <v>416</v>
      </c>
      <c r="AI5" s="56" t="s">
        <v>417</v>
      </c>
      <c r="AJ5" s="56" t="s">
        <v>418</v>
      </c>
      <c r="AK5" s="56" t="s">
        <v>419</v>
      </c>
      <c r="AL5" s="56" t="s">
        <v>420</v>
      </c>
      <c r="AM5" s="56" t="s">
        <v>421</v>
      </c>
      <c r="AN5" s="56" t="s">
        <v>422</v>
      </c>
      <c r="AO5" s="56" t="s">
        <v>423</v>
      </c>
      <c r="AP5" s="56" t="s">
        <v>424</v>
      </c>
      <c r="AQ5" s="56" t="s">
        <v>425</v>
      </c>
      <c r="AR5" s="56" t="s">
        <v>426</v>
      </c>
      <c r="AS5" s="56" t="s">
        <v>427</v>
      </c>
      <c r="AT5" s="56" t="s">
        <v>428</v>
      </c>
      <c r="AU5" s="56" t="s">
        <v>429</v>
      </c>
      <c r="AV5" s="56" t="s">
        <v>430</v>
      </c>
      <c r="AW5" s="5" t="s">
        <v>2</v>
      </c>
      <c r="AX5" s="14"/>
    </row>
    <row r="6" spans="1:50" ht="12.95" customHeight="1" x14ac:dyDescent="0.2">
      <c r="B6" s="14" t="s">
        <v>971</v>
      </c>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c r="AT6" s="171"/>
      <c r="AU6" s="171"/>
      <c r="AV6" s="171"/>
    </row>
    <row r="7" spans="1:50" ht="12.95" customHeight="1" x14ac:dyDescent="0.2">
      <c r="B7" s="14"/>
      <c r="C7" s="253" t="s">
        <v>858</v>
      </c>
      <c r="F7" s="253" t="s">
        <v>493</v>
      </c>
      <c r="G7" s="253" t="s">
        <v>432</v>
      </c>
      <c r="H7" s="147"/>
      <c r="I7" s="124">
        <f>SLASH!$F$30*INDEX(decay!$H$14:$AV$14,MATCH(I52,decay!$H$10:$AV$10,0))</f>
        <v>0</v>
      </c>
      <c r="J7" s="124">
        <f>SLASH!$F$30*INDEX(decay!$H$14:$AV$14,MATCH(J52,decay!$H$10:$AV$10,0))</f>
        <v>0</v>
      </c>
      <c r="K7" s="124">
        <f>SLASH!$F$30*INDEX(decay!$H$14:$AV$14,MATCH(K52,decay!$H$10:$AV$10,0))</f>
        <v>0</v>
      </c>
      <c r="L7" s="124">
        <f>SLASH!$F$30*INDEX(decay!$H$14:$AV$14,MATCH(L52,decay!$H$10:$AV$10,0))</f>
        <v>0</v>
      </c>
      <c r="M7" s="124">
        <f>SLASH!$F$30*INDEX(decay!$H$14:$AV$14,MATCH(M52,decay!$H$10:$AV$10,0))</f>
        <v>0</v>
      </c>
      <c r="N7" s="124">
        <f>SLASH!$F$30*INDEX(decay!$H$14:$AV$14,MATCH(N52,decay!$H$10:$AV$10,0))</f>
        <v>0</v>
      </c>
      <c r="O7" s="124">
        <f>SLASH!$F$30*INDEX(decay!$H$14:$AV$14,MATCH(O52,decay!$H$10:$AV$10,0))</f>
        <v>0</v>
      </c>
      <c r="P7" s="124">
        <f>SLASH!$F$30*INDEX(decay!$H$14:$AV$14,MATCH(P52,decay!$H$10:$AV$10,0))</f>
        <v>0</v>
      </c>
      <c r="Q7" s="124">
        <f>SLASH!$F$30*INDEX(decay!$H$14:$AV$14,MATCH(Q52,decay!$H$10:$AV$10,0))</f>
        <v>0</v>
      </c>
      <c r="R7" s="124">
        <f>SLASH!$F$30*INDEX(decay!$H$14:$AV$14,MATCH(R52,decay!$H$10:$AV$10,0))</f>
        <v>0</v>
      </c>
      <c r="S7" s="124">
        <f>SLASH!$F$30*INDEX(decay!$H$14:$AV$14,MATCH(S52,decay!$H$10:$AV$10,0))</f>
        <v>0</v>
      </c>
      <c r="T7" s="124">
        <f>SLASH!$F$30*INDEX(decay!$H$14:$AV$14,MATCH(T52,decay!$H$10:$AV$10,0))</f>
        <v>0</v>
      </c>
      <c r="U7" s="124">
        <f>SLASH!$F$30*INDEX(decay!$H$14:$AV$14,MATCH(U52,decay!$H$10:$AV$10,0))</f>
        <v>0</v>
      </c>
      <c r="V7" s="124">
        <f>SLASH!$F$30*INDEX(decay!$H$14:$AV$14,MATCH(V52,decay!$H$10:$AV$10,0))</f>
        <v>0</v>
      </c>
      <c r="W7" s="124">
        <f>SLASH!$F$30*INDEX(decay!$H$14:$AV$14,MATCH(W52,decay!$H$10:$AV$10,0))</f>
        <v>0</v>
      </c>
      <c r="X7" s="124">
        <f>SLASH!$F$30*INDEX(decay!$H$14:$AV$14,MATCH(X52,decay!$H$10:$AV$10,0))</f>
        <v>0</v>
      </c>
      <c r="Y7" s="124">
        <f>SLASH!$F$30*INDEX(decay!$H$14:$AV$14,MATCH(Y52,decay!$H$10:$AV$10,0))</f>
        <v>0</v>
      </c>
      <c r="Z7" s="124">
        <f>SLASH!$F$30*INDEX(decay!$H$14:$AV$14,MATCH(Z52,decay!$H$10:$AV$10,0))</f>
        <v>0</v>
      </c>
      <c r="AA7" s="124">
        <f>SLASH!$F$30*INDEX(decay!$H$14:$AV$14,MATCH(AA52,decay!$H$10:$AV$10,0))</f>
        <v>0</v>
      </c>
      <c r="AB7" s="124">
        <f>SLASH!$F$30*INDEX(decay!$H$14:$AV$14,MATCH(AB52,decay!$H$10:$AV$10,0))</f>
        <v>0</v>
      </c>
      <c r="AC7" s="124">
        <f>SLASH!$F$30*INDEX(decay!$H$14:$AV$14,MATCH(AC52,decay!$H$10:$AV$10,0))</f>
        <v>0</v>
      </c>
      <c r="AD7" s="124">
        <f>SLASH!$F$30*INDEX(decay!$H$14:$AV$14,MATCH(AD52,decay!$H$10:$AV$10,0))</f>
        <v>0</v>
      </c>
      <c r="AE7" s="124">
        <f>SLASH!$F$30*INDEX(decay!$H$14:$AV$14,MATCH(AE52,decay!$H$10:$AV$10,0))</f>
        <v>0</v>
      </c>
      <c r="AF7" s="124">
        <f>SLASH!$F$30*INDEX(decay!$H$14:$AV$14,MATCH(AF52,decay!$H$10:$AV$10,0))</f>
        <v>0</v>
      </c>
      <c r="AG7" s="124">
        <f>SLASH!$F$30*INDEX(decay!$H$14:$AV$14,MATCH(AG52,decay!$H$10:$AV$10,0))</f>
        <v>0</v>
      </c>
      <c r="AH7" s="124">
        <f>SLASH!$F$30*INDEX(decay!$H$14:$AV$14,MATCH(AH52,decay!$H$10:$AV$10,0))</f>
        <v>0</v>
      </c>
      <c r="AI7" s="124">
        <f>SLASH!$F$30*INDEX(decay!$H$14:$AV$14,MATCH(AI52,decay!$H$10:$AV$10,0))</f>
        <v>0</v>
      </c>
      <c r="AJ7" s="124">
        <f>SLASH!$F$30*INDEX(decay!$H$14:$AV$14,MATCH(AJ52,decay!$H$10:$AV$10,0))</f>
        <v>0</v>
      </c>
      <c r="AK7" s="124">
        <f>SLASH!$F$30*INDEX(decay!$H$14:$AV$14,MATCH(AK52,decay!$H$10:$AV$10,0))</f>
        <v>0</v>
      </c>
      <c r="AL7" s="124">
        <f>SLASH!$F$30*INDEX(decay!$H$14:$AV$14,MATCH(AL52,decay!$H$10:$AV$10,0))</f>
        <v>0</v>
      </c>
      <c r="AM7" s="124">
        <f>SLASH!$F$30*INDEX(decay!$H$14:$AV$14,MATCH(AM52,decay!$H$10:$AV$10,0))</f>
        <v>0</v>
      </c>
      <c r="AN7" s="124">
        <f>SLASH!$F$30*INDEX(decay!$H$14:$AV$14,MATCH(AN52,decay!$H$10:$AV$10,0))</f>
        <v>0</v>
      </c>
      <c r="AO7" s="124">
        <f>SLASH!$F$30*INDEX(decay!$H$14:$AV$14,MATCH(AO52,decay!$H$10:$AV$10,0))</f>
        <v>0</v>
      </c>
      <c r="AP7" s="124">
        <f>SLASH!$F$30*INDEX(decay!$H$14:$AV$14,MATCH(AP52,decay!$H$10:$AV$10,0))</f>
        <v>0</v>
      </c>
      <c r="AQ7" s="124">
        <f>SLASH!$F$30*INDEX(decay!$H$14:$AV$14,MATCH(AQ52,decay!$H$10:$AV$10,0))</f>
        <v>0</v>
      </c>
      <c r="AR7" s="124">
        <f>SLASH!$F$30*INDEX(decay!$H$14:$AV$14,MATCH(AR52,decay!$H$10:$AV$10,0))</f>
        <v>0</v>
      </c>
      <c r="AS7" s="124">
        <f>SLASH!$F$30*INDEX(decay!$H$14:$AV$14,MATCH(AS52,decay!$H$10:$AV$10,0))</f>
        <v>0</v>
      </c>
      <c r="AT7" s="124">
        <f>SLASH!$F$30*INDEX(decay!$H$14:$AV$14,MATCH(AT52,decay!$H$10:$AV$10,0))</f>
        <v>0</v>
      </c>
      <c r="AU7" s="124">
        <f>SLASH!$F$30*INDEX(decay!$H$14:$AV$14,MATCH(AU52,decay!$H$10:$AV$10,0))</f>
        <v>0</v>
      </c>
      <c r="AV7" s="124">
        <f>SLASH!$F$30*INDEX(decay!$H$14:$AV$14,MATCH(AV52,decay!$H$10:$AV$10,0))</f>
        <v>0</v>
      </c>
    </row>
    <row r="8" spans="1:50" ht="12.95" customHeight="1" x14ac:dyDescent="0.2">
      <c r="B8" s="14"/>
      <c r="C8" s="253" t="s">
        <v>859</v>
      </c>
      <c r="F8" s="253" t="s">
        <v>493</v>
      </c>
      <c r="G8" s="253" t="s">
        <v>432</v>
      </c>
      <c r="H8" s="147"/>
      <c r="I8" s="147"/>
      <c r="J8" s="124">
        <f t="shared" ref="J8:AV8" si="0">IF(J53&gt;0,I7,0)</f>
        <v>0</v>
      </c>
      <c r="K8" s="124">
        <f t="shared" si="0"/>
        <v>0</v>
      </c>
      <c r="L8" s="124">
        <f t="shared" si="0"/>
        <v>0</v>
      </c>
      <c r="M8" s="124">
        <f t="shared" si="0"/>
        <v>0</v>
      </c>
      <c r="N8" s="124">
        <f t="shared" si="0"/>
        <v>0</v>
      </c>
      <c r="O8" s="124">
        <f t="shared" si="0"/>
        <v>0</v>
      </c>
      <c r="P8" s="124">
        <f t="shared" si="0"/>
        <v>0</v>
      </c>
      <c r="Q8" s="124">
        <f t="shared" si="0"/>
        <v>0</v>
      </c>
      <c r="R8" s="124">
        <f t="shared" si="0"/>
        <v>0</v>
      </c>
      <c r="S8" s="124">
        <f t="shared" si="0"/>
        <v>0</v>
      </c>
      <c r="T8" s="124">
        <f t="shared" si="0"/>
        <v>0</v>
      </c>
      <c r="U8" s="124">
        <f t="shared" si="0"/>
        <v>0</v>
      </c>
      <c r="V8" s="124">
        <f t="shared" si="0"/>
        <v>0</v>
      </c>
      <c r="W8" s="124">
        <f t="shared" si="0"/>
        <v>0</v>
      </c>
      <c r="X8" s="124">
        <f t="shared" si="0"/>
        <v>0</v>
      </c>
      <c r="Y8" s="124">
        <f t="shared" si="0"/>
        <v>0</v>
      </c>
      <c r="Z8" s="124">
        <f t="shared" si="0"/>
        <v>0</v>
      </c>
      <c r="AA8" s="124">
        <f t="shared" si="0"/>
        <v>0</v>
      </c>
      <c r="AB8" s="124">
        <f t="shared" si="0"/>
        <v>0</v>
      </c>
      <c r="AC8" s="124">
        <f t="shared" si="0"/>
        <v>0</v>
      </c>
      <c r="AD8" s="124">
        <f t="shared" si="0"/>
        <v>0</v>
      </c>
      <c r="AE8" s="124">
        <f t="shared" si="0"/>
        <v>0</v>
      </c>
      <c r="AF8" s="124">
        <f t="shared" si="0"/>
        <v>0</v>
      </c>
      <c r="AG8" s="124">
        <f t="shared" si="0"/>
        <v>0</v>
      </c>
      <c r="AH8" s="124">
        <f t="shared" si="0"/>
        <v>0</v>
      </c>
      <c r="AI8" s="124">
        <f t="shared" si="0"/>
        <v>0</v>
      </c>
      <c r="AJ8" s="124">
        <f t="shared" si="0"/>
        <v>0</v>
      </c>
      <c r="AK8" s="124">
        <f t="shared" si="0"/>
        <v>0</v>
      </c>
      <c r="AL8" s="124">
        <f t="shared" si="0"/>
        <v>0</v>
      </c>
      <c r="AM8" s="124">
        <f t="shared" si="0"/>
        <v>0</v>
      </c>
      <c r="AN8" s="124">
        <f t="shared" si="0"/>
        <v>0</v>
      </c>
      <c r="AO8" s="124">
        <f t="shared" si="0"/>
        <v>0</v>
      </c>
      <c r="AP8" s="124">
        <f t="shared" si="0"/>
        <v>0</v>
      </c>
      <c r="AQ8" s="124">
        <f t="shared" si="0"/>
        <v>0</v>
      </c>
      <c r="AR8" s="124">
        <f t="shared" si="0"/>
        <v>0</v>
      </c>
      <c r="AS8" s="124">
        <f t="shared" si="0"/>
        <v>0</v>
      </c>
      <c r="AT8" s="124">
        <f t="shared" si="0"/>
        <v>0</v>
      </c>
      <c r="AU8" s="124">
        <f t="shared" si="0"/>
        <v>0</v>
      </c>
      <c r="AV8" s="124">
        <f t="shared" si="0"/>
        <v>0</v>
      </c>
    </row>
    <row r="9" spans="1:50" ht="12.95" customHeight="1" x14ac:dyDescent="0.2">
      <c r="B9" s="14"/>
      <c r="C9" s="253" t="s">
        <v>860</v>
      </c>
      <c r="F9" s="253" t="s">
        <v>493</v>
      </c>
      <c r="G9" s="253" t="s">
        <v>432</v>
      </c>
      <c r="H9" s="277"/>
      <c r="I9" s="147"/>
      <c r="J9" s="124"/>
      <c r="K9" s="124">
        <f t="shared" ref="K9:AV9" si="1">IF(K54&gt;0,J8,0)</f>
        <v>0</v>
      </c>
      <c r="L9" s="124">
        <f t="shared" si="1"/>
        <v>0</v>
      </c>
      <c r="M9" s="124">
        <f t="shared" si="1"/>
        <v>0</v>
      </c>
      <c r="N9" s="124">
        <f t="shared" si="1"/>
        <v>0</v>
      </c>
      <c r="O9" s="124">
        <f t="shared" si="1"/>
        <v>0</v>
      </c>
      <c r="P9" s="124">
        <f t="shared" si="1"/>
        <v>0</v>
      </c>
      <c r="Q9" s="124">
        <f t="shared" si="1"/>
        <v>0</v>
      </c>
      <c r="R9" s="124">
        <f t="shared" si="1"/>
        <v>0</v>
      </c>
      <c r="S9" s="124">
        <f t="shared" si="1"/>
        <v>0</v>
      </c>
      <c r="T9" s="124">
        <f t="shared" si="1"/>
        <v>0</v>
      </c>
      <c r="U9" s="124">
        <f t="shared" si="1"/>
        <v>0</v>
      </c>
      <c r="V9" s="124">
        <f t="shared" si="1"/>
        <v>0</v>
      </c>
      <c r="W9" s="124">
        <f t="shared" si="1"/>
        <v>0</v>
      </c>
      <c r="X9" s="124">
        <f t="shared" si="1"/>
        <v>0</v>
      </c>
      <c r="Y9" s="124">
        <f t="shared" si="1"/>
        <v>0</v>
      </c>
      <c r="Z9" s="124">
        <f t="shared" si="1"/>
        <v>0</v>
      </c>
      <c r="AA9" s="124">
        <f t="shared" si="1"/>
        <v>0</v>
      </c>
      <c r="AB9" s="124">
        <f t="shared" si="1"/>
        <v>0</v>
      </c>
      <c r="AC9" s="124">
        <f t="shared" si="1"/>
        <v>0</v>
      </c>
      <c r="AD9" s="124">
        <f t="shared" si="1"/>
        <v>0</v>
      </c>
      <c r="AE9" s="124">
        <f t="shared" si="1"/>
        <v>0</v>
      </c>
      <c r="AF9" s="124">
        <f t="shared" si="1"/>
        <v>0</v>
      </c>
      <c r="AG9" s="124">
        <f t="shared" si="1"/>
        <v>0</v>
      </c>
      <c r="AH9" s="124">
        <f t="shared" si="1"/>
        <v>0</v>
      </c>
      <c r="AI9" s="124">
        <f t="shared" si="1"/>
        <v>0</v>
      </c>
      <c r="AJ9" s="124">
        <f t="shared" si="1"/>
        <v>0</v>
      </c>
      <c r="AK9" s="124">
        <f t="shared" si="1"/>
        <v>0</v>
      </c>
      <c r="AL9" s="124">
        <f t="shared" si="1"/>
        <v>0</v>
      </c>
      <c r="AM9" s="124">
        <f t="shared" si="1"/>
        <v>0</v>
      </c>
      <c r="AN9" s="124">
        <f t="shared" si="1"/>
        <v>0</v>
      </c>
      <c r="AO9" s="124">
        <f t="shared" si="1"/>
        <v>0</v>
      </c>
      <c r="AP9" s="124">
        <f t="shared" si="1"/>
        <v>0</v>
      </c>
      <c r="AQ9" s="124">
        <f t="shared" si="1"/>
        <v>0</v>
      </c>
      <c r="AR9" s="124">
        <f t="shared" si="1"/>
        <v>0</v>
      </c>
      <c r="AS9" s="124">
        <f t="shared" si="1"/>
        <v>0</v>
      </c>
      <c r="AT9" s="124">
        <f t="shared" si="1"/>
        <v>0</v>
      </c>
      <c r="AU9" s="124">
        <f t="shared" si="1"/>
        <v>0</v>
      </c>
      <c r="AV9" s="124">
        <f t="shared" si="1"/>
        <v>0</v>
      </c>
    </row>
    <row r="10" spans="1:50" ht="12.95" customHeight="1" x14ac:dyDescent="0.2">
      <c r="B10" s="14"/>
      <c r="C10" s="253" t="s">
        <v>861</v>
      </c>
      <c r="F10" s="253" t="s">
        <v>493</v>
      </c>
      <c r="G10" s="253" t="s">
        <v>432</v>
      </c>
      <c r="H10" s="277"/>
      <c r="I10" s="147"/>
      <c r="J10" s="124"/>
      <c r="K10" s="124"/>
      <c r="L10" s="124">
        <f t="shared" ref="L10:AV10" si="2">IF(L55&gt;0,K9,0)</f>
        <v>0</v>
      </c>
      <c r="M10" s="124">
        <f t="shared" si="2"/>
        <v>0</v>
      </c>
      <c r="N10" s="124">
        <f t="shared" si="2"/>
        <v>0</v>
      </c>
      <c r="O10" s="124">
        <f t="shared" si="2"/>
        <v>0</v>
      </c>
      <c r="P10" s="124">
        <f t="shared" si="2"/>
        <v>0</v>
      </c>
      <c r="Q10" s="124">
        <f t="shared" si="2"/>
        <v>0</v>
      </c>
      <c r="R10" s="124">
        <f t="shared" si="2"/>
        <v>0</v>
      </c>
      <c r="S10" s="124">
        <f t="shared" si="2"/>
        <v>0</v>
      </c>
      <c r="T10" s="124">
        <f t="shared" si="2"/>
        <v>0</v>
      </c>
      <c r="U10" s="124">
        <f t="shared" si="2"/>
        <v>0</v>
      </c>
      <c r="V10" s="124">
        <f t="shared" si="2"/>
        <v>0</v>
      </c>
      <c r="W10" s="124">
        <f t="shared" si="2"/>
        <v>0</v>
      </c>
      <c r="X10" s="124">
        <f t="shared" si="2"/>
        <v>0</v>
      </c>
      <c r="Y10" s="124">
        <f t="shared" si="2"/>
        <v>0</v>
      </c>
      <c r="Z10" s="124">
        <f t="shared" si="2"/>
        <v>0</v>
      </c>
      <c r="AA10" s="124">
        <f t="shared" si="2"/>
        <v>0</v>
      </c>
      <c r="AB10" s="124">
        <f t="shared" si="2"/>
        <v>0</v>
      </c>
      <c r="AC10" s="124">
        <f t="shared" si="2"/>
        <v>0</v>
      </c>
      <c r="AD10" s="124">
        <f t="shared" si="2"/>
        <v>0</v>
      </c>
      <c r="AE10" s="124">
        <f t="shared" si="2"/>
        <v>0</v>
      </c>
      <c r="AF10" s="124">
        <f t="shared" si="2"/>
        <v>0</v>
      </c>
      <c r="AG10" s="124">
        <f t="shared" si="2"/>
        <v>0</v>
      </c>
      <c r="AH10" s="124">
        <f t="shared" si="2"/>
        <v>0</v>
      </c>
      <c r="AI10" s="124">
        <f t="shared" si="2"/>
        <v>0</v>
      </c>
      <c r="AJ10" s="124">
        <f t="shared" si="2"/>
        <v>0</v>
      </c>
      <c r="AK10" s="124">
        <f t="shared" si="2"/>
        <v>0</v>
      </c>
      <c r="AL10" s="124">
        <f t="shared" si="2"/>
        <v>0</v>
      </c>
      <c r="AM10" s="124">
        <f t="shared" si="2"/>
        <v>0</v>
      </c>
      <c r="AN10" s="124">
        <f t="shared" si="2"/>
        <v>0</v>
      </c>
      <c r="AO10" s="124">
        <f t="shared" si="2"/>
        <v>0</v>
      </c>
      <c r="AP10" s="124">
        <f t="shared" si="2"/>
        <v>0</v>
      </c>
      <c r="AQ10" s="124">
        <f t="shared" si="2"/>
        <v>0</v>
      </c>
      <c r="AR10" s="124">
        <f t="shared" si="2"/>
        <v>0</v>
      </c>
      <c r="AS10" s="124">
        <f t="shared" si="2"/>
        <v>0</v>
      </c>
      <c r="AT10" s="124">
        <f t="shared" si="2"/>
        <v>0</v>
      </c>
      <c r="AU10" s="124">
        <f t="shared" si="2"/>
        <v>0</v>
      </c>
      <c r="AV10" s="124">
        <f t="shared" si="2"/>
        <v>0</v>
      </c>
    </row>
    <row r="11" spans="1:50" ht="12.95" customHeight="1" x14ac:dyDescent="0.2">
      <c r="B11" s="14"/>
      <c r="C11" s="253" t="s">
        <v>862</v>
      </c>
      <c r="F11" s="253" t="s">
        <v>493</v>
      </c>
      <c r="G11" s="253" t="s">
        <v>432</v>
      </c>
      <c r="H11" s="277"/>
      <c r="I11" s="147"/>
      <c r="J11" s="124"/>
      <c r="K11" s="124"/>
      <c r="L11" s="124"/>
      <c r="M11" s="124">
        <f t="shared" ref="M11:AV11" si="3">IF(M56&gt;0,L10,0)</f>
        <v>0</v>
      </c>
      <c r="N11" s="124">
        <f t="shared" si="3"/>
        <v>0</v>
      </c>
      <c r="O11" s="124">
        <f t="shared" si="3"/>
        <v>0</v>
      </c>
      <c r="P11" s="124">
        <f t="shared" si="3"/>
        <v>0</v>
      </c>
      <c r="Q11" s="124">
        <f t="shared" si="3"/>
        <v>0</v>
      </c>
      <c r="R11" s="124">
        <f t="shared" si="3"/>
        <v>0</v>
      </c>
      <c r="S11" s="124">
        <f t="shared" si="3"/>
        <v>0</v>
      </c>
      <c r="T11" s="124">
        <f t="shared" si="3"/>
        <v>0</v>
      </c>
      <c r="U11" s="124">
        <f t="shared" si="3"/>
        <v>0</v>
      </c>
      <c r="V11" s="124">
        <f t="shared" si="3"/>
        <v>0</v>
      </c>
      <c r="W11" s="124">
        <f t="shared" si="3"/>
        <v>0</v>
      </c>
      <c r="X11" s="124">
        <f t="shared" si="3"/>
        <v>0</v>
      </c>
      <c r="Y11" s="124">
        <f t="shared" si="3"/>
        <v>0</v>
      </c>
      <c r="Z11" s="124">
        <f t="shared" si="3"/>
        <v>0</v>
      </c>
      <c r="AA11" s="124">
        <f t="shared" si="3"/>
        <v>0</v>
      </c>
      <c r="AB11" s="124">
        <f t="shared" si="3"/>
        <v>0</v>
      </c>
      <c r="AC11" s="124">
        <f t="shared" si="3"/>
        <v>0</v>
      </c>
      <c r="AD11" s="124">
        <f t="shared" si="3"/>
        <v>0</v>
      </c>
      <c r="AE11" s="124">
        <f t="shared" si="3"/>
        <v>0</v>
      </c>
      <c r="AF11" s="124">
        <f t="shared" si="3"/>
        <v>0</v>
      </c>
      <c r="AG11" s="124">
        <f t="shared" si="3"/>
        <v>0</v>
      </c>
      <c r="AH11" s="124">
        <f t="shared" si="3"/>
        <v>0</v>
      </c>
      <c r="AI11" s="124">
        <f t="shared" si="3"/>
        <v>0</v>
      </c>
      <c r="AJ11" s="124">
        <f t="shared" si="3"/>
        <v>0</v>
      </c>
      <c r="AK11" s="124">
        <f t="shared" si="3"/>
        <v>0</v>
      </c>
      <c r="AL11" s="124">
        <f t="shared" si="3"/>
        <v>0</v>
      </c>
      <c r="AM11" s="124">
        <f t="shared" si="3"/>
        <v>0</v>
      </c>
      <c r="AN11" s="124">
        <f t="shared" si="3"/>
        <v>0</v>
      </c>
      <c r="AO11" s="124">
        <f t="shared" si="3"/>
        <v>0</v>
      </c>
      <c r="AP11" s="124">
        <f t="shared" si="3"/>
        <v>0</v>
      </c>
      <c r="AQ11" s="124">
        <f t="shared" si="3"/>
        <v>0</v>
      </c>
      <c r="AR11" s="124">
        <f t="shared" si="3"/>
        <v>0</v>
      </c>
      <c r="AS11" s="124">
        <f t="shared" si="3"/>
        <v>0</v>
      </c>
      <c r="AT11" s="124">
        <f t="shared" si="3"/>
        <v>0</v>
      </c>
      <c r="AU11" s="124">
        <f t="shared" si="3"/>
        <v>0</v>
      </c>
      <c r="AV11" s="124">
        <f t="shared" si="3"/>
        <v>0</v>
      </c>
    </row>
    <row r="12" spans="1:50" ht="12.95" customHeight="1" x14ac:dyDescent="0.2">
      <c r="B12" s="14"/>
      <c r="C12" s="253" t="s">
        <v>863</v>
      </c>
      <c r="F12" s="253" t="s">
        <v>493</v>
      </c>
      <c r="G12" s="253" t="s">
        <v>432</v>
      </c>
      <c r="H12" s="277"/>
      <c r="I12" s="147"/>
      <c r="J12" s="124"/>
      <c r="K12" s="124"/>
      <c r="L12" s="124"/>
      <c r="M12" s="124"/>
      <c r="N12" s="124">
        <f t="shared" ref="N12:AV12" si="4">IF(N57&gt;0,M11,0)</f>
        <v>0</v>
      </c>
      <c r="O12" s="124">
        <f t="shared" si="4"/>
        <v>0</v>
      </c>
      <c r="P12" s="124">
        <f t="shared" si="4"/>
        <v>0</v>
      </c>
      <c r="Q12" s="124">
        <f t="shared" si="4"/>
        <v>0</v>
      </c>
      <c r="R12" s="124">
        <f t="shared" si="4"/>
        <v>0</v>
      </c>
      <c r="S12" s="124">
        <f t="shared" si="4"/>
        <v>0</v>
      </c>
      <c r="T12" s="124">
        <f t="shared" si="4"/>
        <v>0</v>
      </c>
      <c r="U12" s="124">
        <f t="shared" si="4"/>
        <v>0</v>
      </c>
      <c r="V12" s="124">
        <f t="shared" si="4"/>
        <v>0</v>
      </c>
      <c r="W12" s="124">
        <f t="shared" si="4"/>
        <v>0</v>
      </c>
      <c r="X12" s="124">
        <f t="shared" si="4"/>
        <v>0</v>
      </c>
      <c r="Y12" s="124">
        <f t="shared" si="4"/>
        <v>0</v>
      </c>
      <c r="Z12" s="124">
        <f t="shared" si="4"/>
        <v>0</v>
      </c>
      <c r="AA12" s="124">
        <f t="shared" si="4"/>
        <v>0</v>
      </c>
      <c r="AB12" s="124">
        <f t="shared" si="4"/>
        <v>0</v>
      </c>
      <c r="AC12" s="124">
        <f t="shared" si="4"/>
        <v>0</v>
      </c>
      <c r="AD12" s="124">
        <f t="shared" si="4"/>
        <v>0</v>
      </c>
      <c r="AE12" s="124">
        <f t="shared" si="4"/>
        <v>0</v>
      </c>
      <c r="AF12" s="124">
        <f t="shared" si="4"/>
        <v>0</v>
      </c>
      <c r="AG12" s="124">
        <f t="shared" si="4"/>
        <v>0</v>
      </c>
      <c r="AH12" s="124">
        <f t="shared" si="4"/>
        <v>0</v>
      </c>
      <c r="AI12" s="124">
        <f t="shared" si="4"/>
        <v>0</v>
      </c>
      <c r="AJ12" s="124">
        <f t="shared" si="4"/>
        <v>0</v>
      </c>
      <c r="AK12" s="124">
        <f t="shared" si="4"/>
        <v>0</v>
      </c>
      <c r="AL12" s="124">
        <f t="shared" si="4"/>
        <v>0</v>
      </c>
      <c r="AM12" s="124">
        <f t="shared" si="4"/>
        <v>0</v>
      </c>
      <c r="AN12" s="124">
        <f t="shared" si="4"/>
        <v>0</v>
      </c>
      <c r="AO12" s="124">
        <f t="shared" si="4"/>
        <v>0</v>
      </c>
      <c r="AP12" s="124">
        <f t="shared" si="4"/>
        <v>0</v>
      </c>
      <c r="AQ12" s="124">
        <f t="shared" si="4"/>
        <v>0</v>
      </c>
      <c r="AR12" s="124">
        <f t="shared" si="4"/>
        <v>0</v>
      </c>
      <c r="AS12" s="124">
        <f t="shared" si="4"/>
        <v>0</v>
      </c>
      <c r="AT12" s="124">
        <f t="shared" si="4"/>
        <v>0</v>
      </c>
      <c r="AU12" s="124">
        <f t="shared" si="4"/>
        <v>0</v>
      </c>
      <c r="AV12" s="124">
        <f t="shared" si="4"/>
        <v>0</v>
      </c>
    </row>
    <row r="13" spans="1:50" ht="12.95" customHeight="1" x14ac:dyDescent="0.2">
      <c r="B13" s="14"/>
      <c r="C13" s="253" t="s">
        <v>864</v>
      </c>
      <c r="F13" s="253" t="s">
        <v>493</v>
      </c>
      <c r="G13" s="253" t="s">
        <v>432</v>
      </c>
      <c r="H13" s="277"/>
      <c r="I13" s="147"/>
      <c r="J13" s="124"/>
      <c r="K13" s="124"/>
      <c r="L13" s="124"/>
      <c r="M13" s="124"/>
      <c r="N13" s="124"/>
      <c r="O13" s="124">
        <f t="shared" ref="O13:AV13" si="5">IF(O58&gt;0,N12,0)</f>
        <v>0</v>
      </c>
      <c r="P13" s="124">
        <f t="shared" si="5"/>
        <v>0</v>
      </c>
      <c r="Q13" s="124">
        <f t="shared" si="5"/>
        <v>0</v>
      </c>
      <c r="R13" s="124">
        <f t="shared" si="5"/>
        <v>0</v>
      </c>
      <c r="S13" s="124">
        <f t="shared" si="5"/>
        <v>0</v>
      </c>
      <c r="T13" s="124">
        <f t="shared" si="5"/>
        <v>0</v>
      </c>
      <c r="U13" s="124">
        <f t="shared" si="5"/>
        <v>0</v>
      </c>
      <c r="V13" s="124">
        <f t="shared" si="5"/>
        <v>0</v>
      </c>
      <c r="W13" s="124">
        <f t="shared" si="5"/>
        <v>0</v>
      </c>
      <c r="X13" s="124">
        <f t="shared" si="5"/>
        <v>0</v>
      </c>
      <c r="Y13" s="124">
        <f t="shared" si="5"/>
        <v>0</v>
      </c>
      <c r="Z13" s="124">
        <f t="shared" si="5"/>
        <v>0</v>
      </c>
      <c r="AA13" s="124">
        <f t="shared" si="5"/>
        <v>0</v>
      </c>
      <c r="AB13" s="124">
        <f t="shared" si="5"/>
        <v>0</v>
      </c>
      <c r="AC13" s="124">
        <f t="shared" si="5"/>
        <v>0</v>
      </c>
      <c r="AD13" s="124">
        <f t="shared" si="5"/>
        <v>0</v>
      </c>
      <c r="AE13" s="124">
        <f t="shared" si="5"/>
        <v>0</v>
      </c>
      <c r="AF13" s="124">
        <f t="shared" si="5"/>
        <v>0</v>
      </c>
      <c r="AG13" s="124">
        <f t="shared" si="5"/>
        <v>0</v>
      </c>
      <c r="AH13" s="124">
        <f t="shared" si="5"/>
        <v>0</v>
      </c>
      <c r="AI13" s="124">
        <f t="shared" si="5"/>
        <v>0</v>
      </c>
      <c r="AJ13" s="124">
        <f t="shared" si="5"/>
        <v>0</v>
      </c>
      <c r="AK13" s="124">
        <f t="shared" si="5"/>
        <v>0</v>
      </c>
      <c r="AL13" s="124">
        <f t="shared" si="5"/>
        <v>0</v>
      </c>
      <c r="AM13" s="124">
        <f t="shared" si="5"/>
        <v>0</v>
      </c>
      <c r="AN13" s="124">
        <f t="shared" si="5"/>
        <v>0</v>
      </c>
      <c r="AO13" s="124">
        <f t="shared" si="5"/>
        <v>0</v>
      </c>
      <c r="AP13" s="124">
        <f t="shared" si="5"/>
        <v>0</v>
      </c>
      <c r="AQ13" s="124">
        <f t="shared" si="5"/>
        <v>0</v>
      </c>
      <c r="AR13" s="124">
        <f t="shared" si="5"/>
        <v>0</v>
      </c>
      <c r="AS13" s="124">
        <f t="shared" si="5"/>
        <v>0</v>
      </c>
      <c r="AT13" s="124">
        <f t="shared" si="5"/>
        <v>0</v>
      </c>
      <c r="AU13" s="124">
        <f t="shared" si="5"/>
        <v>0</v>
      </c>
      <c r="AV13" s="124">
        <f t="shared" si="5"/>
        <v>0</v>
      </c>
    </row>
    <row r="14" spans="1:50" ht="12.95" customHeight="1" x14ac:dyDescent="0.2">
      <c r="B14" s="14"/>
      <c r="C14" s="253" t="s">
        <v>865</v>
      </c>
      <c r="F14" s="253" t="s">
        <v>493</v>
      </c>
      <c r="G14" s="253" t="s">
        <v>432</v>
      </c>
      <c r="H14" s="277"/>
      <c r="I14" s="147"/>
      <c r="J14" s="124"/>
      <c r="K14" s="124"/>
      <c r="L14" s="124"/>
      <c r="M14" s="124"/>
      <c r="N14" s="124"/>
      <c r="O14" s="124"/>
      <c r="P14" s="124">
        <f t="shared" ref="P14:AV14" si="6">IF(P59&gt;0,O13,0)</f>
        <v>0</v>
      </c>
      <c r="Q14" s="124">
        <f t="shared" si="6"/>
        <v>0</v>
      </c>
      <c r="R14" s="124">
        <f t="shared" si="6"/>
        <v>0</v>
      </c>
      <c r="S14" s="124">
        <f t="shared" si="6"/>
        <v>0</v>
      </c>
      <c r="T14" s="124">
        <f t="shared" si="6"/>
        <v>0</v>
      </c>
      <c r="U14" s="124">
        <f t="shared" si="6"/>
        <v>0</v>
      </c>
      <c r="V14" s="124">
        <f t="shared" si="6"/>
        <v>0</v>
      </c>
      <c r="W14" s="124">
        <f t="shared" si="6"/>
        <v>0</v>
      </c>
      <c r="X14" s="124">
        <f t="shared" si="6"/>
        <v>0</v>
      </c>
      <c r="Y14" s="124">
        <f t="shared" si="6"/>
        <v>0</v>
      </c>
      <c r="Z14" s="124">
        <f t="shared" si="6"/>
        <v>0</v>
      </c>
      <c r="AA14" s="124">
        <f t="shared" si="6"/>
        <v>0</v>
      </c>
      <c r="AB14" s="124">
        <f t="shared" si="6"/>
        <v>0</v>
      </c>
      <c r="AC14" s="124">
        <f t="shared" si="6"/>
        <v>0</v>
      </c>
      <c r="AD14" s="124">
        <f t="shared" si="6"/>
        <v>0</v>
      </c>
      <c r="AE14" s="124">
        <f t="shared" si="6"/>
        <v>0</v>
      </c>
      <c r="AF14" s="124">
        <f t="shared" si="6"/>
        <v>0</v>
      </c>
      <c r="AG14" s="124">
        <f t="shared" si="6"/>
        <v>0</v>
      </c>
      <c r="AH14" s="124">
        <f t="shared" si="6"/>
        <v>0</v>
      </c>
      <c r="AI14" s="124">
        <f t="shared" si="6"/>
        <v>0</v>
      </c>
      <c r="AJ14" s="124">
        <f t="shared" si="6"/>
        <v>0</v>
      </c>
      <c r="AK14" s="124">
        <f t="shared" si="6"/>
        <v>0</v>
      </c>
      <c r="AL14" s="124">
        <f t="shared" si="6"/>
        <v>0</v>
      </c>
      <c r="AM14" s="124">
        <f t="shared" si="6"/>
        <v>0</v>
      </c>
      <c r="AN14" s="124">
        <f t="shared" si="6"/>
        <v>0</v>
      </c>
      <c r="AO14" s="124">
        <f t="shared" si="6"/>
        <v>0</v>
      </c>
      <c r="AP14" s="124">
        <f t="shared" si="6"/>
        <v>0</v>
      </c>
      <c r="AQ14" s="124">
        <f t="shared" si="6"/>
        <v>0</v>
      </c>
      <c r="AR14" s="124">
        <f t="shared" si="6"/>
        <v>0</v>
      </c>
      <c r="AS14" s="124">
        <f t="shared" si="6"/>
        <v>0</v>
      </c>
      <c r="AT14" s="124">
        <f t="shared" si="6"/>
        <v>0</v>
      </c>
      <c r="AU14" s="124">
        <f t="shared" si="6"/>
        <v>0</v>
      </c>
      <c r="AV14" s="124">
        <f t="shared" si="6"/>
        <v>0</v>
      </c>
    </row>
    <row r="15" spans="1:50" ht="12.95" customHeight="1" x14ac:dyDescent="0.2">
      <c r="B15" s="14"/>
      <c r="C15" s="253" t="s">
        <v>866</v>
      </c>
      <c r="F15" s="253" t="s">
        <v>493</v>
      </c>
      <c r="G15" s="253" t="s">
        <v>432</v>
      </c>
      <c r="H15" s="277"/>
      <c r="I15" s="147"/>
      <c r="J15" s="124"/>
      <c r="K15" s="124"/>
      <c r="L15" s="124"/>
      <c r="M15" s="124"/>
      <c r="N15" s="124"/>
      <c r="O15" s="124"/>
      <c r="P15" s="124"/>
      <c r="Q15" s="124">
        <f t="shared" ref="Q15:AV15" si="7">IF(Q60&gt;0,P14,0)</f>
        <v>0</v>
      </c>
      <c r="R15" s="124">
        <f t="shared" si="7"/>
        <v>0</v>
      </c>
      <c r="S15" s="124">
        <f t="shared" si="7"/>
        <v>0</v>
      </c>
      <c r="T15" s="124">
        <f t="shared" si="7"/>
        <v>0</v>
      </c>
      <c r="U15" s="124">
        <f t="shared" si="7"/>
        <v>0</v>
      </c>
      <c r="V15" s="124">
        <f t="shared" si="7"/>
        <v>0</v>
      </c>
      <c r="W15" s="124">
        <f t="shared" si="7"/>
        <v>0</v>
      </c>
      <c r="X15" s="124">
        <f t="shared" si="7"/>
        <v>0</v>
      </c>
      <c r="Y15" s="124">
        <f t="shared" si="7"/>
        <v>0</v>
      </c>
      <c r="Z15" s="124">
        <f t="shared" si="7"/>
        <v>0</v>
      </c>
      <c r="AA15" s="124">
        <f t="shared" si="7"/>
        <v>0</v>
      </c>
      <c r="AB15" s="124">
        <f t="shared" si="7"/>
        <v>0</v>
      </c>
      <c r="AC15" s="124">
        <f t="shared" si="7"/>
        <v>0</v>
      </c>
      <c r="AD15" s="124">
        <f t="shared" si="7"/>
        <v>0</v>
      </c>
      <c r="AE15" s="124">
        <f t="shared" si="7"/>
        <v>0</v>
      </c>
      <c r="AF15" s="124">
        <f t="shared" si="7"/>
        <v>0</v>
      </c>
      <c r="AG15" s="124">
        <f t="shared" si="7"/>
        <v>0</v>
      </c>
      <c r="AH15" s="124">
        <f t="shared" si="7"/>
        <v>0</v>
      </c>
      <c r="AI15" s="124">
        <f t="shared" si="7"/>
        <v>0</v>
      </c>
      <c r="AJ15" s="124">
        <f t="shared" si="7"/>
        <v>0</v>
      </c>
      <c r="AK15" s="124">
        <f t="shared" si="7"/>
        <v>0</v>
      </c>
      <c r="AL15" s="124">
        <f t="shared" si="7"/>
        <v>0</v>
      </c>
      <c r="AM15" s="124">
        <f t="shared" si="7"/>
        <v>0</v>
      </c>
      <c r="AN15" s="124">
        <f t="shared" si="7"/>
        <v>0</v>
      </c>
      <c r="AO15" s="124">
        <f t="shared" si="7"/>
        <v>0</v>
      </c>
      <c r="AP15" s="124">
        <f t="shared" si="7"/>
        <v>0</v>
      </c>
      <c r="AQ15" s="124">
        <f t="shared" si="7"/>
        <v>0</v>
      </c>
      <c r="AR15" s="124">
        <f t="shared" si="7"/>
        <v>0</v>
      </c>
      <c r="AS15" s="124">
        <f t="shared" si="7"/>
        <v>0</v>
      </c>
      <c r="AT15" s="124">
        <f t="shared" si="7"/>
        <v>0</v>
      </c>
      <c r="AU15" s="124">
        <f t="shared" si="7"/>
        <v>0</v>
      </c>
      <c r="AV15" s="124">
        <f t="shared" si="7"/>
        <v>0</v>
      </c>
    </row>
    <row r="16" spans="1:50" ht="12.95" customHeight="1" x14ac:dyDescent="0.2">
      <c r="B16" s="14"/>
      <c r="C16" s="253" t="s">
        <v>867</v>
      </c>
      <c r="F16" s="253" t="s">
        <v>493</v>
      </c>
      <c r="G16" s="253" t="s">
        <v>432</v>
      </c>
      <c r="H16" s="277"/>
      <c r="I16" s="147"/>
      <c r="J16" s="124"/>
      <c r="K16" s="124"/>
      <c r="L16" s="124"/>
      <c r="M16" s="124"/>
      <c r="N16" s="124"/>
      <c r="O16" s="124"/>
      <c r="P16" s="124"/>
      <c r="Q16" s="124"/>
      <c r="R16" s="124">
        <f t="shared" ref="R16:AV16" si="8">IF(R61&gt;0,Q15,0)</f>
        <v>0</v>
      </c>
      <c r="S16" s="124">
        <f t="shared" si="8"/>
        <v>0</v>
      </c>
      <c r="T16" s="124">
        <f t="shared" si="8"/>
        <v>0</v>
      </c>
      <c r="U16" s="124">
        <f t="shared" si="8"/>
        <v>0</v>
      </c>
      <c r="V16" s="124">
        <f t="shared" si="8"/>
        <v>0</v>
      </c>
      <c r="W16" s="124">
        <f t="shared" si="8"/>
        <v>0</v>
      </c>
      <c r="X16" s="124">
        <f t="shared" si="8"/>
        <v>0</v>
      </c>
      <c r="Y16" s="124">
        <f t="shared" si="8"/>
        <v>0</v>
      </c>
      <c r="Z16" s="124">
        <f t="shared" si="8"/>
        <v>0</v>
      </c>
      <c r="AA16" s="124">
        <f t="shared" si="8"/>
        <v>0</v>
      </c>
      <c r="AB16" s="124">
        <f t="shared" si="8"/>
        <v>0</v>
      </c>
      <c r="AC16" s="124">
        <f t="shared" si="8"/>
        <v>0</v>
      </c>
      <c r="AD16" s="124">
        <f t="shared" si="8"/>
        <v>0</v>
      </c>
      <c r="AE16" s="124">
        <f t="shared" si="8"/>
        <v>0</v>
      </c>
      <c r="AF16" s="124">
        <f t="shared" si="8"/>
        <v>0</v>
      </c>
      <c r="AG16" s="124">
        <f t="shared" si="8"/>
        <v>0</v>
      </c>
      <c r="AH16" s="124">
        <f t="shared" si="8"/>
        <v>0</v>
      </c>
      <c r="AI16" s="124">
        <f t="shared" si="8"/>
        <v>0</v>
      </c>
      <c r="AJ16" s="124">
        <f t="shared" si="8"/>
        <v>0</v>
      </c>
      <c r="AK16" s="124">
        <f t="shared" si="8"/>
        <v>0</v>
      </c>
      <c r="AL16" s="124">
        <f t="shared" si="8"/>
        <v>0</v>
      </c>
      <c r="AM16" s="124">
        <f t="shared" si="8"/>
        <v>0</v>
      </c>
      <c r="AN16" s="124">
        <f t="shared" si="8"/>
        <v>0</v>
      </c>
      <c r="AO16" s="124">
        <f t="shared" si="8"/>
        <v>0</v>
      </c>
      <c r="AP16" s="124">
        <f t="shared" si="8"/>
        <v>0</v>
      </c>
      <c r="AQ16" s="124">
        <f t="shared" si="8"/>
        <v>0</v>
      </c>
      <c r="AR16" s="124">
        <f t="shared" si="8"/>
        <v>0</v>
      </c>
      <c r="AS16" s="124">
        <f t="shared" si="8"/>
        <v>0</v>
      </c>
      <c r="AT16" s="124">
        <f t="shared" si="8"/>
        <v>0</v>
      </c>
      <c r="AU16" s="124">
        <f t="shared" si="8"/>
        <v>0</v>
      </c>
      <c r="AV16" s="124">
        <f t="shared" si="8"/>
        <v>0</v>
      </c>
    </row>
    <row r="17" spans="2:48" ht="12.95" customHeight="1" x14ac:dyDescent="0.2">
      <c r="B17" s="14"/>
      <c r="C17" s="253" t="s">
        <v>868</v>
      </c>
      <c r="F17" s="253" t="s">
        <v>493</v>
      </c>
      <c r="G17" s="253" t="s">
        <v>432</v>
      </c>
      <c r="H17" s="277"/>
      <c r="I17" s="147"/>
      <c r="J17" s="124"/>
      <c r="K17" s="124"/>
      <c r="L17" s="124"/>
      <c r="M17" s="124"/>
      <c r="N17" s="124"/>
      <c r="O17" s="124"/>
      <c r="P17" s="124"/>
      <c r="Q17" s="124"/>
      <c r="R17" s="124"/>
      <c r="S17" s="124">
        <f t="shared" ref="S17:AV17" si="9">IF(S62&gt;0,R16,0)</f>
        <v>0</v>
      </c>
      <c r="T17" s="124">
        <f t="shared" si="9"/>
        <v>0</v>
      </c>
      <c r="U17" s="124">
        <f t="shared" si="9"/>
        <v>0</v>
      </c>
      <c r="V17" s="124">
        <f t="shared" si="9"/>
        <v>0</v>
      </c>
      <c r="W17" s="124">
        <f t="shared" si="9"/>
        <v>0</v>
      </c>
      <c r="X17" s="124">
        <f t="shared" si="9"/>
        <v>0</v>
      </c>
      <c r="Y17" s="124">
        <f t="shared" si="9"/>
        <v>0</v>
      </c>
      <c r="Z17" s="124">
        <f t="shared" si="9"/>
        <v>0</v>
      </c>
      <c r="AA17" s="124">
        <f t="shared" si="9"/>
        <v>0</v>
      </c>
      <c r="AB17" s="124">
        <f t="shared" si="9"/>
        <v>0</v>
      </c>
      <c r="AC17" s="124">
        <f t="shared" si="9"/>
        <v>0</v>
      </c>
      <c r="AD17" s="124">
        <f t="shared" si="9"/>
        <v>0</v>
      </c>
      <c r="AE17" s="124">
        <f t="shared" si="9"/>
        <v>0</v>
      </c>
      <c r="AF17" s="124">
        <f t="shared" si="9"/>
        <v>0</v>
      </c>
      <c r="AG17" s="124">
        <f t="shared" si="9"/>
        <v>0</v>
      </c>
      <c r="AH17" s="124">
        <f t="shared" si="9"/>
        <v>0</v>
      </c>
      <c r="AI17" s="124">
        <f t="shared" si="9"/>
        <v>0</v>
      </c>
      <c r="AJ17" s="124">
        <f t="shared" si="9"/>
        <v>0</v>
      </c>
      <c r="AK17" s="124">
        <f t="shared" si="9"/>
        <v>0</v>
      </c>
      <c r="AL17" s="124">
        <f t="shared" si="9"/>
        <v>0</v>
      </c>
      <c r="AM17" s="124">
        <f t="shared" si="9"/>
        <v>0</v>
      </c>
      <c r="AN17" s="124">
        <f t="shared" si="9"/>
        <v>0</v>
      </c>
      <c r="AO17" s="124">
        <f t="shared" si="9"/>
        <v>0</v>
      </c>
      <c r="AP17" s="124">
        <f t="shared" si="9"/>
        <v>0</v>
      </c>
      <c r="AQ17" s="124">
        <f t="shared" si="9"/>
        <v>0</v>
      </c>
      <c r="AR17" s="124">
        <f t="shared" si="9"/>
        <v>0</v>
      </c>
      <c r="AS17" s="124">
        <f t="shared" si="9"/>
        <v>0</v>
      </c>
      <c r="AT17" s="124">
        <f t="shared" si="9"/>
        <v>0</v>
      </c>
      <c r="AU17" s="124">
        <f t="shared" si="9"/>
        <v>0</v>
      </c>
      <c r="AV17" s="124">
        <f t="shared" si="9"/>
        <v>0</v>
      </c>
    </row>
    <row r="18" spans="2:48" ht="12.95" customHeight="1" x14ac:dyDescent="0.2">
      <c r="B18" s="14"/>
      <c r="C18" s="253" t="s">
        <v>869</v>
      </c>
      <c r="F18" s="253" t="s">
        <v>493</v>
      </c>
      <c r="G18" s="253" t="s">
        <v>432</v>
      </c>
      <c r="H18" s="277"/>
      <c r="I18" s="147"/>
      <c r="J18" s="124"/>
      <c r="K18" s="124"/>
      <c r="L18" s="124"/>
      <c r="M18" s="124"/>
      <c r="N18" s="124"/>
      <c r="O18" s="124"/>
      <c r="P18" s="124"/>
      <c r="Q18" s="124"/>
      <c r="R18" s="124"/>
      <c r="S18" s="124"/>
      <c r="T18" s="124">
        <f t="shared" ref="T18:AV18" si="10">IF(T63&gt;0,S17,0)</f>
        <v>0</v>
      </c>
      <c r="U18" s="124">
        <f t="shared" si="10"/>
        <v>0</v>
      </c>
      <c r="V18" s="124">
        <f t="shared" si="10"/>
        <v>0</v>
      </c>
      <c r="W18" s="124">
        <f t="shared" si="10"/>
        <v>0</v>
      </c>
      <c r="X18" s="124">
        <f t="shared" si="10"/>
        <v>0</v>
      </c>
      <c r="Y18" s="124">
        <f t="shared" si="10"/>
        <v>0</v>
      </c>
      <c r="Z18" s="124">
        <f t="shared" si="10"/>
        <v>0</v>
      </c>
      <c r="AA18" s="124">
        <f t="shared" si="10"/>
        <v>0</v>
      </c>
      <c r="AB18" s="124">
        <f t="shared" si="10"/>
        <v>0</v>
      </c>
      <c r="AC18" s="124">
        <f t="shared" si="10"/>
        <v>0</v>
      </c>
      <c r="AD18" s="124">
        <f t="shared" si="10"/>
        <v>0</v>
      </c>
      <c r="AE18" s="124">
        <f t="shared" si="10"/>
        <v>0</v>
      </c>
      <c r="AF18" s="124">
        <f t="shared" si="10"/>
        <v>0</v>
      </c>
      <c r="AG18" s="124">
        <f t="shared" si="10"/>
        <v>0</v>
      </c>
      <c r="AH18" s="124">
        <f t="shared" si="10"/>
        <v>0</v>
      </c>
      <c r="AI18" s="124">
        <f t="shared" si="10"/>
        <v>0</v>
      </c>
      <c r="AJ18" s="124">
        <f t="shared" si="10"/>
        <v>0</v>
      </c>
      <c r="AK18" s="124">
        <f t="shared" si="10"/>
        <v>0</v>
      </c>
      <c r="AL18" s="124">
        <f t="shared" si="10"/>
        <v>0</v>
      </c>
      <c r="AM18" s="124">
        <f t="shared" si="10"/>
        <v>0</v>
      </c>
      <c r="AN18" s="124">
        <f t="shared" si="10"/>
        <v>0</v>
      </c>
      <c r="AO18" s="124">
        <f t="shared" si="10"/>
        <v>0</v>
      </c>
      <c r="AP18" s="124">
        <f t="shared" si="10"/>
        <v>0</v>
      </c>
      <c r="AQ18" s="124">
        <f t="shared" si="10"/>
        <v>0</v>
      </c>
      <c r="AR18" s="124">
        <f t="shared" si="10"/>
        <v>0</v>
      </c>
      <c r="AS18" s="124">
        <f t="shared" si="10"/>
        <v>0</v>
      </c>
      <c r="AT18" s="124">
        <f t="shared" si="10"/>
        <v>0</v>
      </c>
      <c r="AU18" s="124">
        <f t="shared" si="10"/>
        <v>0</v>
      </c>
      <c r="AV18" s="124">
        <f t="shared" si="10"/>
        <v>0</v>
      </c>
    </row>
    <row r="19" spans="2:48" ht="12.95" customHeight="1" x14ac:dyDescent="0.2">
      <c r="B19" s="14"/>
      <c r="C19" s="253" t="s">
        <v>870</v>
      </c>
      <c r="F19" s="253" t="s">
        <v>493</v>
      </c>
      <c r="G19" s="253" t="s">
        <v>432</v>
      </c>
      <c r="H19" s="277"/>
      <c r="I19" s="147"/>
      <c r="J19" s="124"/>
      <c r="K19" s="124"/>
      <c r="L19" s="124"/>
      <c r="M19" s="124"/>
      <c r="N19" s="124"/>
      <c r="O19" s="124"/>
      <c r="P19" s="124"/>
      <c r="Q19" s="124"/>
      <c r="R19" s="124"/>
      <c r="S19" s="124"/>
      <c r="T19" s="124"/>
      <c r="U19" s="124">
        <f t="shared" ref="U19:AV19" si="11">IF(U64&gt;0,T18,0)</f>
        <v>0</v>
      </c>
      <c r="V19" s="124">
        <f t="shared" si="11"/>
        <v>0</v>
      </c>
      <c r="W19" s="124">
        <f t="shared" si="11"/>
        <v>0</v>
      </c>
      <c r="X19" s="124">
        <f t="shared" si="11"/>
        <v>0</v>
      </c>
      <c r="Y19" s="124">
        <f t="shared" si="11"/>
        <v>0</v>
      </c>
      <c r="Z19" s="124">
        <f t="shared" si="11"/>
        <v>0</v>
      </c>
      <c r="AA19" s="124">
        <f t="shared" si="11"/>
        <v>0</v>
      </c>
      <c r="AB19" s="124">
        <f t="shared" si="11"/>
        <v>0</v>
      </c>
      <c r="AC19" s="124">
        <f t="shared" si="11"/>
        <v>0</v>
      </c>
      <c r="AD19" s="124">
        <f t="shared" si="11"/>
        <v>0</v>
      </c>
      <c r="AE19" s="124">
        <f t="shared" si="11"/>
        <v>0</v>
      </c>
      <c r="AF19" s="124">
        <f t="shared" si="11"/>
        <v>0</v>
      </c>
      <c r="AG19" s="124">
        <f t="shared" si="11"/>
        <v>0</v>
      </c>
      <c r="AH19" s="124">
        <f t="shared" si="11"/>
        <v>0</v>
      </c>
      <c r="AI19" s="124">
        <f t="shared" si="11"/>
        <v>0</v>
      </c>
      <c r="AJ19" s="124">
        <f t="shared" si="11"/>
        <v>0</v>
      </c>
      <c r="AK19" s="124">
        <f t="shared" si="11"/>
        <v>0</v>
      </c>
      <c r="AL19" s="124">
        <f t="shared" si="11"/>
        <v>0</v>
      </c>
      <c r="AM19" s="124">
        <f t="shared" si="11"/>
        <v>0</v>
      </c>
      <c r="AN19" s="124">
        <f t="shared" si="11"/>
        <v>0</v>
      </c>
      <c r="AO19" s="124">
        <f t="shared" si="11"/>
        <v>0</v>
      </c>
      <c r="AP19" s="124">
        <f t="shared" si="11"/>
        <v>0</v>
      </c>
      <c r="AQ19" s="124">
        <f t="shared" si="11"/>
        <v>0</v>
      </c>
      <c r="AR19" s="124">
        <f t="shared" si="11"/>
        <v>0</v>
      </c>
      <c r="AS19" s="124">
        <f t="shared" si="11"/>
        <v>0</v>
      </c>
      <c r="AT19" s="124">
        <f t="shared" si="11"/>
        <v>0</v>
      </c>
      <c r="AU19" s="124">
        <f t="shared" si="11"/>
        <v>0</v>
      </c>
      <c r="AV19" s="124">
        <f t="shared" si="11"/>
        <v>0</v>
      </c>
    </row>
    <row r="20" spans="2:48" ht="12.95" customHeight="1" x14ac:dyDescent="0.2">
      <c r="B20" s="14"/>
      <c r="C20" s="253" t="s">
        <v>871</v>
      </c>
      <c r="F20" s="253" t="s">
        <v>493</v>
      </c>
      <c r="G20" s="253" t="s">
        <v>432</v>
      </c>
      <c r="H20" s="277"/>
      <c r="I20" s="147"/>
      <c r="J20" s="124"/>
      <c r="K20" s="124"/>
      <c r="L20" s="124"/>
      <c r="M20" s="124"/>
      <c r="N20" s="124"/>
      <c r="O20" s="124"/>
      <c r="P20" s="124"/>
      <c r="Q20" s="124"/>
      <c r="R20" s="124"/>
      <c r="S20" s="124"/>
      <c r="T20" s="124"/>
      <c r="U20" s="124"/>
      <c r="V20" s="124">
        <f t="shared" ref="V20:AV20" si="12">IF(V65&gt;0,U19,0)</f>
        <v>0</v>
      </c>
      <c r="W20" s="124">
        <f t="shared" si="12"/>
        <v>0</v>
      </c>
      <c r="X20" s="124">
        <f t="shared" si="12"/>
        <v>0</v>
      </c>
      <c r="Y20" s="124">
        <f t="shared" si="12"/>
        <v>0</v>
      </c>
      <c r="Z20" s="124">
        <f t="shared" si="12"/>
        <v>0</v>
      </c>
      <c r="AA20" s="124">
        <f t="shared" si="12"/>
        <v>0</v>
      </c>
      <c r="AB20" s="124">
        <f t="shared" si="12"/>
        <v>0</v>
      </c>
      <c r="AC20" s="124">
        <f t="shared" si="12"/>
        <v>0</v>
      </c>
      <c r="AD20" s="124">
        <f t="shared" si="12"/>
        <v>0</v>
      </c>
      <c r="AE20" s="124">
        <f t="shared" si="12"/>
        <v>0</v>
      </c>
      <c r="AF20" s="124">
        <f t="shared" si="12"/>
        <v>0</v>
      </c>
      <c r="AG20" s="124">
        <f t="shared" si="12"/>
        <v>0</v>
      </c>
      <c r="AH20" s="124">
        <f t="shared" si="12"/>
        <v>0</v>
      </c>
      <c r="AI20" s="124">
        <f t="shared" si="12"/>
        <v>0</v>
      </c>
      <c r="AJ20" s="124">
        <f t="shared" si="12"/>
        <v>0</v>
      </c>
      <c r="AK20" s="124">
        <f t="shared" si="12"/>
        <v>0</v>
      </c>
      <c r="AL20" s="124">
        <f t="shared" si="12"/>
        <v>0</v>
      </c>
      <c r="AM20" s="124">
        <f t="shared" si="12"/>
        <v>0</v>
      </c>
      <c r="AN20" s="124">
        <f t="shared" si="12"/>
        <v>0</v>
      </c>
      <c r="AO20" s="124">
        <f t="shared" si="12"/>
        <v>0</v>
      </c>
      <c r="AP20" s="124">
        <f t="shared" si="12"/>
        <v>0</v>
      </c>
      <c r="AQ20" s="124">
        <f t="shared" si="12"/>
        <v>0</v>
      </c>
      <c r="AR20" s="124">
        <f t="shared" si="12"/>
        <v>0</v>
      </c>
      <c r="AS20" s="124">
        <f t="shared" si="12"/>
        <v>0</v>
      </c>
      <c r="AT20" s="124">
        <f t="shared" si="12"/>
        <v>0</v>
      </c>
      <c r="AU20" s="124">
        <f t="shared" si="12"/>
        <v>0</v>
      </c>
      <c r="AV20" s="124">
        <f t="shared" si="12"/>
        <v>0</v>
      </c>
    </row>
    <row r="21" spans="2:48" ht="12.95" customHeight="1" x14ac:dyDescent="0.2">
      <c r="B21" s="14"/>
      <c r="C21" s="253" t="s">
        <v>872</v>
      </c>
      <c r="F21" s="253" t="s">
        <v>493</v>
      </c>
      <c r="G21" s="253" t="s">
        <v>432</v>
      </c>
      <c r="H21" s="277"/>
      <c r="I21" s="147"/>
      <c r="J21" s="124"/>
      <c r="K21" s="124"/>
      <c r="L21" s="124"/>
      <c r="M21" s="124"/>
      <c r="N21" s="124"/>
      <c r="O21" s="124"/>
      <c r="P21" s="124"/>
      <c r="Q21" s="124"/>
      <c r="R21" s="124"/>
      <c r="S21" s="124"/>
      <c r="T21" s="124"/>
      <c r="U21" s="124"/>
      <c r="V21" s="124"/>
      <c r="W21" s="124">
        <f t="shared" ref="W21:AV21" si="13">IF(W66&gt;0,V20,0)</f>
        <v>0</v>
      </c>
      <c r="X21" s="124">
        <f t="shared" si="13"/>
        <v>0</v>
      </c>
      <c r="Y21" s="124">
        <f t="shared" si="13"/>
        <v>0</v>
      </c>
      <c r="Z21" s="124">
        <f t="shared" si="13"/>
        <v>0</v>
      </c>
      <c r="AA21" s="124">
        <f t="shared" si="13"/>
        <v>0</v>
      </c>
      <c r="AB21" s="124">
        <f t="shared" si="13"/>
        <v>0</v>
      </c>
      <c r="AC21" s="124">
        <f t="shared" si="13"/>
        <v>0</v>
      </c>
      <c r="AD21" s="124">
        <f t="shared" si="13"/>
        <v>0</v>
      </c>
      <c r="AE21" s="124">
        <f t="shared" si="13"/>
        <v>0</v>
      </c>
      <c r="AF21" s="124">
        <f t="shared" si="13"/>
        <v>0</v>
      </c>
      <c r="AG21" s="124">
        <f t="shared" si="13"/>
        <v>0</v>
      </c>
      <c r="AH21" s="124">
        <f t="shared" si="13"/>
        <v>0</v>
      </c>
      <c r="AI21" s="124">
        <f t="shared" si="13"/>
        <v>0</v>
      </c>
      <c r="AJ21" s="124">
        <f t="shared" si="13"/>
        <v>0</v>
      </c>
      <c r="AK21" s="124">
        <f t="shared" si="13"/>
        <v>0</v>
      </c>
      <c r="AL21" s="124">
        <f t="shared" si="13"/>
        <v>0</v>
      </c>
      <c r="AM21" s="124">
        <f t="shared" si="13"/>
        <v>0</v>
      </c>
      <c r="AN21" s="124">
        <f t="shared" si="13"/>
        <v>0</v>
      </c>
      <c r="AO21" s="124">
        <f t="shared" si="13"/>
        <v>0</v>
      </c>
      <c r="AP21" s="124">
        <f t="shared" si="13"/>
        <v>0</v>
      </c>
      <c r="AQ21" s="124">
        <f t="shared" si="13"/>
        <v>0</v>
      </c>
      <c r="AR21" s="124">
        <f t="shared" si="13"/>
        <v>0</v>
      </c>
      <c r="AS21" s="124">
        <f t="shared" si="13"/>
        <v>0</v>
      </c>
      <c r="AT21" s="124">
        <f t="shared" si="13"/>
        <v>0</v>
      </c>
      <c r="AU21" s="124">
        <f t="shared" si="13"/>
        <v>0</v>
      </c>
      <c r="AV21" s="124">
        <f t="shared" si="13"/>
        <v>0</v>
      </c>
    </row>
    <row r="22" spans="2:48" ht="12.95" customHeight="1" x14ac:dyDescent="0.2">
      <c r="B22" s="14"/>
      <c r="C22" s="253" t="s">
        <v>873</v>
      </c>
      <c r="F22" s="253" t="s">
        <v>493</v>
      </c>
      <c r="G22" s="253" t="s">
        <v>432</v>
      </c>
      <c r="H22" s="277"/>
      <c r="I22" s="147"/>
      <c r="J22" s="124"/>
      <c r="K22" s="124"/>
      <c r="L22" s="124"/>
      <c r="M22" s="124"/>
      <c r="N22" s="124"/>
      <c r="O22" s="124"/>
      <c r="P22" s="124"/>
      <c r="Q22" s="124"/>
      <c r="R22" s="124"/>
      <c r="S22" s="124"/>
      <c r="T22" s="124"/>
      <c r="U22" s="124"/>
      <c r="V22" s="124"/>
      <c r="W22" s="124"/>
      <c r="X22" s="124">
        <f t="shared" ref="X22:AV22" si="14">IF(X67&gt;0,W21,0)</f>
        <v>0</v>
      </c>
      <c r="Y22" s="124">
        <f t="shared" si="14"/>
        <v>0</v>
      </c>
      <c r="Z22" s="124">
        <f t="shared" si="14"/>
        <v>0</v>
      </c>
      <c r="AA22" s="124">
        <f t="shared" si="14"/>
        <v>0</v>
      </c>
      <c r="AB22" s="124">
        <f t="shared" si="14"/>
        <v>0</v>
      </c>
      <c r="AC22" s="124">
        <f t="shared" si="14"/>
        <v>0</v>
      </c>
      <c r="AD22" s="124">
        <f t="shared" si="14"/>
        <v>0</v>
      </c>
      <c r="AE22" s="124">
        <f t="shared" si="14"/>
        <v>0</v>
      </c>
      <c r="AF22" s="124">
        <f t="shared" si="14"/>
        <v>0</v>
      </c>
      <c r="AG22" s="124">
        <f t="shared" si="14"/>
        <v>0</v>
      </c>
      <c r="AH22" s="124">
        <f t="shared" si="14"/>
        <v>0</v>
      </c>
      <c r="AI22" s="124">
        <f t="shared" si="14"/>
        <v>0</v>
      </c>
      <c r="AJ22" s="124">
        <f t="shared" si="14"/>
        <v>0</v>
      </c>
      <c r="AK22" s="124">
        <f t="shared" si="14"/>
        <v>0</v>
      </c>
      <c r="AL22" s="124">
        <f t="shared" si="14"/>
        <v>0</v>
      </c>
      <c r="AM22" s="124">
        <f t="shared" si="14"/>
        <v>0</v>
      </c>
      <c r="AN22" s="124">
        <f t="shared" si="14"/>
        <v>0</v>
      </c>
      <c r="AO22" s="124">
        <f t="shared" si="14"/>
        <v>0</v>
      </c>
      <c r="AP22" s="124">
        <f t="shared" si="14"/>
        <v>0</v>
      </c>
      <c r="AQ22" s="124">
        <f t="shared" si="14"/>
        <v>0</v>
      </c>
      <c r="AR22" s="124">
        <f t="shared" si="14"/>
        <v>0</v>
      </c>
      <c r="AS22" s="124">
        <f t="shared" si="14"/>
        <v>0</v>
      </c>
      <c r="AT22" s="124">
        <f t="shared" si="14"/>
        <v>0</v>
      </c>
      <c r="AU22" s="124">
        <f t="shared" si="14"/>
        <v>0</v>
      </c>
      <c r="AV22" s="124">
        <f t="shared" si="14"/>
        <v>0</v>
      </c>
    </row>
    <row r="23" spans="2:48" ht="12.95" customHeight="1" x14ac:dyDescent="0.2">
      <c r="B23" s="14"/>
      <c r="C23" s="253" t="s">
        <v>874</v>
      </c>
      <c r="F23" s="253" t="s">
        <v>493</v>
      </c>
      <c r="G23" s="253" t="s">
        <v>432</v>
      </c>
      <c r="H23" s="277"/>
      <c r="I23" s="147"/>
      <c r="J23" s="124"/>
      <c r="K23" s="124"/>
      <c r="L23" s="124"/>
      <c r="M23" s="124"/>
      <c r="N23" s="124"/>
      <c r="O23" s="124"/>
      <c r="P23" s="124"/>
      <c r="Q23" s="124"/>
      <c r="R23" s="124"/>
      <c r="S23" s="124"/>
      <c r="T23" s="124"/>
      <c r="U23" s="124"/>
      <c r="V23" s="124"/>
      <c r="W23" s="124"/>
      <c r="X23" s="124"/>
      <c r="Y23" s="124">
        <f t="shared" ref="Y23:AV23" si="15">IF(Y68&gt;0,X22,0)</f>
        <v>0</v>
      </c>
      <c r="Z23" s="124">
        <f t="shared" si="15"/>
        <v>0</v>
      </c>
      <c r="AA23" s="124">
        <f t="shared" si="15"/>
        <v>0</v>
      </c>
      <c r="AB23" s="124">
        <f t="shared" si="15"/>
        <v>0</v>
      </c>
      <c r="AC23" s="124">
        <f t="shared" si="15"/>
        <v>0</v>
      </c>
      <c r="AD23" s="124">
        <f t="shared" si="15"/>
        <v>0</v>
      </c>
      <c r="AE23" s="124">
        <f t="shared" si="15"/>
        <v>0</v>
      </c>
      <c r="AF23" s="124">
        <f t="shared" si="15"/>
        <v>0</v>
      </c>
      <c r="AG23" s="124">
        <f t="shared" si="15"/>
        <v>0</v>
      </c>
      <c r="AH23" s="124">
        <f t="shared" si="15"/>
        <v>0</v>
      </c>
      <c r="AI23" s="124">
        <f t="shared" si="15"/>
        <v>0</v>
      </c>
      <c r="AJ23" s="124">
        <f t="shared" si="15"/>
        <v>0</v>
      </c>
      <c r="AK23" s="124">
        <f t="shared" si="15"/>
        <v>0</v>
      </c>
      <c r="AL23" s="124">
        <f t="shared" si="15"/>
        <v>0</v>
      </c>
      <c r="AM23" s="124">
        <f t="shared" si="15"/>
        <v>0</v>
      </c>
      <c r="AN23" s="124">
        <f t="shared" si="15"/>
        <v>0</v>
      </c>
      <c r="AO23" s="124">
        <f t="shared" si="15"/>
        <v>0</v>
      </c>
      <c r="AP23" s="124">
        <f t="shared" si="15"/>
        <v>0</v>
      </c>
      <c r="AQ23" s="124">
        <f t="shared" si="15"/>
        <v>0</v>
      </c>
      <c r="AR23" s="124">
        <f t="shared" si="15"/>
        <v>0</v>
      </c>
      <c r="AS23" s="124">
        <f t="shared" si="15"/>
        <v>0</v>
      </c>
      <c r="AT23" s="124">
        <f t="shared" si="15"/>
        <v>0</v>
      </c>
      <c r="AU23" s="124">
        <f t="shared" si="15"/>
        <v>0</v>
      </c>
      <c r="AV23" s="124">
        <f t="shared" si="15"/>
        <v>0</v>
      </c>
    </row>
    <row r="24" spans="2:48" ht="12.95" customHeight="1" x14ac:dyDescent="0.2">
      <c r="B24" s="14"/>
      <c r="C24" s="253" t="s">
        <v>875</v>
      </c>
      <c r="F24" s="253" t="s">
        <v>493</v>
      </c>
      <c r="G24" s="253" t="s">
        <v>432</v>
      </c>
      <c r="H24" s="277"/>
      <c r="I24" s="147"/>
      <c r="J24" s="124"/>
      <c r="K24" s="124"/>
      <c r="L24" s="124"/>
      <c r="M24" s="124"/>
      <c r="N24" s="124"/>
      <c r="O24" s="124"/>
      <c r="P24" s="124"/>
      <c r="Q24" s="124"/>
      <c r="R24" s="124"/>
      <c r="S24" s="124"/>
      <c r="T24" s="124"/>
      <c r="U24" s="124"/>
      <c r="V24" s="124"/>
      <c r="W24" s="124"/>
      <c r="X24" s="124"/>
      <c r="Y24" s="124"/>
      <c r="Z24" s="124">
        <f t="shared" ref="Z24:AV24" si="16">IF(Z69&gt;0,Y23,0)</f>
        <v>0</v>
      </c>
      <c r="AA24" s="124">
        <f t="shared" si="16"/>
        <v>0</v>
      </c>
      <c r="AB24" s="124">
        <f t="shared" si="16"/>
        <v>0</v>
      </c>
      <c r="AC24" s="124">
        <f t="shared" si="16"/>
        <v>0</v>
      </c>
      <c r="AD24" s="124">
        <f t="shared" si="16"/>
        <v>0</v>
      </c>
      <c r="AE24" s="124">
        <f t="shared" si="16"/>
        <v>0</v>
      </c>
      <c r="AF24" s="124">
        <f t="shared" si="16"/>
        <v>0</v>
      </c>
      <c r="AG24" s="124">
        <f t="shared" si="16"/>
        <v>0</v>
      </c>
      <c r="AH24" s="124">
        <f t="shared" si="16"/>
        <v>0</v>
      </c>
      <c r="AI24" s="124">
        <f t="shared" si="16"/>
        <v>0</v>
      </c>
      <c r="AJ24" s="124">
        <f t="shared" si="16"/>
        <v>0</v>
      </c>
      <c r="AK24" s="124">
        <f t="shared" si="16"/>
        <v>0</v>
      </c>
      <c r="AL24" s="124">
        <f t="shared" si="16"/>
        <v>0</v>
      </c>
      <c r="AM24" s="124">
        <f t="shared" si="16"/>
        <v>0</v>
      </c>
      <c r="AN24" s="124">
        <f t="shared" si="16"/>
        <v>0</v>
      </c>
      <c r="AO24" s="124">
        <f t="shared" si="16"/>
        <v>0</v>
      </c>
      <c r="AP24" s="124">
        <f t="shared" si="16"/>
        <v>0</v>
      </c>
      <c r="AQ24" s="124">
        <f t="shared" si="16"/>
        <v>0</v>
      </c>
      <c r="AR24" s="124">
        <f t="shared" si="16"/>
        <v>0</v>
      </c>
      <c r="AS24" s="124">
        <f t="shared" si="16"/>
        <v>0</v>
      </c>
      <c r="AT24" s="124">
        <f t="shared" si="16"/>
        <v>0</v>
      </c>
      <c r="AU24" s="124">
        <f t="shared" si="16"/>
        <v>0</v>
      </c>
      <c r="AV24" s="124">
        <f t="shared" si="16"/>
        <v>0</v>
      </c>
    </row>
    <row r="25" spans="2:48" ht="12.95" customHeight="1" x14ac:dyDescent="0.2">
      <c r="B25" s="14"/>
      <c r="C25" s="253" t="s">
        <v>876</v>
      </c>
      <c r="F25" s="253" t="s">
        <v>493</v>
      </c>
      <c r="G25" s="253" t="s">
        <v>432</v>
      </c>
      <c r="H25" s="277"/>
      <c r="I25" s="147"/>
      <c r="J25" s="124"/>
      <c r="K25" s="124"/>
      <c r="L25" s="124"/>
      <c r="M25" s="124"/>
      <c r="N25" s="124"/>
      <c r="O25" s="124"/>
      <c r="P25" s="124"/>
      <c r="Q25" s="124"/>
      <c r="R25" s="124"/>
      <c r="S25" s="124"/>
      <c r="T25" s="124"/>
      <c r="U25" s="124"/>
      <c r="V25" s="124"/>
      <c r="W25" s="124"/>
      <c r="X25" s="124"/>
      <c r="Y25" s="124"/>
      <c r="Z25" s="124"/>
      <c r="AA25" s="124">
        <f t="shared" ref="AA25:AV25" si="17">IF(AA70&gt;0,Z24,0)</f>
        <v>0</v>
      </c>
      <c r="AB25" s="124">
        <f t="shared" si="17"/>
        <v>0</v>
      </c>
      <c r="AC25" s="124">
        <f t="shared" si="17"/>
        <v>0</v>
      </c>
      <c r="AD25" s="124">
        <f t="shared" si="17"/>
        <v>0</v>
      </c>
      <c r="AE25" s="124">
        <f t="shared" si="17"/>
        <v>0</v>
      </c>
      <c r="AF25" s="124">
        <f t="shared" si="17"/>
        <v>0</v>
      </c>
      <c r="AG25" s="124">
        <f t="shared" si="17"/>
        <v>0</v>
      </c>
      <c r="AH25" s="124">
        <f t="shared" si="17"/>
        <v>0</v>
      </c>
      <c r="AI25" s="124">
        <f t="shared" si="17"/>
        <v>0</v>
      </c>
      <c r="AJ25" s="124">
        <f t="shared" si="17"/>
        <v>0</v>
      </c>
      <c r="AK25" s="124">
        <f t="shared" si="17"/>
        <v>0</v>
      </c>
      <c r="AL25" s="124">
        <f t="shared" si="17"/>
        <v>0</v>
      </c>
      <c r="AM25" s="124">
        <f t="shared" si="17"/>
        <v>0</v>
      </c>
      <c r="AN25" s="124">
        <f t="shared" si="17"/>
        <v>0</v>
      </c>
      <c r="AO25" s="124">
        <f t="shared" si="17"/>
        <v>0</v>
      </c>
      <c r="AP25" s="124">
        <f t="shared" si="17"/>
        <v>0</v>
      </c>
      <c r="AQ25" s="124">
        <f t="shared" si="17"/>
        <v>0</v>
      </c>
      <c r="AR25" s="124">
        <f t="shared" si="17"/>
        <v>0</v>
      </c>
      <c r="AS25" s="124">
        <f t="shared" si="17"/>
        <v>0</v>
      </c>
      <c r="AT25" s="124">
        <f t="shared" si="17"/>
        <v>0</v>
      </c>
      <c r="AU25" s="124">
        <f t="shared" si="17"/>
        <v>0</v>
      </c>
      <c r="AV25" s="124">
        <f t="shared" si="17"/>
        <v>0</v>
      </c>
    </row>
    <row r="26" spans="2:48" ht="12.95" customHeight="1" x14ac:dyDescent="0.2">
      <c r="B26" s="14"/>
      <c r="C26" s="253" t="s">
        <v>877</v>
      </c>
      <c r="F26" s="253" t="s">
        <v>493</v>
      </c>
      <c r="G26" s="253" t="s">
        <v>432</v>
      </c>
      <c r="H26" s="277"/>
      <c r="I26" s="147"/>
      <c r="J26" s="124"/>
      <c r="K26" s="124"/>
      <c r="L26" s="124"/>
      <c r="M26" s="124"/>
      <c r="N26" s="124"/>
      <c r="O26" s="124"/>
      <c r="P26" s="124"/>
      <c r="Q26" s="124"/>
      <c r="R26" s="124"/>
      <c r="S26" s="124"/>
      <c r="T26" s="124"/>
      <c r="U26" s="124"/>
      <c r="V26" s="124"/>
      <c r="W26" s="124"/>
      <c r="X26" s="124"/>
      <c r="Y26" s="124"/>
      <c r="Z26" s="124"/>
      <c r="AA26" s="124"/>
      <c r="AB26" s="124">
        <f t="shared" ref="AB26:AV26" si="18">IF(AB71&gt;0,AA25,0)</f>
        <v>0</v>
      </c>
      <c r="AC26" s="124">
        <f t="shared" si="18"/>
        <v>0</v>
      </c>
      <c r="AD26" s="124">
        <f t="shared" si="18"/>
        <v>0</v>
      </c>
      <c r="AE26" s="124">
        <f t="shared" si="18"/>
        <v>0</v>
      </c>
      <c r="AF26" s="124">
        <f t="shared" si="18"/>
        <v>0</v>
      </c>
      <c r="AG26" s="124">
        <f t="shared" si="18"/>
        <v>0</v>
      </c>
      <c r="AH26" s="124">
        <f t="shared" si="18"/>
        <v>0</v>
      </c>
      <c r="AI26" s="124">
        <f t="shared" si="18"/>
        <v>0</v>
      </c>
      <c r="AJ26" s="124">
        <f t="shared" si="18"/>
        <v>0</v>
      </c>
      <c r="AK26" s="124">
        <f t="shared" si="18"/>
        <v>0</v>
      </c>
      <c r="AL26" s="124">
        <f t="shared" si="18"/>
        <v>0</v>
      </c>
      <c r="AM26" s="124">
        <f t="shared" si="18"/>
        <v>0</v>
      </c>
      <c r="AN26" s="124">
        <f t="shared" si="18"/>
        <v>0</v>
      </c>
      <c r="AO26" s="124">
        <f t="shared" si="18"/>
        <v>0</v>
      </c>
      <c r="AP26" s="124">
        <f t="shared" si="18"/>
        <v>0</v>
      </c>
      <c r="AQ26" s="124">
        <f t="shared" si="18"/>
        <v>0</v>
      </c>
      <c r="AR26" s="124">
        <f t="shared" si="18"/>
        <v>0</v>
      </c>
      <c r="AS26" s="124">
        <f t="shared" si="18"/>
        <v>0</v>
      </c>
      <c r="AT26" s="124">
        <f t="shared" si="18"/>
        <v>0</v>
      </c>
      <c r="AU26" s="124">
        <f t="shared" si="18"/>
        <v>0</v>
      </c>
      <c r="AV26" s="124">
        <f t="shared" si="18"/>
        <v>0</v>
      </c>
    </row>
    <row r="27" spans="2:48" ht="12.95" customHeight="1" x14ac:dyDescent="0.2">
      <c r="B27" s="14"/>
      <c r="C27" s="253" t="s">
        <v>878</v>
      </c>
      <c r="F27" s="253" t="s">
        <v>493</v>
      </c>
      <c r="G27" s="253" t="s">
        <v>432</v>
      </c>
      <c r="H27" s="277"/>
      <c r="I27" s="147"/>
      <c r="J27" s="124"/>
      <c r="K27" s="124"/>
      <c r="L27" s="124"/>
      <c r="M27" s="124"/>
      <c r="N27" s="124"/>
      <c r="O27" s="124"/>
      <c r="P27" s="124"/>
      <c r="Q27" s="124"/>
      <c r="R27" s="124"/>
      <c r="S27" s="124"/>
      <c r="T27" s="124"/>
      <c r="U27" s="124"/>
      <c r="V27" s="124"/>
      <c r="W27" s="124"/>
      <c r="X27" s="124"/>
      <c r="Y27" s="124"/>
      <c r="Z27" s="124"/>
      <c r="AA27" s="124"/>
      <c r="AB27" s="124"/>
      <c r="AC27" s="124">
        <f t="shared" ref="AC27:AV27" si="19">IF(AC72&gt;0,AB26,0)</f>
        <v>0</v>
      </c>
      <c r="AD27" s="124">
        <f t="shared" si="19"/>
        <v>0</v>
      </c>
      <c r="AE27" s="124">
        <f t="shared" si="19"/>
        <v>0</v>
      </c>
      <c r="AF27" s="124">
        <f t="shared" si="19"/>
        <v>0</v>
      </c>
      <c r="AG27" s="124">
        <f t="shared" si="19"/>
        <v>0</v>
      </c>
      <c r="AH27" s="124">
        <f t="shared" si="19"/>
        <v>0</v>
      </c>
      <c r="AI27" s="124">
        <f t="shared" si="19"/>
        <v>0</v>
      </c>
      <c r="AJ27" s="124">
        <f t="shared" si="19"/>
        <v>0</v>
      </c>
      <c r="AK27" s="124">
        <f t="shared" si="19"/>
        <v>0</v>
      </c>
      <c r="AL27" s="124">
        <f t="shared" si="19"/>
        <v>0</v>
      </c>
      <c r="AM27" s="124">
        <f t="shared" si="19"/>
        <v>0</v>
      </c>
      <c r="AN27" s="124">
        <f t="shared" si="19"/>
        <v>0</v>
      </c>
      <c r="AO27" s="124">
        <f t="shared" si="19"/>
        <v>0</v>
      </c>
      <c r="AP27" s="124">
        <f t="shared" si="19"/>
        <v>0</v>
      </c>
      <c r="AQ27" s="124">
        <f t="shared" si="19"/>
        <v>0</v>
      </c>
      <c r="AR27" s="124">
        <f t="shared" si="19"/>
        <v>0</v>
      </c>
      <c r="AS27" s="124">
        <f t="shared" si="19"/>
        <v>0</v>
      </c>
      <c r="AT27" s="124">
        <f t="shared" si="19"/>
        <v>0</v>
      </c>
      <c r="AU27" s="124">
        <f t="shared" si="19"/>
        <v>0</v>
      </c>
      <c r="AV27" s="124">
        <f t="shared" si="19"/>
        <v>0</v>
      </c>
    </row>
    <row r="28" spans="2:48" ht="12.95" customHeight="1" x14ac:dyDescent="0.2">
      <c r="B28" s="14"/>
      <c r="C28" s="253" t="s">
        <v>879</v>
      </c>
      <c r="F28" s="253" t="s">
        <v>493</v>
      </c>
      <c r="G28" s="253" t="s">
        <v>432</v>
      </c>
      <c r="H28" s="277"/>
      <c r="I28" s="147"/>
      <c r="J28" s="124"/>
      <c r="K28" s="124"/>
      <c r="L28" s="124"/>
      <c r="M28" s="124"/>
      <c r="N28" s="124"/>
      <c r="O28" s="124"/>
      <c r="P28" s="124"/>
      <c r="Q28" s="124"/>
      <c r="R28" s="124"/>
      <c r="S28" s="124"/>
      <c r="T28" s="124"/>
      <c r="U28" s="124"/>
      <c r="V28" s="124"/>
      <c r="W28" s="124"/>
      <c r="X28" s="124"/>
      <c r="Y28" s="124"/>
      <c r="Z28" s="124"/>
      <c r="AA28" s="124"/>
      <c r="AB28" s="124"/>
      <c r="AC28" s="124"/>
      <c r="AD28" s="124">
        <f t="shared" ref="AD28:AV28" si="20">IF(AD73&gt;0,AC27,0)</f>
        <v>0</v>
      </c>
      <c r="AE28" s="124">
        <f t="shared" si="20"/>
        <v>0</v>
      </c>
      <c r="AF28" s="124">
        <f t="shared" si="20"/>
        <v>0</v>
      </c>
      <c r="AG28" s="124">
        <f t="shared" si="20"/>
        <v>0</v>
      </c>
      <c r="AH28" s="124">
        <f t="shared" si="20"/>
        <v>0</v>
      </c>
      <c r="AI28" s="124">
        <f t="shared" si="20"/>
        <v>0</v>
      </c>
      <c r="AJ28" s="124">
        <f t="shared" si="20"/>
        <v>0</v>
      </c>
      <c r="AK28" s="124">
        <f t="shared" si="20"/>
        <v>0</v>
      </c>
      <c r="AL28" s="124">
        <f t="shared" si="20"/>
        <v>0</v>
      </c>
      <c r="AM28" s="124">
        <f t="shared" si="20"/>
        <v>0</v>
      </c>
      <c r="AN28" s="124">
        <f t="shared" si="20"/>
        <v>0</v>
      </c>
      <c r="AO28" s="124">
        <f t="shared" si="20"/>
        <v>0</v>
      </c>
      <c r="AP28" s="124">
        <f t="shared" si="20"/>
        <v>0</v>
      </c>
      <c r="AQ28" s="124">
        <f t="shared" si="20"/>
        <v>0</v>
      </c>
      <c r="AR28" s="124">
        <f t="shared" si="20"/>
        <v>0</v>
      </c>
      <c r="AS28" s="124">
        <f t="shared" si="20"/>
        <v>0</v>
      </c>
      <c r="AT28" s="124">
        <f t="shared" si="20"/>
        <v>0</v>
      </c>
      <c r="AU28" s="124">
        <f t="shared" si="20"/>
        <v>0</v>
      </c>
      <c r="AV28" s="124">
        <f t="shared" si="20"/>
        <v>0</v>
      </c>
    </row>
    <row r="29" spans="2:48" ht="12.95" customHeight="1" x14ac:dyDescent="0.2">
      <c r="B29" s="14"/>
      <c r="C29" s="253" t="s">
        <v>880</v>
      </c>
      <c r="F29" s="253" t="s">
        <v>493</v>
      </c>
      <c r="G29" s="253" t="s">
        <v>432</v>
      </c>
      <c r="H29" s="277"/>
      <c r="I29" s="147"/>
      <c r="J29" s="124"/>
      <c r="K29" s="124"/>
      <c r="L29" s="124"/>
      <c r="M29" s="124"/>
      <c r="N29" s="124"/>
      <c r="O29" s="124"/>
      <c r="P29" s="124"/>
      <c r="Q29" s="124"/>
      <c r="R29" s="124"/>
      <c r="S29" s="124"/>
      <c r="T29" s="124"/>
      <c r="U29" s="124"/>
      <c r="V29" s="124"/>
      <c r="W29" s="124"/>
      <c r="X29" s="124"/>
      <c r="Y29" s="124"/>
      <c r="Z29" s="124"/>
      <c r="AA29" s="124"/>
      <c r="AB29" s="124"/>
      <c r="AC29" s="124"/>
      <c r="AD29" s="124"/>
      <c r="AE29" s="124">
        <f t="shared" ref="AE29:AV29" si="21">IF(AE74&gt;0,AD28,0)</f>
        <v>0</v>
      </c>
      <c r="AF29" s="124">
        <f t="shared" si="21"/>
        <v>0</v>
      </c>
      <c r="AG29" s="124">
        <f t="shared" si="21"/>
        <v>0</v>
      </c>
      <c r="AH29" s="124">
        <f t="shared" si="21"/>
        <v>0</v>
      </c>
      <c r="AI29" s="124">
        <f t="shared" si="21"/>
        <v>0</v>
      </c>
      <c r="AJ29" s="124">
        <f t="shared" si="21"/>
        <v>0</v>
      </c>
      <c r="AK29" s="124">
        <f t="shared" si="21"/>
        <v>0</v>
      </c>
      <c r="AL29" s="124">
        <f t="shared" si="21"/>
        <v>0</v>
      </c>
      <c r="AM29" s="124">
        <f t="shared" si="21"/>
        <v>0</v>
      </c>
      <c r="AN29" s="124">
        <f t="shared" si="21"/>
        <v>0</v>
      </c>
      <c r="AO29" s="124">
        <f t="shared" si="21"/>
        <v>0</v>
      </c>
      <c r="AP29" s="124">
        <f t="shared" si="21"/>
        <v>0</v>
      </c>
      <c r="AQ29" s="124">
        <f t="shared" si="21"/>
        <v>0</v>
      </c>
      <c r="AR29" s="124">
        <f t="shared" si="21"/>
        <v>0</v>
      </c>
      <c r="AS29" s="124">
        <f t="shared" si="21"/>
        <v>0</v>
      </c>
      <c r="AT29" s="124">
        <f t="shared" si="21"/>
        <v>0</v>
      </c>
      <c r="AU29" s="124">
        <f t="shared" si="21"/>
        <v>0</v>
      </c>
      <c r="AV29" s="124">
        <f t="shared" si="21"/>
        <v>0</v>
      </c>
    </row>
    <row r="30" spans="2:48" ht="12.95" customHeight="1" x14ac:dyDescent="0.2">
      <c r="B30" s="14"/>
      <c r="C30" s="253" t="s">
        <v>881</v>
      </c>
      <c r="F30" s="253" t="s">
        <v>493</v>
      </c>
      <c r="G30" s="253" t="s">
        <v>432</v>
      </c>
      <c r="H30" s="277"/>
      <c r="I30" s="147"/>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f t="shared" ref="AF30:AV30" si="22">IF(AF75&gt;0,AE29,0)</f>
        <v>0</v>
      </c>
      <c r="AG30" s="124">
        <f t="shared" si="22"/>
        <v>0</v>
      </c>
      <c r="AH30" s="124">
        <f t="shared" si="22"/>
        <v>0</v>
      </c>
      <c r="AI30" s="124">
        <f t="shared" si="22"/>
        <v>0</v>
      </c>
      <c r="AJ30" s="124">
        <f t="shared" si="22"/>
        <v>0</v>
      </c>
      <c r="AK30" s="124">
        <f t="shared" si="22"/>
        <v>0</v>
      </c>
      <c r="AL30" s="124">
        <f t="shared" si="22"/>
        <v>0</v>
      </c>
      <c r="AM30" s="124">
        <f t="shared" si="22"/>
        <v>0</v>
      </c>
      <c r="AN30" s="124">
        <f t="shared" si="22"/>
        <v>0</v>
      </c>
      <c r="AO30" s="124">
        <f t="shared" si="22"/>
        <v>0</v>
      </c>
      <c r="AP30" s="124">
        <f t="shared" si="22"/>
        <v>0</v>
      </c>
      <c r="AQ30" s="124">
        <f t="shared" si="22"/>
        <v>0</v>
      </c>
      <c r="AR30" s="124">
        <f t="shared" si="22"/>
        <v>0</v>
      </c>
      <c r="AS30" s="124">
        <f t="shared" si="22"/>
        <v>0</v>
      </c>
      <c r="AT30" s="124">
        <f t="shared" si="22"/>
        <v>0</v>
      </c>
      <c r="AU30" s="124">
        <f t="shared" si="22"/>
        <v>0</v>
      </c>
      <c r="AV30" s="124">
        <f t="shared" si="22"/>
        <v>0</v>
      </c>
    </row>
    <row r="31" spans="2:48" ht="12.95" customHeight="1" x14ac:dyDescent="0.2">
      <c r="B31" s="14"/>
      <c r="C31" s="253" t="s">
        <v>882</v>
      </c>
      <c r="F31" s="253" t="s">
        <v>493</v>
      </c>
      <c r="G31" s="253" t="s">
        <v>432</v>
      </c>
      <c r="H31" s="277"/>
      <c r="I31" s="147"/>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f t="shared" ref="AG31:AV31" si="23">IF(AG76&gt;0,AF30,0)</f>
        <v>0</v>
      </c>
      <c r="AH31" s="124">
        <f t="shared" si="23"/>
        <v>0</v>
      </c>
      <c r="AI31" s="124">
        <f t="shared" si="23"/>
        <v>0</v>
      </c>
      <c r="AJ31" s="124">
        <f t="shared" si="23"/>
        <v>0</v>
      </c>
      <c r="AK31" s="124">
        <f t="shared" si="23"/>
        <v>0</v>
      </c>
      <c r="AL31" s="124">
        <f t="shared" si="23"/>
        <v>0</v>
      </c>
      <c r="AM31" s="124">
        <f t="shared" si="23"/>
        <v>0</v>
      </c>
      <c r="AN31" s="124">
        <f t="shared" si="23"/>
        <v>0</v>
      </c>
      <c r="AO31" s="124">
        <f t="shared" si="23"/>
        <v>0</v>
      </c>
      <c r="AP31" s="124">
        <f t="shared" si="23"/>
        <v>0</v>
      </c>
      <c r="AQ31" s="124">
        <f t="shared" si="23"/>
        <v>0</v>
      </c>
      <c r="AR31" s="124">
        <f t="shared" si="23"/>
        <v>0</v>
      </c>
      <c r="AS31" s="124">
        <f t="shared" si="23"/>
        <v>0</v>
      </c>
      <c r="AT31" s="124">
        <f t="shared" si="23"/>
        <v>0</v>
      </c>
      <c r="AU31" s="124">
        <f t="shared" si="23"/>
        <v>0</v>
      </c>
      <c r="AV31" s="124">
        <f t="shared" si="23"/>
        <v>0</v>
      </c>
    </row>
    <row r="32" spans="2:48" ht="12.95" customHeight="1" x14ac:dyDescent="0.2">
      <c r="B32" s="14"/>
      <c r="C32" s="253" t="s">
        <v>883</v>
      </c>
      <c r="F32" s="253" t="s">
        <v>493</v>
      </c>
      <c r="G32" s="253" t="s">
        <v>432</v>
      </c>
      <c r="H32" s="277"/>
      <c r="I32" s="147"/>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f t="shared" ref="AH32:AV32" si="24">IF(AH77&gt;0,AG31,0)</f>
        <v>0</v>
      </c>
      <c r="AI32" s="124">
        <f t="shared" si="24"/>
        <v>0</v>
      </c>
      <c r="AJ32" s="124">
        <f t="shared" si="24"/>
        <v>0</v>
      </c>
      <c r="AK32" s="124">
        <f t="shared" si="24"/>
        <v>0</v>
      </c>
      <c r="AL32" s="124">
        <f t="shared" si="24"/>
        <v>0</v>
      </c>
      <c r="AM32" s="124">
        <f t="shared" si="24"/>
        <v>0</v>
      </c>
      <c r="AN32" s="124">
        <f t="shared" si="24"/>
        <v>0</v>
      </c>
      <c r="AO32" s="124">
        <f t="shared" si="24"/>
        <v>0</v>
      </c>
      <c r="AP32" s="124">
        <f t="shared" si="24"/>
        <v>0</v>
      </c>
      <c r="AQ32" s="124">
        <f t="shared" si="24"/>
        <v>0</v>
      </c>
      <c r="AR32" s="124">
        <f t="shared" si="24"/>
        <v>0</v>
      </c>
      <c r="AS32" s="124">
        <f t="shared" si="24"/>
        <v>0</v>
      </c>
      <c r="AT32" s="124">
        <f t="shared" si="24"/>
        <v>0</v>
      </c>
      <c r="AU32" s="124">
        <f t="shared" si="24"/>
        <v>0</v>
      </c>
      <c r="AV32" s="124">
        <f t="shared" si="24"/>
        <v>0</v>
      </c>
    </row>
    <row r="33" spans="1:48" ht="12.95" customHeight="1" x14ac:dyDescent="0.2">
      <c r="B33" s="14"/>
      <c r="C33" s="253" t="s">
        <v>884</v>
      </c>
      <c r="F33" s="253" t="s">
        <v>493</v>
      </c>
      <c r="G33" s="253" t="s">
        <v>432</v>
      </c>
      <c r="H33" s="277"/>
      <c r="I33" s="147"/>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f t="shared" ref="AI33:AV33" si="25">IF(AI78&gt;0,AH32,0)</f>
        <v>0</v>
      </c>
      <c r="AJ33" s="124">
        <f t="shared" si="25"/>
        <v>0</v>
      </c>
      <c r="AK33" s="124">
        <f t="shared" si="25"/>
        <v>0</v>
      </c>
      <c r="AL33" s="124">
        <f t="shared" si="25"/>
        <v>0</v>
      </c>
      <c r="AM33" s="124">
        <f t="shared" si="25"/>
        <v>0</v>
      </c>
      <c r="AN33" s="124">
        <f t="shared" si="25"/>
        <v>0</v>
      </c>
      <c r="AO33" s="124">
        <f t="shared" si="25"/>
        <v>0</v>
      </c>
      <c r="AP33" s="124">
        <f t="shared" si="25"/>
        <v>0</v>
      </c>
      <c r="AQ33" s="124">
        <f t="shared" si="25"/>
        <v>0</v>
      </c>
      <c r="AR33" s="124">
        <f t="shared" si="25"/>
        <v>0</v>
      </c>
      <c r="AS33" s="124">
        <f t="shared" si="25"/>
        <v>0</v>
      </c>
      <c r="AT33" s="124">
        <f t="shared" si="25"/>
        <v>0</v>
      </c>
      <c r="AU33" s="124">
        <f t="shared" si="25"/>
        <v>0</v>
      </c>
      <c r="AV33" s="124">
        <f t="shared" si="25"/>
        <v>0</v>
      </c>
    </row>
    <row r="34" spans="1:48" ht="12.95" customHeight="1" x14ac:dyDescent="0.2">
      <c r="B34" s="14"/>
      <c r="C34" s="253" t="s">
        <v>885</v>
      </c>
      <c r="F34" s="253" t="s">
        <v>493</v>
      </c>
      <c r="G34" s="253" t="s">
        <v>432</v>
      </c>
      <c r="H34" s="277"/>
      <c r="I34" s="147"/>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f t="shared" ref="AJ34:AV34" si="26">IF(AJ79&gt;0,AI33,0)</f>
        <v>0</v>
      </c>
      <c r="AK34" s="124">
        <f t="shared" si="26"/>
        <v>0</v>
      </c>
      <c r="AL34" s="124">
        <f t="shared" si="26"/>
        <v>0</v>
      </c>
      <c r="AM34" s="124">
        <f t="shared" si="26"/>
        <v>0</v>
      </c>
      <c r="AN34" s="124">
        <f t="shared" si="26"/>
        <v>0</v>
      </c>
      <c r="AO34" s="124">
        <f t="shared" si="26"/>
        <v>0</v>
      </c>
      <c r="AP34" s="124">
        <f t="shared" si="26"/>
        <v>0</v>
      </c>
      <c r="AQ34" s="124">
        <f t="shared" si="26"/>
        <v>0</v>
      </c>
      <c r="AR34" s="124">
        <f t="shared" si="26"/>
        <v>0</v>
      </c>
      <c r="AS34" s="124">
        <f t="shared" si="26"/>
        <v>0</v>
      </c>
      <c r="AT34" s="124">
        <f t="shared" si="26"/>
        <v>0</v>
      </c>
      <c r="AU34" s="124">
        <f t="shared" si="26"/>
        <v>0</v>
      </c>
      <c r="AV34" s="124">
        <f t="shared" si="26"/>
        <v>0</v>
      </c>
    </row>
    <row r="35" spans="1:48" ht="12.95" customHeight="1" x14ac:dyDescent="0.2">
      <c r="B35" s="14"/>
      <c r="C35" s="253" t="s">
        <v>886</v>
      </c>
      <c r="F35" s="253" t="s">
        <v>493</v>
      </c>
      <c r="G35" s="253" t="s">
        <v>432</v>
      </c>
      <c r="H35" s="277"/>
      <c r="I35" s="147"/>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f t="shared" ref="AK35:AV35" si="27">IF(AK80&gt;0,AJ34,0)</f>
        <v>0</v>
      </c>
      <c r="AL35" s="124">
        <f t="shared" si="27"/>
        <v>0</v>
      </c>
      <c r="AM35" s="124">
        <f t="shared" si="27"/>
        <v>0</v>
      </c>
      <c r="AN35" s="124">
        <f t="shared" si="27"/>
        <v>0</v>
      </c>
      <c r="AO35" s="124">
        <f t="shared" si="27"/>
        <v>0</v>
      </c>
      <c r="AP35" s="124">
        <f t="shared" si="27"/>
        <v>0</v>
      </c>
      <c r="AQ35" s="124">
        <f t="shared" si="27"/>
        <v>0</v>
      </c>
      <c r="AR35" s="124">
        <f t="shared" si="27"/>
        <v>0</v>
      </c>
      <c r="AS35" s="124">
        <f t="shared" si="27"/>
        <v>0</v>
      </c>
      <c r="AT35" s="124">
        <f t="shared" si="27"/>
        <v>0</v>
      </c>
      <c r="AU35" s="124">
        <f t="shared" si="27"/>
        <v>0</v>
      </c>
      <c r="AV35" s="124">
        <f t="shared" si="27"/>
        <v>0</v>
      </c>
    </row>
    <row r="36" spans="1:48" ht="12.95" customHeight="1" x14ac:dyDescent="0.2">
      <c r="B36" s="14"/>
      <c r="C36" s="253" t="s">
        <v>887</v>
      </c>
      <c r="F36" s="253" t="s">
        <v>493</v>
      </c>
      <c r="G36" s="253" t="s">
        <v>432</v>
      </c>
      <c r="H36" s="277"/>
      <c r="I36" s="147"/>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f t="shared" ref="AL36:AV36" si="28">IF(AL81&gt;0,AK35,0)</f>
        <v>0</v>
      </c>
      <c r="AM36" s="124">
        <f t="shared" si="28"/>
        <v>0</v>
      </c>
      <c r="AN36" s="124">
        <f t="shared" si="28"/>
        <v>0</v>
      </c>
      <c r="AO36" s="124">
        <f t="shared" si="28"/>
        <v>0</v>
      </c>
      <c r="AP36" s="124">
        <f t="shared" si="28"/>
        <v>0</v>
      </c>
      <c r="AQ36" s="124">
        <f t="shared" si="28"/>
        <v>0</v>
      </c>
      <c r="AR36" s="124">
        <f t="shared" si="28"/>
        <v>0</v>
      </c>
      <c r="AS36" s="124">
        <f t="shared" si="28"/>
        <v>0</v>
      </c>
      <c r="AT36" s="124">
        <f t="shared" si="28"/>
        <v>0</v>
      </c>
      <c r="AU36" s="124">
        <f t="shared" si="28"/>
        <v>0</v>
      </c>
      <c r="AV36" s="124">
        <f t="shared" si="28"/>
        <v>0</v>
      </c>
    </row>
    <row r="37" spans="1:48" ht="12.95" customHeight="1" x14ac:dyDescent="0.2">
      <c r="B37" s="14"/>
      <c r="C37" s="253" t="s">
        <v>888</v>
      </c>
      <c r="F37" s="253" t="s">
        <v>493</v>
      </c>
      <c r="G37" s="253" t="s">
        <v>432</v>
      </c>
      <c r="H37" s="277"/>
      <c r="I37" s="147"/>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f t="shared" ref="AM37:AV37" si="29">IF(AM82&gt;0,AL36,0)</f>
        <v>0</v>
      </c>
      <c r="AN37" s="124">
        <f t="shared" si="29"/>
        <v>0</v>
      </c>
      <c r="AO37" s="124">
        <f t="shared" si="29"/>
        <v>0</v>
      </c>
      <c r="AP37" s="124">
        <f t="shared" si="29"/>
        <v>0</v>
      </c>
      <c r="AQ37" s="124">
        <f t="shared" si="29"/>
        <v>0</v>
      </c>
      <c r="AR37" s="124">
        <f t="shared" si="29"/>
        <v>0</v>
      </c>
      <c r="AS37" s="124">
        <f t="shared" si="29"/>
        <v>0</v>
      </c>
      <c r="AT37" s="124">
        <f t="shared" si="29"/>
        <v>0</v>
      </c>
      <c r="AU37" s="124">
        <f t="shared" si="29"/>
        <v>0</v>
      </c>
      <c r="AV37" s="124">
        <f t="shared" si="29"/>
        <v>0</v>
      </c>
    </row>
    <row r="38" spans="1:48" ht="12.95" customHeight="1" x14ac:dyDescent="0.2">
      <c r="B38" s="14"/>
      <c r="C38" s="253" t="s">
        <v>889</v>
      </c>
      <c r="F38" s="253" t="s">
        <v>493</v>
      </c>
      <c r="G38" s="253" t="s">
        <v>432</v>
      </c>
      <c r="H38" s="277"/>
      <c r="I38" s="147"/>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f t="shared" ref="AN38:AV38" si="30">IF(AN83&gt;0,AM37,0)</f>
        <v>0</v>
      </c>
      <c r="AO38" s="124">
        <f t="shared" si="30"/>
        <v>0</v>
      </c>
      <c r="AP38" s="124">
        <f t="shared" si="30"/>
        <v>0</v>
      </c>
      <c r="AQ38" s="124">
        <f t="shared" si="30"/>
        <v>0</v>
      </c>
      <c r="AR38" s="124">
        <f t="shared" si="30"/>
        <v>0</v>
      </c>
      <c r="AS38" s="124">
        <f t="shared" si="30"/>
        <v>0</v>
      </c>
      <c r="AT38" s="124">
        <f t="shared" si="30"/>
        <v>0</v>
      </c>
      <c r="AU38" s="124">
        <f t="shared" si="30"/>
        <v>0</v>
      </c>
      <c r="AV38" s="124">
        <f t="shared" si="30"/>
        <v>0</v>
      </c>
    </row>
    <row r="39" spans="1:48" ht="12.95" customHeight="1" x14ac:dyDescent="0.2">
      <c r="B39" s="14"/>
      <c r="C39" s="253" t="s">
        <v>890</v>
      </c>
      <c r="F39" s="253" t="s">
        <v>493</v>
      </c>
      <c r="G39" s="253" t="s">
        <v>432</v>
      </c>
      <c r="H39" s="277"/>
      <c r="I39" s="147"/>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f t="shared" ref="AO39:AV39" si="31">IF(AO84&gt;0,AN38,0)</f>
        <v>0</v>
      </c>
      <c r="AP39" s="124">
        <f t="shared" si="31"/>
        <v>0</v>
      </c>
      <c r="AQ39" s="124">
        <f t="shared" si="31"/>
        <v>0</v>
      </c>
      <c r="AR39" s="124">
        <f t="shared" si="31"/>
        <v>0</v>
      </c>
      <c r="AS39" s="124">
        <f t="shared" si="31"/>
        <v>0</v>
      </c>
      <c r="AT39" s="124">
        <f t="shared" si="31"/>
        <v>0</v>
      </c>
      <c r="AU39" s="124">
        <f t="shared" si="31"/>
        <v>0</v>
      </c>
      <c r="AV39" s="124">
        <f t="shared" si="31"/>
        <v>0</v>
      </c>
    </row>
    <row r="40" spans="1:48" ht="12.95" customHeight="1" x14ac:dyDescent="0.2">
      <c r="B40" s="14"/>
      <c r="C40" s="253" t="s">
        <v>891</v>
      </c>
      <c r="F40" s="253" t="s">
        <v>493</v>
      </c>
      <c r="G40" s="253" t="s">
        <v>432</v>
      </c>
      <c r="H40" s="277"/>
      <c r="I40" s="147"/>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f t="shared" ref="AP40:AV40" si="32">IF(AP85&gt;0,AO39,0)</f>
        <v>0</v>
      </c>
      <c r="AQ40" s="124">
        <f t="shared" si="32"/>
        <v>0</v>
      </c>
      <c r="AR40" s="124">
        <f t="shared" si="32"/>
        <v>0</v>
      </c>
      <c r="AS40" s="124">
        <f t="shared" si="32"/>
        <v>0</v>
      </c>
      <c r="AT40" s="124">
        <f t="shared" si="32"/>
        <v>0</v>
      </c>
      <c r="AU40" s="124">
        <f t="shared" si="32"/>
        <v>0</v>
      </c>
      <c r="AV40" s="124">
        <f t="shared" si="32"/>
        <v>0</v>
      </c>
    </row>
    <row r="41" spans="1:48" ht="12.95" customHeight="1" x14ac:dyDescent="0.2">
      <c r="B41" s="14"/>
      <c r="C41" s="253" t="s">
        <v>892</v>
      </c>
      <c r="F41" s="253" t="s">
        <v>493</v>
      </c>
      <c r="G41" s="253" t="s">
        <v>432</v>
      </c>
      <c r="H41" s="277"/>
      <c r="I41" s="147"/>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c r="AN41" s="124"/>
      <c r="AO41" s="124"/>
      <c r="AP41" s="124"/>
      <c r="AQ41" s="124">
        <f t="shared" ref="AQ41:AV41" si="33">IF(AQ86&gt;0,AP40,0)</f>
        <v>0</v>
      </c>
      <c r="AR41" s="124">
        <f t="shared" si="33"/>
        <v>0</v>
      </c>
      <c r="AS41" s="124">
        <f t="shared" si="33"/>
        <v>0</v>
      </c>
      <c r="AT41" s="124">
        <f t="shared" si="33"/>
        <v>0</v>
      </c>
      <c r="AU41" s="124">
        <f t="shared" si="33"/>
        <v>0</v>
      </c>
      <c r="AV41" s="124">
        <f t="shared" si="33"/>
        <v>0</v>
      </c>
    </row>
    <row r="42" spans="1:48" ht="12.95" customHeight="1" x14ac:dyDescent="0.2">
      <c r="B42" s="14"/>
      <c r="C42" s="253" t="s">
        <v>893</v>
      </c>
      <c r="F42" s="253" t="s">
        <v>493</v>
      </c>
      <c r="G42" s="253" t="s">
        <v>432</v>
      </c>
      <c r="H42" s="277"/>
      <c r="I42" s="147"/>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f>IF(AR87&gt;0,AQ41,0)</f>
        <v>0</v>
      </c>
      <c r="AS42" s="124">
        <f>IF(AS87&gt;0,AR41,0)</f>
        <v>0</v>
      </c>
      <c r="AT42" s="124">
        <f>IF(AT87&gt;0,AS41,0)</f>
        <v>0</v>
      </c>
      <c r="AU42" s="124">
        <f>IF(AU87&gt;0,AT41,0)</f>
        <v>0</v>
      </c>
      <c r="AV42" s="124">
        <f>IF(AV87&gt;0,AU41,0)</f>
        <v>0</v>
      </c>
    </row>
    <row r="43" spans="1:48" ht="12.95" customHeight="1" x14ac:dyDescent="0.2">
      <c r="B43" s="14"/>
      <c r="C43" s="253" t="s">
        <v>894</v>
      </c>
      <c r="F43" s="253" t="s">
        <v>493</v>
      </c>
      <c r="G43" s="253" t="s">
        <v>432</v>
      </c>
      <c r="H43" s="277"/>
      <c r="I43" s="147"/>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f>IF(AS88&gt;0,AR42,0)</f>
        <v>0</v>
      </c>
      <c r="AT43" s="124">
        <f>IF(AT88&gt;0,AS42,0)</f>
        <v>0</v>
      </c>
      <c r="AU43" s="124">
        <f>IF(AU88&gt;0,AT42,0)</f>
        <v>0</v>
      </c>
      <c r="AV43" s="124">
        <f>IF(AV88&gt;0,AU42,0)</f>
        <v>0</v>
      </c>
    </row>
    <row r="44" spans="1:48" ht="12.95" customHeight="1" x14ac:dyDescent="0.2">
      <c r="B44" s="14"/>
      <c r="C44" s="253" t="s">
        <v>895</v>
      </c>
      <c r="F44" s="253" t="s">
        <v>493</v>
      </c>
      <c r="G44" s="253" t="s">
        <v>432</v>
      </c>
      <c r="H44" s="277"/>
      <c r="I44" s="147"/>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f>IF(AT89&gt;0,AS43,0)</f>
        <v>0</v>
      </c>
      <c r="AU44" s="124">
        <f>IF(AU89&gt;0,AT43,0)</f>
        <v>0</v>
      </c>
      <c r="AV44" s="124">
        <f>IF(AV89&gt;0,AU43,0)</f>
        <v>0</v>
      </c>
    </row>
    <row r="45" spans="1:48" ht="12.95" customHeight="1" x14ac:dyDescent="0.2">
      <c r="B45" s="14"/>
      <c r="C45" s="253" t="s">
        <v>896</v>
      </c>
      <c r="F45" s="253" t="s">
        <v>493</v>
      </c>
      <c r="G45" s="253" t="s">
        <v>432</v>
      </c>
      <c r="H45" s="277"/>
      <c r="I45" s="147"/>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f>IF(AU90&gt;0,AT44,0)</f>
        <v>0</v>
      </c>
      <c r="AV45" s="124">
        <f>IF(AV90&gt;0,AU44,0)</f>
        <v>0</v>
      </c>
    </row>
    <row r="46" spans="1:48" ht="12.95" customHeight="1" x14ac:dyDescent="0.2">
      <c r="B46" s="14"/>
      <c r="C46" s="253" t="s">
        <v>897</v>
      </c>
      <c r="F46" s="253" t="s">
        <v>493</v>
      </c>
      <c r="G46" s="253" t="s">
        <v>432</v>
      </c>
      <c r="H46" s="277"/>
      <c r="I46" s="147"/>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f>IF(AV91&gt;0,AU45,0)</f>
        <v>0</v>
      </c>
    </row>
    <row r="47" spans="1:48" ht="12.95" customHeight="1" x14ac:dyDescent="0.2">
      <c r="C47" s="253" t="s">
        <v>972</v>
      </c>
      <c r="F47" s="253" t="s">
        <v>493</v>
      </c>
      <c r="G47" s="253" t="s">
        <v>432</v>
      </c>
      <c r="H47" s="124"/>
      <c r="I47" s="124">
        <f t="shared" ref="I47:AV47" si="34">SUM(I7:I46)</f>
        <v>0</v>
      </c>
      <c r="J47" s="124">
        <f t="shared" si="34"/>
        <v>0</v>
      </c>
      <c r="K47" s="124">
        <f t="shared" si="34"/>
        <v>0</v>
      </c>
      <c r="L47" s="124">
        <f t="shared" si="34"/>
        <v>0</v>
      </c>
      <c r="M47" s="124">
        <f t="shared" si="34"/>
        <v>0</v>
      </c>
      <c r="N47" s="124">
        <f t="shared" si="34"/>
        <v>0</v>
      </c>
      <c r="O47" s="124">
        <f t="shared" si="34"/>
        <v>0</v>
      </c>
      <c r="P47" s="124">
        <f t="shared" si="34"/>
        <v>0</v>
      </c>
      <c r="Q47" s="124">
        <f t="shared" si="34"/>
        <v>0</v>
      </c>
      <c r="R47" s="124">
        <f t="shared" si="34"/>
        <v>0</v>
      </c>
      <c r="S47" s="124">
        <f t="shared" si="34"/>
        <v>0</v>
      </c>
      <c r="T47" s="124">
        <f t="shared" si="34"/>
        <v>0</v>
      </c>
      <c r="U47" s="124">
        <f t="shared" si="34"/>
        <v>0</v>
      </c>
      <c r="V47" s="124">
        <f t="shared" si="34"/>
        <v>0</v>
      </c>
      <c r="W47" s="124">
        <f t="shared" si="34"/>
        <v>0</v>
      </c>
      <c r="X47" s="124">
        <f t="shared" si="34"/>
        <v>0</v>
      </c>
      <c r="Y47" s="124">
        <f t="shared" si="34"/>
        <v>0</v>
      </c>
      <c r="Z47" s="124">
        <f t="shared" si="34"/>
        <v>0</v>
      </c>
      <c r="AA47" s="124">
        <f t="shared" si="34"/>
        <v>0</v>
      </c>
      <c r="AB47" s="124">
        <f t="shared" si="34"/>
        <v>0</v>
      </c>
      <c r="AC47" s="124">
        <f t="shared" si="34"/>
        <v>0</v>
      </c>
      <c r="AD47" s="124">
        <f t="shared" si="34"/>
        <v>0</v>
      </c>
      <c r="AE47" s="124">
        <f t="shared" si="34"/>
        <v>0</v>
      </c>
      <c r="AF47" s="124">
        <f t="shared" si="34"/>
        <v>0</v>
      </c>
      <c r="AG47" s="124">
        <f t="shared" si="34"/>
        <v>0</v>
      </c>
      <c r="AH47" s="124">
        <f t="shared" si="34"/>
        <v>0</v>
      </c>
      <c r="AI47" s="124">
        <f t="shared" si="34"/>
        <v>0</v>
      </c>
      <c r="AJ47" s="124">
        <f t="shared" si="34"/>
        <v>0</v>
      </c>
      <c r="AK47" s="124">
        <f t="shared" si="34"/>
        <v>0</v>
      </c>
      <c r="AL47" s="124">
        <f t="shared" si="34"/>
        <v>0</v>
      </c>
      <c r="AM47" s="124">
        <f t="shared" si="34"/>
        <v>0</v>
      </c>
      <c r="AN47" s="124">
        <f t="shared" si="34"/>
        <v>0</v>
      </c>
      <c r="AO47" s="124">
        <f t="shared" si="34"/>
        <v>0</v>
      </c>
      <c r="AP47" s="124">
        <f t="shared" si="34"/>
        <v>0</v>
      </c>
      <c r="AQ47" s="124">
        <f t="shared" si="34"/>
        <v>0</v>
      </c>
      <c r="AR47" s="124">
        <f t="shared" si="34"/>
        <v>0</v>
      </c>
      <c r="AS47" s="124">
        <f t="shared" si="34"/>
        <v>0</v>
      </c>
      <c r="AT47" s="124">
        <f t="shared" si="34"/>
        <v>0</v>
      </c>
      <c r="AU47" s="124">
        <f t="shared" si="34"/>
        <v>0</v>
      </c>
      <c r="AV47" s="124">
        <f t="shared" si="34"/>
        <v>0</v>
      </c>
    </row>
    <row r="48" spans="1:48" ht="12.95" customHeight="1" x14ac:dyDescent="0.2">
      <c r="A48" s="73"/>
      <c r="B48" s="14"/>
      <c r="F48" s="73"/>
      <c r="H48" s="124"/>
      <c r="I48" s="147"/>
      <c r="J48" s="147"/>
      <c r="K48" s="147"/>
      <c r="L48" s="147"/>
      <c r="M48" s="147"/>
      <c r="N48" s="147"/>
      <c r="O48" s="147"/>
      <c r="P48" s="147"/>
      <c r="Q48" s="147"/>
      <c r="R48" s="147"/>
      <c r="S48" s="147"/>
      <c r="T48" s="147"/>
      <c r="U48" s="147"/>
      <c r="V48" s="147"/>
      <c r="W48" s="147"/>
      <c r="X48" s="147"/>
      <c r="Y48" s="147"/>
      <c r="Z48" s="147"/>
      <c r="AA48" s="147"/>
      <c r="AB48" s="147"/>
      <c r="AC48" s="147"/>
      <c r="AD48" s="147"/>
      <c r="AE48" s="147"/>
      <c r="AF48" s="147"/>
      <c r="AG48" s="147"/>
      <c r="AH48" s="147"/>
      <c r="AI48" s="147"/>
      <c r="AJ48" s="147"/>
      <c r="AK48" s="147"/>
      <c r="AL48" s="147"/>
      <c r="AM48" s="147"/>
      <c r="AN48" s="147"/>
      <c r="AO48" s="147"/>
      <c r="AP48" s="147"/>
      <c r="AQ48" s="147"/>
      <c r="AR48" s="147"/>
      <c r="AS48" s="147"/>
      <c r="AT48" s="147"/>
      <c r="AU48" s="147"/>
      <c r="AV48" s="147"/>
    </row>
    <row r="49" spans="2:50" ht="12.95" customHeight="1" x14ac:dyDescent="0.25">
      <c r="B49" s="105" t="s">
        <v>1022</v>
      </c>
      <c r="C49" s="106"/>
      <c r="D49" s="106"/>
      <c r="E49" s="106"/>
      <c r="F49" s="106"/>
      <c r="G49" s="106"/>
      <c r="H49" s="106"/>
      <c r="I49" s="106"/>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8"/>
    </row>
    <row r="50" spans="2:50" ht="12.95" customHeight="1" x14ac:dyDescent="0.25">
      <c r="B50" s="19" t="s">
        <v>300</v>
      </c>
      <c r="C50" s="75"/>
      <c r="D50" s="75"/>
      <c r="E50" s="74"/>
      <c r="F50" s="74"/>
      <c r="G50" s="113" t="s">
        <v>1</v>
      </c>
      <c r="H50" s="114" t="s">
        <v>456</v>
      </c>
      <c r="I50" s="114" t="s">
        <v>381</v>
      </c>
      <c r="J50" s="56" t="s">
        <v>382</v>
      </c>
      <c r="K50" s="56" t="s">
        <v>383</v>
      </c>
      <c r="L50" s="56" t="s">
        <v>384</v>
      </c>
      <c r="M50" s="56" t="s">
        <v>385</v>
      </c>
      <c r="N50" s="56" t="s">
        <v>386</v>
      </c>
      <c r="O50" s="56" t="s">
        <v>387</v>
      </c>
      <c r="P50" s="56" t="s">
        <v>388</v>
      </c>
      <c r="Q50" s="56" t="s">
        <v>389</v>
      </c>
      <c r="R50" s="56" t="s">
        <v>390</v>
      </c>
      <c r="S50" s="56" t="s">
        <v>401</v>
      </c>
      <c r="T50" s="56" t="s">
        <v>402</v>
      </c>
      <c r="U50" s="56" t="s">
        <v>403</v>
      </c>
      <c r="V50" s="56" t="s">
        <v>404</v>
      </c>
      <c r="W50" s="56" t="s">
        <v>405</v>
      </c>
      <c r="X50" s="56" t="s">
        <v>406</v>
      </c>
      <c r="Y50" s="56" t="s">
        <v>407</v>
      </c>
      <c r="Z50" s="56" t="s">
        <v>408</v>
      </c>
      <c r="AA50" s="56" t="s">
        <v>409</v>
      </c>
      <c r="AB50" s="56" t="s">
        <v>410</v>
      </c>
      <c r="AC50" s="56" t="s">
        <v>411</v>
      </c>
      <c r="AD50" s="56" t="s">
        <v>412</v>
      </c>
      <c r="AE50" s="56" t="s">
        <v>413</v>
      </c>
      <c r="AF50" s="56" t="s">
        <v>414</v>
      </c>
      <c r="AG50" s="56" t="s">
        <v>415</v>
      </c>
      <c r="AH50" s="56" t="s">
        <v>416</v>
      </c>
      <c r="AI50" s="56" t="s">
        <v>417</v>
      </c>
      <c r="AJ50" s="56" t="s">
        <v>418</v>
      </c>
      <c r="AK50" s="56" t="s">
        <v>419</v>
      </c>
      <c r="AL50" s="56" t="s">
        <v>420</v>
      </c>
      <c r="AM50" s="56" t="s">
        <v>421</v>
      </c>
      <c r="AN50" s="56" t="s">
        <v>422</v>
      </c>
      <c r="AO50" s="56" t="s">
        <v>423</v>
      </c>
      <c r="AP50" s="56" t="s">
        <v>424</v>
      </c>
      <c r="AQ50" s="56" t="s">
        <v>425</v>
      </c>
      <c r="AR50" s="56" t="s">
        <v>426</v>
      </c>
      <c r="AS50" s="56" t="s">
        <v>427</v>
      </c>
      <c r="AT50" s="56" t="s">
        <v>428</v>
      </c>
      <c r="AU50" s="56" t="s">
        <v>429</v>
      </c>
      <c r="AV50" s="56" t="s">
        <v>430</v>
      </c>
      <c r="AW50" s="5" t="s">
        <v>2</v>
      </c>
      <c r="AX50" s="14"/>
    </row>
    <row r="51" spans="2:50" ht="12.95" customHeight="1" x14ac:dyDescent="0.2">
      <c r="B51" s="14" t="s">
        <v>994</v>
      </c>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1"/>
      <c r="AN51" s="171"/>
      <c r="AO51" s="171"/>
      <c r="AP51" s="171"/>
      <c r="AQ51" s="171"/>
      <c r="AR51" s="171"/>
      <c r="AS51" s="171"/>
      <c r="AT51" s="171"/>
      <c r="AU51" s="171"/>
      <c r="AV51" s="171"/>
    </row>
    <row r="52" spans="2:50" ht="12.95" customHeight="1" x14ac:dyDescent="0.2">
      <c r="B52" s="14"/>
      <c r="C52" s="372">
        <v>1</v>
      </c>
      <c r="D52" s="372"/>
      <c r="E52" s="372"/>
      <c r="F52" s="253" t="s">
        <v>492</v>
      </c>
      <c r="G52" s="253" t="s">
        <v>4</v>
      </c>
      <c r="H52" s="124">
        <f>SLASH!$F$7</f>
        <v>25</v>
      </c>
      <c r="I52" s="124">
        <f>MOD(H52,SLASH!$F$7)+1</f>
        <v>1</v>
      </c>
      <c r="J52" s="124">
        <f>MOD(I52,SLASH!$F$7)+1</f>
        <v>2</v>
      </c>
      <c r="K52" s="124">
        <f>MOD(J52,SLASH!$F$7)+1</f>
        <v>3</v>
      </c>
      <c r="L52" s="124">
        <f>MOD(K52,SLASH!$F$7)+1</f>
        <v>4</v>
      </c>
      <c r="M52" s="124">
        <f>MOD(L52,SLASH!$F$7)+1</f>
        <v>5</v>
      </c>
      <c r="N52" s="124">
        <f>MOD(M52,SLASH!$F$7)+1</f>
        <v>6</v>
      </c>
      <c r="O52" s="124">
        <f>MOD(N52,SLASH!$F$7)+1</f>
        <v>7</v>
      </c>
      <c r="P52" s="124">
        <f>MOD(O52,SLASH!$F$7)+1</f>
        <v>8</v>
      </c>
      <c r="Q52" s="124">
        <f>MOD(P52,SLASH!$F$7)+1</f>
        <v>9</v>
      </c>
      <c r="R52" s="124">
        <f>MOD(Q52,SLASH!$F$7)+1</f>
        <v>10</v>
      </c>
      <c r="S52" s="124">
        <f>MOD(R52,SLASH!$F$7)+1</f>
        <v>11</v>
      </c>
      <c r="T52" s="124">
        <f>MOD(S52,SLASH!$F$7)+1</f>
        <v>12</v>
      </c>
      <c r="U52" s="124">
        <f>MOD(T52,SLASH!$F$7)+1</f>
        <v>13</v>
      </c>
      <c r="V52" s="124">
        <f>MOD(U52,SLASH!$F$7)+1</f>
        <v>14</v>
      </c>
      <c r="W52" s="124">
        <f>MOD(V52,SLASH!$F$7)+1</f>
        <v>15</v>
      </c>
      <c r="X52" s="124">
        <f>MOD(W52,SLASH!$F$7)+1</f>
        <v>16</v>
      </c>
      <c r="Y52" s="124">
        <f>MOD(X52,SLASH!$F$7)+1</f>
        <v>17</v>
      </c>
      <c r="Z52" s="124">
        <f>MOD(Y52,SLASH!$F$7)+1</f>
        <v>18</v>
      </c>
      <c r="AA52" s="124">
        <f>MOD(Z52,SLASH!$F$7)+1</f>
        <v>19</v>
      </c>
      <c r="AB52" s="124">
        <f>MOD(AA52,SLASH!$F$7)+1</f>
        <v>20</v>
      </c>
      <c r="AC52" s="124">
        <f>MOD(AB52,SLASH!$F$7)+1</f>
        <v>21</v>
      </c>
      <c r="AD52" s="124">
        <f>MOD(AC52,SLASH!$F$7)+1</f>
        <v>22</v>
      </c>
      <c r="AE52" s="124">
        <f>MOD(AD52,SLASH!$F$7)+1</f>
        <v>23</v>
      </c>
      <c r="AF52" s="124">
        <f>MOD(AE52,SLASH!$F$7)+1</f>
        <v>24</v>
      </c>
      <c r="AG52" s="124">
        <f>MOD(AF52,SLASH!$F$7)+1</f>
        <v>25</v>
      </c>
      <c r="AH52" s="124">
        <f>MOD(AG52,SLASH!$F$7)+1</f>
        <v>1</v>
      </c>
      <c r="AI52" s="124">
        <f>MOD(AH52,SLASH!$F$7)+1</f>
        <v>2</v>
      </c>
      <c r="AJ52" s="124">
        <f>MOD(AI52,SLASH!$F$7)+1</f>
        <v>3</v>
      </c>
      <c r="AK52" s="124">
        <f>MOD(AJ52,SLASH!$F$7)+1</f>
        <v>4</v>
      </c>
      <c r="AL52" s="124">
        <f>MOD(AK52,SLASH!$F$7)+1</f>
        <v>5</v>
      </c>
      <c r="AM52" s="124">
        <f>MOD(AL52,SLASH!$F$7)+1</f>
        <v>6</v>
      </c>
      <c r="AN52" s="124">
        <f>MOD(AM52,SLASH!$F$7)+1</f>
        <v>7</v>
      </c>
      <c r="AO52" s="124">
        <f>MOD(AN52,SLASH!$F$7)+1</f>
        <v>8</v>
      </c>
      <c r="AP52" s="124">
        <f>MOD(AO52,SLASH!$F$7)+1</f>
        <v>9</v>
      </c>
      <c r="AQ52" s="124">
        <f>MOD(AP52,SLASH!$F$7)+1</f>
        <v>10</v>
      </c>
      <c r="AR52" s="124">
        <f>MOD(AQ52,SLASH!$F$7)+1</f>
        <v>11</v>
      </c>
      <c r="AS52" s="124">
        <f>MOD(AR52,SLASH!$F$7)+1</f>
        <v>12</v>
      </c>
      <c r="AT52" s="124">
        <f>MOD(AS52,SLASH!$F$7)+1</f>
        <v>13</v>
      </c>
      <c r="AU52" s="124">
        <f>MOD(AT52,SLASH!$F$7)+1</f>
        <v>14</v>
      </c>
      <c r="AV52" s="124">
        <f>MOD(AU52,SLASH!$F$7)+1</f>
        <v>15</v>
      </c>
    </row>
    <row r="53" spans="2:50" ht="12.95" customHeight="1" x14ac:dyDescent="0.2">
      <c r="B53" s="14"/>
      <c r="C53" s="372">
        <v>2</v>
      </c>
      <c r="D53" s="372"/>
      <c r="E53" s="372"/>
      <c r="F53" s="253" t="s">
        <v>492</v>
      </c>
      <c r="G53" s="253" t="s">
        <v>4</v>
      </c>
      <c r="H53" s="124"/>
      <c r="I53" s="124">
        <f>IF($C53&gt;SLASH!$F$7,0,H52)</f>
        <v>25</v>
      </c>
      <c r="J53" s="124">
        <f>IF($C53&gt;SLASH!$F$7,0,I52)</f>
        <v>1</v>
      </c>
      <c r="K53" s="124">
        <f>IF($C53&gt;SLASH!$F$7,0,J52)</f>
        <v>2</v>
      </c>
      <c r="L53" s="124">
        <f>IF($C53&gt;SLASH!$F$7,0,K52)</f>
        <v>3</v>
      </c>
      <c r="M53" s="124">
        <f>IF($C53&gt;SLASH!$F$7,0,L52)</f>
        <v>4</v>
      </c>
      <c r="N53" s="124">
        <f>IF($C53&gt;SLASH!$F$7,0,M52)</f>
        <v>5</v>
      </c>
      <c r="O53" s="124">
        <f>IF($C53&gt;SLASH!$F$7,0,N52)</f>
        <v>6</v>
      </c>
      <c r="P53" s="124">
        <f>IF($C53&gt;SLASH!$F$7,0,O52)</f>
        <v>7</v>
      </c>
      <c r="Q53" s="124">
        <f>IF($C53&gt;SLASH!$F$7,0,P52)</f>
        <v>8</v>
      </c>
      <c r="R53" s="124">
        <f>IF($C53&gt;SLASH!$F$7,0,Q52)</f>
        <v>9</v>
      </c>
      <c r="S53" s="124">
        <f>IF($C53&gt;SLASH!$F$7,0,R52)</f>
        <v>10</v>
      </c>
      <c r="T53" s="124">
        <f>IF($C53&gt;SLASH!$F$7,0,S52)</f>
        <v>11</v>
      </c>
      <c r="U53" s="124">
        <f>IF($C53&gt;SLASH!$F$7,0,T52)</f>
        <v>12</v>
      </c>
      <c r="V53" s="124">
        <f>IF($C53&gt;SLASH!$F$7,0,U52)</f>
        <v>13</v>
      </c>
      <c r="W53" s="124">
        <f>IF($C53&gt;SLASH!$F$7,0,V52)</f>
        <v>14</v>
      </c>
      <c r="X53" s="124">
        <f>IF($C53&gt;SLASH!$F$7,0,W52)</f>
        <v>15</v>
      </c>
      <c r="Y53" s="124">
        <f>IF($C53&gt;SLASH!$F$7,0,X52)</f>
        <v>16</v>
      </c>
      <c r="Z53" s="124">
        <f>IF($C53&gt;SLASH!$F$7,0,Y52)</f>
        <v>17</v>
      </c>
      <c r="AA53" s="124">
        <f>IF($C53&gt;SLASH!$F$7,0,Z52)</f>
        <v>18</v>
      </c>
      <c r="AB53" s="124">
        <f>IF($C53&gt;SLASH!$F$7,0,AA52)</f>
        <v>19</v>
      </c>
      <c r="AC53" s="124">
        <f>IF($C53&gt;SLASH!$F$7,0,AB52)</f>
        <v>20</v>
      </c>
      <c r="AD53" s="124">
        <f>IF($C53&gt;SLASH!$F$7,0,AC52)</f>
        <v>21</v>
      </c>
      <c r="AE53" s="124">
        <f>IF($C53&gt;SLASH!$F$7,0,AD52)</f>
        <v>22</v>
      </c>
      <c r="AF53" s="124">
        <f>IF($C53&gt;SLASH!$F$7,0,AE52)</f>
        <v>23</v>
      </c>
      <c r="AG53" s="124">
        <f>IF($C53&gt;SLASH!$F$7,0,AF52)</f>
        <v>24</v>
      </c>
      <c r="AH53" s="124">
        <f>IF($C53&gt;SLASH!$F$7,0,AG52)</f>
        <v>25</v>
      </c>
      <c r="AI53" s="124">
        <f>IF($C53&gt;SLASH!$F$7,0,AH52)</f>
        <v>1</v>
      </c>
      <c r="AJ53" s="124">
        <f>IF($C53&gt;SLASH!$F$7,0,AI52)</f>
        <v>2</v>
      </c>
      <c r="AK53" s="124">
        <f>IF($C53&gt;SLASH!$F$7,0,AJ52)</f>
        <v>3</v>
      </c>
      <c r="AL53" s="124">
        <f>IF($C53&gt;SLASH!$F$7,0,AK52)</f>
        <v>4</v>
      </c>
      <c r="AM53" s="124">
        <f>IF($C53&gt;SLASH!$F$7,0,AL52)</f>
        <v>5</v>
      </c>
      <c r="AN53" s="124">
        <f>IF($C53&gt;SLASH!$F$7,0,AM52)</f>
        <v>6</v>
      </c>
      <c r="AO53" s="124">
        <f>IF($C53&gt;SLASH!$F$7,0,AN52)</f>
        <v>7</v>
      </c>
      <c r="AP53" s="124">
        <f>IF($C53&gt;SLASH!$F$7,0,AO52)</f>
        <v>8</v>
      </c>
      <c r="AQ53" s="124">
        <f>IF($C53&gt;SLASH!$F$7,0,AP52)</f>
        <v>9</v>
      </c>
      <c r="AR53" s="124">
        <f>IF($C53&gt;SLASH!$F$7,0,AQ52)</f>
        <v>10</v>
      </c>
      <c r="AS53" s="124">
        <f>IF($C53&gt;SLASH!$F$7,0,AR52)</f>
        <v>11</v>
      </c>
      <c r="AT53" s="124">
        <f>IF($C53&gt;SLASH!$F$7,0,AS52)</f>
        <v>12</v>
      </c>
      <c r="AU53" s="124">
        <f>IF($C53&gt;SLASH!$F$7,0,AT52)</f>
        <v>13</v>
      </c>
      <c r="AV53" s="124">
        <f>IF($C53&gt;SLASH!$F$7,0,AU52)</f>
        <v>14</v>
      </c>
    </row>
    <row r="54" spans="2:50" ht="12.95" customHeight="1" x14ac:dyDescent="0.2">
      <c r="B54" s="14"/>
      <c r="C54" s="372">
        <v>3</v>
      </c>
      <c r="D54" s="372"/>
      <c r="E54" s="372"/>
      <c r="F54" s="253" t="s">
        <v>492</v>
      </c>
      <c r="G54" s="253" t="s">
        <v>4</v>
      </c>
      <c r="H54" s="124"/>
      <c r="I54" s="124"/>
      <c r="J54" s="124">
        <f>IF($C54&gt;SLASH!$F$7,0,I53)</f>
        <v>25</v>
      </c>
      <c r="K54" s="124">
        <f>IF($C54&gt;SLASH!$F$7,0,J53)</f>
        <v>1</v>
      </c>
      <c r="L54" s="124">
        <f>IF($C54&gt;SLASH!$F$7,0,K53)</f>
        <v>2</v>
      </c>
      <c r="M54" s="124">
        <f>IF($C54&gt;SLASH!$F$7,0,L53)</f>
        <v>3</v>
      </c>
      <c r="N54" s="124">
        <f>IF($C54&gt;SLASH!$F$7,0,M53)</f>
        <v>4</v>
      </c>
      <c r="O54" s="124">
        <f>IF($C54&gt;SLASH!$F$7,0,N53)</f>
        <v>5</v>
      </c>
      <c r="P54" s="124">
        <f>IF($C54&gt;SLASH!$F$7,0,O53)</f>
        <v>6</v>
      </c>
      <c r="Q54" s="124">
        <f>IF($C54&gt;SLASH!$F$7,0,P53)</f>
        <v>7</v>
      </c>
      <c r="R54" s="124">
        <f>IF($C54&gt;SLASH!$F$7,0,Q53)</f>
        <v>8</v>
      </c>
      <c r="S54" s="124">
        <f>IF($C54&gt;SLASH!$F$7,0,R53)</f>
        <v>9</v>
      </c>
      <c r="T54" s="124">
        <f>IF($C54&gt;SLASH!$F$7,0,S53)</f>
        <v>10</v>
      </c>
      <c r="U54" s="124">
        <f>IF($C54&gt;SLASH!$F$7,0,T53)</f>
        <v>11</v>
      </c>
      <c r="V54" s="124">
        <f>IF($C54&gt;SLASH!$F$7,0,U53)</f>
        <v>12</v>
      </c>
      <c r="W54" s="124">
        <f>IF($C54&gt;SLASH!$F$7,0,V53)</f>
        <v>13</v>
      </c>
      <c r="X54" s="124">
        <f>IF($C54&gt;SLASH!$F$7,0,W53)</f>
        <v>14</v>
      </c>
      <c r="Y54" s="124">
        <f>IF($C54&gt;SLASH!$F$7,0,X53)</f>
        <v>15</v>
      </c>
      <c r="Z54" s="124">
        <f>IF($C54&gt;SLASH!$F$7,0,Y53)</f>
        <v>16</v>
      </c>
      <c r="AA54" s="124">
        <f>IF($C54&gt;SLASH!$F$7,0,Z53)</f>
        <v>17</v>
      </c>
      <c r="AB54" s="124">
        <f>IF($C54&gt;SLASH!$F$7,0,AA53)</f>
        <v>18</v>
      </c>
      <c r="AC54" s="124">
        <f>IF($C54&gt;SLASH!$F$7,0,AB53)</f>
        <v>19</v>
      </c>
      <c r="AD54" s="124">
        <f>IF($C54&gt;SLASH!$F$7,0,AC53)</f>
        <v>20</v>
      </c>
      <c r="AE54" s="124">
        <f>IF($C54&gt;SLASH!$F$7,0,AD53)</f>
        <v>21</v>
      </c>
      <c r="AF54" s="124">
        <f>IF($C54&gt;SLASH!$F$7,0,AE53)</f>
        <v>22</v>
      </c>
      <c r="AG54" s="124">
        <f>IF($C54&gt;SLASH!$F$7,0,AF53)</f>
        <v>23</v>
      </c>
      <c r="AH54" s="124">
        <f>IF($C54&gt;SLASH!$F$7,0,AG53)</f>
        <v>24</v>
      </c>
      <c r="AI54" s="124">
        <f>IF($C54&gt;SLASH!$F$7,0,AH53)</f>
        <v>25</v>
      </c>
      <c r="AJ54" s="124">
        <f>IF($C54&gt;SLASH!$F$7,0,AI53)</f>
        <v>1</v>
      </c>
      <c r="AK54" s="124">
        <f>IF($C54&gt;SLASH!$F$7,0,AJ53)</f>
        <v>2</v>
      </c>
      <c r="AL54" s="124">
        <f>IF($C54&gt;SLASH!$F$7,0,AK53)</f>
        <v>3</v>
      </c>
      <c r="AM54" s="124">
        <f>IF($C54&gt;SLASH!$F$7,0,AL53)</f>
        <v>4</v>
      </c>
      <c r="AN54" s="124">
        <f>IF($C54&gt;SLASH!$F$7,0,AM53)</f>
        <v>5</v>
      </c>
      <c r="AO54" s="124">
        <f>IF($C54&gt;SLASH!$F$7,0,AN53)</f>
        <v>6</v>
      </c>
      <c r="AP54" s="124">
        <f>IF($C54&gt;SLASH!$F$7,0,AO53)</f>
        <v>7</v>
      </c>
      <c r="AQ54" s="124">
        <f>IF($C54&gt;SLASH!$F$7,0,AP53)</f>
        <v>8</v>
      </c>
      <c r="AR54" s="124">
        <f>IF($C54&gt;SLASH!$F$7,0,AQ53)</f>
        <v>9</v>
      </c>
      <c r="AS54" s="124">
        <f>IF($C54&gt;SLASH!$F$7,0,AR53)</f>
        <v>10</v>
      </c>
      <c r="AT54" s="124">
        <f>IF($C54&gt;SLASH!$F$7,0,AS53)</f>
        <v>11</v>
      </c>
      <c r="AU54" s="124">
        <f>IF($C54&gt;SLASH!$F$7,0,AT53)</f>
        <v>12</v>
      </c>
      <c r="AV54" s="124">
        <f>IF($C54&gt;SLASH!$F$7,0,AU53)</f>
        <v>13</v>
      </c>
    </row>
    <row r="55" spans="2:50" ht="12.95" customHeight="1" x14ac:dyDescent="0.2">
      <c r="B55" s="14"/>
      <c r="C55" s="372">
        <v>4</v>
      </c>
      <c r="D55" s="372"/>
      <c r="E55" s="372"/>
      <c r="F55" s="253" t="s">
        <v>492</v>
      </c>
      <c r="G55" s="253" t="s">
        <v>4</v>
      </c>
      <c r="H55" s="124"/>
      <c r="I55" s="124"/>
      <c r="J55" s="124"/>
      <c r="K55" s="124">
        <f>IF($C55&gt;SLASH!$F$7,0,J54)</f>
        <v>25</v>
      </c>
      <c r="L55" s="124">
        <f>IF($C55&gt;SLASH!$F$7,0,K54)</f>
        <v>1</v>
      </c>
      <c r="M55" s="124">
        <f>IF($C55&gt;SLASH!$F$7,0,L54)</f>
        <v>2</v>
      </c>
      <c r="N55" s="124">
        <f>IF($C55&gt;SLASH!$F$7,0,M54)</f>
        <v>3</v>
      </c>
      <c r="O55" s="124">
        <f>IF($C55&gt;SLASH!$F$7,0,N54)</f>
        <v>4</v>
      </c>
      <c r="P55" s="124">
        <f>IF($C55&gt;SLASH!$F$7,0,O54)</f>
        <v>5</v>
      </c>
      <c r="Q55" s="124">
        <f>IF($C55&gt;SLASH!$F$7,0,P54)</f>
        <v>6</v>
      </c>
      <c r="R55" s="124">
        <f>IF($C55&gt;SLASH!$F$7,0,Q54)</f>
        <v>7</v>
      </c>
      <c r="S55" s="124">
        <f>IF($C55&gt;SLASH!$F$7,0,R54)</f>
        <v>8</v>
      </c>
      <c r="T55" s="124">
        <f>IF($C55&gt;SLASH!$F$7,0,S54)</f>
        <v>9</v>
      </c>
      <c r="U55" s="124">
        <f>IF($C55&gt;SLASH!$F$7,0,T54)</f>
        <v>10</v>
      </c>
      <c r="V55" s="124">
        <f>IF($C55&gt;SLASH!$F$7,0,U54)</f>
        <v>11</v>
      </c>
      <c r="W55" s="124">
        <f>IF($C55&gt;SLASH!$F$7,0,V54)</f>
        <v>12</v>
      </c>
      <c r="X55" s="124">
        <f>IF($C55&gt;SLASH!$F$7,0,W54)</f>
        <v>13</v>
      </c>
      <c r="Y55" s="124">
        <f>IF($C55&gt;SLASH!$F$7,0,X54)</f>
        <v>14</v>
      </c>
      <c r="Z55" s="124">
        <f>IF($C55&gt;SLASH!$F$7,0,Y54)</f>
        <v>15</v>
      </c>
      <c r="AA55" s="124">
        <f>IF($C55&gt;SLASH!$F$7,0,Z54)</f>
        <v>16</v>
      </c>
      <c r="AB55" s="124">
        <f>IF($C55&gt;SLASH!$F$7,0,AA54)</f>
        <v>17</v>
      </c>
      <c r="AC55" s="124">
        <f>IF($C55&gt;SLASH!$F$7,0,AB54)</f>
        <v>18</v>
      </c>
      <c r="AD55" s="124">
        <f>IF($C55&gt;SLASH!$F$7,0,AC54)</f>
        <v>19</v>
      </c>
      <c r="AE55" s="124">
        <f>IF($C55&gt;SLASH!$F$7,0,AD54)</f>
        <v>20</v>
      </c>
      <c r="AF55" s="124">
        <f>IF($C55&gt;SLASH!$F$7,0,AE54)</f>
        <v>21</v>
      </c>
      <c r="AG55" s="124">
        <f>IF($C55&gt;SLASH!$F$7,0,AF54)</f>
        <v>22</v>
      </c>
      <c r="AH55" s="124">
        <f>IF($C55&gt;SLASH!$F$7,0,AG54)</f>
        <v>23</v>
      </c>
      <c r="AI55" s="124">
        <f>IF($C55&gt;SLASH!$F$7,0,AH54)</f>
        <v>24</v>
      </c>
      <c r="AJ55" s="124">
        <f>IF($C55&gt;SLASH!$F$7,0,AI54)</f>
        <v>25</v>
      </c>
      <c r="AK55" s="124">
        <f>IF($C55&gt;SLASH!$F$7,0,AJ54)</f>
        <v>1</v>
      </c>
      <c r="AL55" s="124">
        <f>IF($C55&gt;SLASH!$F$7,0,AK54)</f>
        <v>2</v>
      </c>
      <c r="AM55" s="124">
        <f>IF($C55&gt;SLASH!$F$7,0,AL54)</f>
        <v>3</v>
      </c>
      <c r="AN55" s="124">
        <f>IF($C55&gt;SLASH!$F$7,0,AM54)</f>
        <v>4</v>
      </c>
      <c r="AO55" s="124">
        <f>IF($C55&gt;SLASH!$F$7,0,AN54)</f>
        <v>5</v>
      </c>
      <c r="AP55" s="124">
        <f>IF($C55&gt;SLASH!$F$7,0,AO54)</f>
        <v>6</v>
      </c>
      <c r="AQ55" s="124">
        <f>IF($C55&gt;SLASH!$F$7,0,AP54)</f>
        <v>7</v>
      </c>
      <c r="AR55" s="124">
        <f>IF($C55&gt;SLASH!$F$7,0,AQ54)</f>
        <v>8</v>
      </c>
      <c r="AS55" s="124">
        <f>IF($C55&gt;SLASH!$F$7,0,AR54)</f>
        <v>9</v>
      </c>
      <c r="AT55" s="124">
        <f>IF($C55&gt;SLASH!$F$7,0,AS54)</f>
        <v>10</v>
      </c>
      <c r="AU55" s="124">
        <f>IF($C55&gt;SLASH!$F$7,0,AT54)</f>
        <v>11</v>
      </c>
      <c r="AV55" s="124">
        <f>IF($C55&gt;SLASH!$F$7,0,AU54)</f>
        <v>12</v>
      </c>
    </row>
    <row r="56" spans="2:50" ht="12.95" customHeight="1" x14ac:dyDescent="0.2">
      <c r="B56" s="14"/>
      <c r="C56" s="372">
        <v>5</v>
      </c>
      <c r="D56" s="372"/>
      <c r="E56" s="372"/>
      <c r="F56" s="253" t="s">
        <v>492</v>
      </c>
      <c r="G56" s="253" t="s">
        <v>4</v>
      </c>
      <c r="H56" s="124"/>
      <c r="I56" s="124"/>
      <c r="J56" s="124"/>
      <c r="K56" s="124"/>
      <c r="L56" s="124">
        <f>IF($C56&gt;SLASH!$F$7,0,K55)</f>
        <v>25</v>
      </c>
      <c r="M56" s="124">
        <f>IF($C56&gt;SLASH!$F$7,0,L55)</f>
        <v>1</v>
      </c>
      <c r="N56" s="124">
        <f>IF($C56&gt;SLASH!$F$7,0,M55)</f>
        <v>2</v>
      </c>
      <c r="O56" s="124">
        <f>IF($C56&gt;SLASH!$F$7,0,N55)</f>
        <v>3</v>
      </c>
      <c r="P56" s="124">
        <f>IF($C56&gt;SLASH!$F$7,0,O55)</f>
        <v>4</v>
      </c>
      <c r="Q56" s="124">
        <f>IF($C56&gt;SLASH!$F$7,0,P55)</f>
        <v>5</v>
      </c>
      <c r="R56" s="124">
        <f>IF($C56&gt;SLASH!$F$7,0,Q55)</f>
        <v>6</v>
      </c>
      <c r="S56" s="124">
        <f>IF($C56&gt;SLASH!$F$7,0,R55)</f>
        <v>7</v>
      </c>
      <c r="T56" s="124">
        <f>IF($C56&gt;SLASH!$F$7,0,S55)</f>
        <v>8</v>
      </c>
      <c r="U56" s="124">
        <f>IF($C56&gt;SLASH!$F$7,0,T55)</f>
        <v>9</v>
      </c>
      <c r="V56" s="124">
        <f>IF($C56&gt;SLASH!$F$7,0,U55)</f>
        <v>10</v>
      </c>
      <c r="W56" s="124">
        <f>IF($C56&gt;SLASH!$F$7,0,V55)</f>
        <v>11</v>
      </c>
      <c r="X56" s="124">
        <f>IF($C56&gt;SLASH!$F$7,0,W55)</f>
        <v>12</v>
      </c>
      <c r="Y56" s="124">
        <f>IF($C56&gt;SLASH!$F$7,0,X55)</f>
        <v>13</v>
      </c>
      <c r="Z56" s="124">
        <f>IF($C56&gt;SLASH!$F$7,0,Y55)</f>
        <v>14</v>
      </c>
      <c r="AA56" s="124">
        <f>IF($C56&gt;SLASH!$F$7,0,Z55)</f>
        <v>15</v>
      </c>
      <c r="AB56" s="124">
        <f>IF($C56&gt;SLASH!$F$7,0,AA55)</f>
        <v>16</v>
      </c>
      <c r="AC56" s="124">
        <f>IF($C56&gt;SLASH!$F$7,0,AB55)</f>
        <v>17</v>
      </c>
      <c r="AD56" s="124">
        <f>IF($C56&gt;SLASH!$F$7,0,AC55)</f>
        <v>18</v>
      </c>
      <c r="AE56" s="124">
        <f>IF($C56&gt;SLASH!$F$7,0,AD55)</f>
        <v>19</v>
      </c>
      <c r="AF56" s="124">
        <f>IF($C56&gt;SLASH!$F$7,0,AE55)</f>
        <v>20</v>
      </c>
      <c r="AG56" s="124">
        <f>IF($C56&gt;SLASH!$F$7,0,AF55)</f>
        <v>21</v>
      </c>
      <c r="AH56" s="124">
        <f>IF($C56&gt;SLASH!$F$7,0,AG55)</f>
        <v>22</v>
      </c>
      <c r="AI56" s="124">
        <f>IF($C56&gt;SLASH!$F$7,0,AH55)</f>
        <v>23</v>
      </c>
      <c r="AJ56" s="124">
        <f>IF($C56&gt;SLASH!$F$7,0,AI55)</f>
        <v>24</v>
      </c>
      <c r="AK56" s="124">
        <f>IF($C56&gt;SLASH!$F$7,0,AJ55)</f>
        <v>25</v>
      </c>
      <c r="AL56" s="124">
        <f>IF($C56&gt;SLASH!$F$7,0,AK55)</f>
        <v>1</v>
      </c>
      <c r="AM56" s="124">
        <f>IF($C56&gt;SLASH!$F$7,0,AL55)</f>
        <v>2</v>
      </c>
      <c r="AN56" s="124">
        <f>IF($C56&gt;SLASH!$F$7,0,AM55)</f>
        <v>3</v>
      </c>
      <c r="AO56" s="124">
        <f>IF($C56&gt;SLASH!$F$7,0,AN55)</f>
        <v>4</v>
      </c>
      <c r="AP56" s="124">
        <f>IF($C56&gt;SLASH!$F$7,0,AO55)</f>
        <v>5</v>
      </c>
      <c r="AQ56" s="124">
        <f>IF($C56&gt;SLASH!$F$7,0,AP55)</f>
        <v>6</v>
      </c>
      <c r="AR56" s="124">
        <f>IF($C56&gt;SLASH!$F$7,0,AQ55)</f>
        <v>7</v>
      </c>
      <c r="AS56" s="124">
        <f>IF($C56&gt;SLASH!$F$7,0,AR55)</f>
        <v>8</v>
      </c>
      <c r="AT56" s="124">
        <f>IF($C56&gt;SLASH!$F$7,0,AS55)</f>
        <v>9</v>
      </c>
      <c r="AU56" s="124">
        <f>IF($C56&gt;SLASH!$F$7,0,AT55)</f>
        <v>10</v>
      </c>
      <c r="AV56" s="124">
        <f>IF($C56&gt;SLASH!$F$7,0,AU55)</f>
        <v>11</v>
      </c>
    </row>
    <row r="57" spans="2:50" ht="12.95" customHeight="1" x14ac:dyDescent="0.2">
      <c r="B57" s="14"/>
      <c r="C57" s="372">
        <v>6</v>
      </c>
      <c r="D57" s="372"/>
      <c r="E57" s="372"/>
      <c r="F57" s="253" t="s">
        <v>492</v>
      </c>
      <c r="G57" s="253" t="s">
        <v>4</v>
      </c>
      <c r="H57" s="124"/>
      <c r="I57" s="124"/>
      <c r="J57" s="124"/>
      <c r="K57" s="124"/>
      <c r="L57" s="124"/>
      <c r="M57" s="124">
        <f>IF($C57&gt;SLASH!$F$7,0,L56)</f>
        <v>25</v>
      </c>
      <c r="N57" s="124">
        <f>IF($C57&gt;SLASH!$F$7,0,M56)</f>
        <v>1</v>
      </c>
      <c r="O57" s="124">
        <f>IF($C57&gt;SLASH!$F$7,0,N56)</f>
        <v>2</v>
      </c>
      <c r="P57" s="124">
        <f>IF($C57&gt;SLASH!$F$7,0,O56)</f>
        <v>3</v>
      </c>
      <c r="Q57" s="124">
        <f>IF($C57&gt;SLASH!$F$7,0,P56)</f>
        <v>4</v>
      </c>
      <c r="R57" s="124">
        <f>IF($C57&gt;SLASH!$F$7,0,Q56)</f>
        <v>5</v>
      </c>
      <c r="S57" s="124">
        <f>IF($C57&gt;SLASH!$F$7,0,R56)</f>
        <v>6</v>
      </c>
      <c r="T57" s="124">
        <f>IF($C57&gt;SLASH!$F$7,0,S56)</f>
        <v>7</v>
      </c>
      <c r="U57" s="124">
        <f>IF($C57&gt;SLASH!$F$7,0,T56)</f>
        <v>8</v>
      </c>
      <c r="V57" s="124">
        <f>IF($C57&gt;SLASH!$F$7,0,U56)</f>
        <v>9</v>
      </c>
      <c r="W57" s="124">
        <f>IF($C57&gt;SLASH!$F$7,0,V56)</f>
        <v>10</v>
      </c>
      <c r="X57" s="124">
        <f>IF($C57&gt;SLASH!$F$7,0,W56)</f>
        <v>11</v>
      </c>
      <c r="Y57" s="124">
        <f>IF($C57&gt;SLASH!$F$7,0,X56)</f>
        <v>12</v>
      </c>
      <c r="Z57" s="124">
        <f>IF($C57&gt;SLASH!$F$7,0,Y56)</f>
        <v>13</v>
      </c>
      <c r="AA57" s="124">
        <f>IF($C57&gt;SLASH!$F$7,0,Z56)</f>
        <v>14</v>
      </c>
      <c r="AB57" s="124">
        <f>IF($C57&gt;SLASH!$F$7,0,AA56)</f>
        <v>15</v>
      </c>
      <c r="AC57" s="124">
        <f>IF($C57&gt;SLASH!$F$7,0,AB56)</f>
        <v>16</v>
      </c>
      <c r="AD57" s="124">
        <f>IF($C57&gt;SLASH!$F$7,0,AC56)</f>
        <v>17</v>
      </c>
      <c r="AE57" s="124">
        <f>IF($C57&gt;SLASH!$F$7,0,AD56)</f>
        <v>18</v>
      </c>
      <c r="AF57" s="124">
        <f>IF($C57&gt;SLASH!$F$7,0,AE56)</f>
        <v>19</v>
      </c>
      <c r="AG57" s="124">
        <f>IF($C57&gt;SLASH!$F$7,0,AF56)</f>
        <v>20</v>
      </c>
      <c r="AH57" s="124">
        <f>IF($C57&gt;SLASH!$F$7,0,AG56)</f>
        <v>21</v>
      </c>
      <c r="AI57" s="124">
        <f>IF($C57&gt;SLASH!$F$7,0,AH56)</f>
        <v>22</v>
      </c>
      <c r="AJ57" s="124">
        <f>IF($C57&gt;SLASH!$F$7,0,AI56)</f>
        <v>23</v>
      </c>
      <c r="AK57" s="124">
        <f>IF($C57&gt;SLASH!$F$7,0,AJ56)</f>
        <v>24</v>
      </c>
      <c r="AL57" s="124">
        <f>IF($C57&gt;SLASH!$F$7,0,AK56)</f>
        <v>25</v>
      </c>
      <c r="AM57" s="124">
        <f>IF($C57&gt;SLASH!$F$7,0,AL56)</f>
        <v>1</v>
      </c>
      <c r="AN57" s="124">
        <f>IF($C57&gt;SLASH!$F$7,0,AM56)</f>
        <v>2</v>
      </c>
      <c r="AO57" s="124">
        <f>IF($C57&gt;SLASH!$F$7,0,AN56)</f>
        <v>3</v>
      </c>
      <c r="AP57" s="124">
        <f>IF($C57&gt;SLASH!$F$7,0,AO56)</f>
        <v>4</v>
      </c>
      <c r="AQ57" s="124">
        <f>IF($C57&gt;SLASH!$F$7,0,AP56)</f>
        <v>5</v>
      </c>
      <c r="AR57" s="124">
        <f>IF($C57&gt;SLASH!$F$7,0,AQ56)</f>
        <v>6</v>
      </c>
      <c r="AS57" s="124">
        <f>IF($C57&gt;SLASH!$F$7,0,AR56)</f>
        <v>7</v>
      </c>
      <c r="AT57" s="124">
        <f>IF($C57&gt;SLASH!$F$7,0,AS56)</f>
        <v>8</v>
      </c>
      <c r="AU57" s="124">
        <f>IF($C57&gt;SLASH!$F$7,0,AT56)</f>
        <v>9</v>
      </c>
      <c r="AV57" s="124">
        <f>IF($C57&gt;SLASH!$F$7,0,AU56)</f>
        <v>10</v>
      </c>
    </row>
    <row r="58" spans="2:50" ht="12.95" customHeight="1" x14ac:dyDescent="0.2">
      <c r="B58" s="14"/>
      <c r="C58" s="372">
        <v>7</v>
      </c>
      <c r="D58" s="372"/>
      <c r="E58" s="372"/>
      <c r="F58" s="253" t="s">
        <v>492</v>
      </c>
      <c r="G58" s="253" t="s">
        <v>4</v>
      </c>
      <c r="H58" s="124"/>
      <c r="I58" s="124"/>
      <c r="J58" s="124"/>
      <c r="K58" s="124"/>
      <c r="L58" s="124"/>
      <c r="M58" s="124"/>
      <c r="N58" s="124">
        <f>IF($C58&gt;SLASH!$F$7,0,M57)</f>
        <v>25</v>
      </c>
      <c r="O58" s="124">
        <f>IF($C58&gt;SLASH!$F$7,0,N57)</f>
        <v>1</v>
      </c>
      <c r="P58" s="124">
        <f>IF($C58&gt;SLASH!$F$7,0,O57)</f>
        <v>2</v>
      </c>
      <c r="Q58" s="124">
        <f>IF($C58&gt;SLASH!$F$7,0,P57)</f>
        <v>3</v>
      </c>
      <c r="R58" s="124">
        <f>IF($C58&gt;SLASH!$F$7,0,Q57)</f>
        <v>4</v>
      </c>
      <c r="S58" s="124">
        <f>IF($C58&gt;SLASH!$F$7,0,R57)</f>
        <v>5</v>
      </c>
      <c r="T58" s="124">
        <f>IF($C58&gt;SLASH!$F$7,0,S57)</f>
        <v>6</v>
      </c>
      <c r="U58" s="124">
        <f>IF($C58&gt;SLASH!$F$7,0,T57)</f>
        <v>7</v>
      </c>
      <c r="V58" s="124">
        <f>IF($C58&gt;SLASH!$F$7,0,U57)</f>
        <v>8</v>
      </c>
      <c r="W58" s="124">
        <f>IF($C58&gt;SLASH!$F$7,0,V57)</f>
        <v>9</v>
      </c>
      <c r="X58" s="124">
        <f>IF($C58&gt;SLASH!$F$7,0,W57)</f>
        <v>10</v>
      </c>
      <c r="Y58" s="124">
        <f>IF($C58&gt;SLASH!$F$7,0,X57)</f>
        <v>11</v>
      </c>
      <c r="Z58" s="124">
        <f>IF($C58&gt;SLASH!$F$7,0,Y57)</f>
        <v>12</v>
      </c>
      <c r="AA58" s="124">
        <f>IF($C58&gt;SLASH!$F$7,0,Z57)</f>
        <v>13</v>
      </c>
      <c r="AB58" s="124">
        <f>IF($C58&gt;SLASH!$F$7,0,AA57)</f>
        <v>14</v>
      </c>
      <c r="AC58" s="124">
        <f>IF($C58&gt;SLASH!$F$7,0,AB57)</f>
        <v>15</v>
      </c>
      <c r="AD58" s="124">
        <f>IF($C58&gt;SLASH!$F$7,0,AC57)</f>
        <v>16</v>
      </c>
      <c r="AE58" s="124">
        <f>IF($C58&gt;SLASH!$F$7,0,AD57)</f>
        <v>17</v>
      </c>
      <c r="AF58" s="124">
        <f>IF($C58&gt;SLASH!$F$7,0,AE57)</f>
        <v>18</v>
      </c>
      <c r="AG58" s="124">
        <f>IF($C58&gt;SLASH!$F$7,0,AF57)</f>
        <v>19</v>
      </c>
      <c r="AH58" s="124">
        <f>IF($C58&gt;SLASH!$F$7,0,AG57)</f>
        <v>20</v>
      </c>
      <c r="AI58" s="124">
        <f>IF($C58&gt;SLASH!$F$7,0,AH57)</f>
        <v>21</v>
      </c>
      <c r="AJ58" s="124">
        <f>IF($C58&gt;SLASH!$F$7,0,AI57)</f>
        <v>22</v>
      </c>
      <c r="AK58" s="124">
        <f>IF($C58&gt;SLASH!$F$7,0,AJ57)</f>
        <v>23</v>
      </c>
      <c r="AL58" s="124">
        <f>IF($C58&gt;SLASH!$F$7,0,AK57)</f>
        <v>24</v>
      </c>
      <c r="AM58" s="124">
        <f>IF($C58&gt;SLASH!$F$7,0,AL57)</f>
        <v>25</v>
      </c>
      <c r="AN58" s="124">
        <f>IF($C58&gt;SLASH!$F$7,0,AM57)</f>
        <v>1</v>
      </c>
      <c r="AO58" s="124">
        <f>IF($C58&gt;SLASH!$F$7,0,AN57)</f>
        <v>2</v>
      </c>
      <c r="AP58" s="124">
        <f>IF($C58&gt;SLASH!$F$7,0,AO57)</f>
        <v>3</v>
      </c>
      <c r="AQ58" s="124">
        <f>IF($C58&gt;SLASH!$F$7,0,AP57)</f>
        <v>4</v>
      </c>
      <c r="AR58" s="124">
        <f>IF($C58&gt;SLASH!$F$7,0,AQ57)</f>
        <v>5</v>
      </c>
      <c r="AS58" s="124">
        <f>IF($C58&gt;SLASH!$F$7,0,AR57)</f>
        <v>6</v>
      </c>
      <c r="AT58" s="124">
        <f>IF($C58&gt;SLASH!$F$7,0,AS57)</f>
        <v>7</v>
      </c>
      <c r="AU58" s="124">
        <f>IF($C58&gt;SLASH!$F$7,0,AT57)</f>
        <v>8</v>
      </c>
      <c r="AV58" s="124">
        <f>IF($C58&gt;SLASH!$F$7,0,AU57)</f>
        <v>9</v>
      </c>
    </row>
    <row r="59" spans="2:50" ht="12.95" customHeight="1" x14ac:dyDescent="0.2">
      <c r="B59" s="14"/>
      <c r="C59" s="372">
        <v>8</v>
      </c>
      <c r="D59" s="372"/>
      <c r="E59" s="372"/>
      <c r="F59" s="253" t="s">
        <v>492</v>
      </c>
      <c r="G59" s="253" t="s">
        <v>4</v>
      </c>
      <c r="H59" s="124"/>
      <c r="I59" s="124"/>
      <c r="J59" s="124"/>
      <c r="K59" s="124"/>
      <c r="L59" s="124"/>
      <c r="M59" s="124"/>
      <c r="N59" s="124"/>
      <c r="O59" s="124">
        <f>IF($C59&gt;SLASH!$F$7,0,N58)</f>
        <v>25</v>
      </c>
      <c r="P59" s="124">
        <f>IF($C59&gt;SLASH!$F$7,0,O58)</f>
        <v>1</v>
      </c>
      <c r="Q59" s="124">
        <f>IF($C59&gt;SLASH!$F$7,0,P58)</f>
        <v>2</v>
      </c>
      <c r="R59" s="124">
        <f>IF($C59&gt;SLASH!$F$7,0,Q58)</f>
        <v>3</v>
      </c>
      <c r="S59" s="124">
        <f>IF($C59&gt;SLASH!$F$7,0,R58)</f>
        <v>4</v>
      </c>
      <c r="T59" s="124">
        <f>IF($C59&gt;SLASH!$F$7,0,S58)</f>
        <v>5</v>
      </c>
      <c r="U59" s="124">
        <f>IF($C59&gt;SLASH!$F$7,0,T58)</f>
        <v>6</v>
      </c>
      <c r="V59" s="124">
        <f>IF($C59&gt;SLASH!$F$7,0,U58)</f>
        <v>7</v>
      </c>
      <c r="W59" s="124">
        <f>IF($C59&gt;SLASH!$F$7,0,V58)</f>
        <v>8</v>
      </c>
      <c r="X59" s="124">
        <f>IF($C59&gt;SLASH!$F$7,0,W58)</f>
        <v>9</v>
      </c>
      <c r="Y59" s="124">
        <f>IF($C59&gt;SLASH!$F$7,0,X58)</f>
        <v>10</v>
      </c>
      <c r="Z59" s="124">
        <f>IF($C59&gt;SLASH!$F$7,0,Y58)</f>
        <v>11</v>
      </c>
      <c r="AA59" s="124">
        <f>IF($C59&gt;SLASH!$F$7,0,Z58)</f>
        <v>12</v>
      </c>
      <c r="AB59" s="124">
        <f>IF($C59&gt;SLASH!$F$7,0,AA58)</f>
        <v>13</v>
      </c>
      <c r="AC59" s="124">
        <f>IF($C59&gt;SLASH!$F$7,0,AB58)</f>
        <v>14</v>
      </c>
      <c r="AD59" s="124">
        <f>IF($C59&gt;SLASH!$F$7,0,AC58)</f>
        <v>15</v>
      </c>
      <c r="AE59" s="124">
        <f>IF($C59&gt;SLASH!$F$7,0,AD58)</f>
        <v>16</v>
      </c>
      <c r="AF59" s="124">
        <f>IF($C59&gt;SLASH!$F$7,0,AE58)</f>
        <v>17</v>
      </c>
      <c r="AG59" s="124">
        <f>IF($C59&gt;SLASH!$F$7,0,AF58)</f>
        <v>18</v>
      </c>
      <c r="AH59" s="124">
        <f>IF($C59&gt;SLASH!$F$7,0,AG58)</f>
        <v>19</v>
      </c>
      <c r="AI59" s="124">
        <f>IF($C59&gt;SLASH!$F$7,0,AH58)</f>
        <v>20</v>
      </c>
      <c r="AJ59" s="124">
        <f>IF($C59&gt;SLASH!$F$7,0,AI58)</f>
        <v>21</v>
      </c>
      <c r="AK59" s="124">
        <f>IF($C59&gt;SLASH!$F$7,0,AJ58)</f>
        <v>22</v>
      </c>
      <c r="AL59" s="124">
        <f>IF($C59&gt;SLASH!$F$7,0,AK58)</f>
        <v>23</v>
      </c>
      <c r="AM59" s="124">
        <f>IF($C59&gt;SLASH!$F$7,0,AL58)</f>
        <v>24</v>
      </c>
      <c r="AN59" s="124">
        <f>IF($C59&gt;SLASH!$F$7,0,AM58)</f>
        <v>25</v>
      </c>
      <c r="AO59" s="124">
        <f>IF($C59&gt;SLASH!$F$7,0,AN58)</f>
        <v>1</v>
      </c>
      <c r="AP59" s="124">
        <f>IF($C59&gt;SLASH!$F$7,0,AO58)</f>
        <v>2</v>
      </c>
      <c r="AQ59" s="124">
        <f>IF($C59&gt;SLASH!$F$7,0,AP58)</f>
        <v>3</v>
      </c>
      <c r="AR59" s="124">
        <f>IF($C59&gt;SLASH!$F$7,0,AQ58)</f>
        <v>4</v>
      </c>
      <c r="AS59" s="124">
        <f>IF($C59&gt;SLASH!$F$7,0,AR58)</f>
        <v>5</v>
      </c>
      <c r="AT59" s="124">
        <f>IF($C59&gt;SLASH!$F$7,0,AS58)</f>
        <v>6</v>
      </c>
      <c r="AU59" s="124">
        <f>IF($C59&gt;SLASH!$F$7,0,AT58)</f>
        <v>7</v>
      </c>
      <c r="AV59" s="124">
        <f>IF($C59&gt;SLASH!$F$7,0,AU58)</f>
        <v>8</v>
      </c>
    </row>
    <row r="60" spans="2:50" ht="12.95" customHeight="1" x14ac:dyDescent="0.2">
      <c r="B60" s="14"/>
      <c r="C60" s="372">
        <v>9</v>
      </c>
      <c r="D60" s="372"/>
      <c r="E60" s="372"/>
      <c r="F60" s="253" t="s">
        <v>492</v>
      </c>
      <c r="G60" s="253" t="s">
        <v>4</v>
      </c>
      <c r="H60" s="124"/>
      <c r="I60" s="124"/>
      <c r="J60" s="124"/>
      <c r="K60" s="124"/>
      <c r="L60" s="124"/>
      <c r="M60" s="124"/>
      <c r="N60" s="124"/>
      <c r="O60" s="124"/>
      <c r="P60" s="124">
        <f>IF($C60&gt;SLASH!$F$7,0,O59)</f>
        <v>25</v>
      </c>
      <c r="Q60" s="124">
        <f>IF($C60&gt;SLASH!$F$7,0,P59)</f>
        <v>1</v>
      </c>
      <c r="R60" s="124">
        <f>IF($C60&gt;SLASH!$F$7,0,Q59)</f>
        <v>2</v>
      </c>
      <c r="S60" s="124">
        <f>IF($C60&gt;SLASH!$F$7,0,R59)</f>
        <v>3</v>
      </c>
      <c r="T60" s="124">
        <f>IF($C60&gt;SLASH!$F$7,0,S59)</f>
        <v>4</v>
      </c>
      <c r="U60" s="124">
        <f>IF($C60&gt;SLASH!$F$7,0,T59)</f>
        <v>5</v>
      </c>
      <c r="V60" s="124">
        <f>IF($C60&gt;SLASH!$F$7,0,U59)</f>
        <v>6</v>
      </c>
      <c r="W60" s="124">
        <f>IF($C60&gt;SLASH!$F$7,0,V59)</f>
        <v>7</v>
      </c>
      <c r="X60" s="124">
        <f>IF($C60&gt;SLASH!$F$7,0,W59)</f>
        <v>8</v>
      </c>
      <c r="Y60" s="124">
        <f>IF($C60&gt;SLASH!$F$7,0,X59)</f>
        <v>9</v>
      </c>
      <c r="Z60" s="124">
        <f>IF($C60&gt;SLASH!$F$7,0,Y59)</f>
        <v>10</v>
      </c>
      <c r="AA60" s="124">
        <f>IF($C60&gt;SLASH!$F$7,0,Z59)</f>
        <v>11</v>
      </c>
      <c r="AB60" s="124">
        <f>IF($C60&gt;SLASH!$F$7,0,AA59)</f>
        <v>12</v>
      </c>
      <c r="AC60" s="124">
        <f>IF($C60&gt;SLASH!$F$7,0,AB59)</f>
        <v>13</v>
      </c>
      <c r="AD60" s="124">
        <f>IF($C60&gt;SLASH!$F$7,0,AC59)</f>
        <v>14</v>
      </c>
      <c r="AE60" s="124">
        <f>IF($C60&gt;SLASH!$F$7,0,AD59)</f>
        <v>15</v>
      </c>
      <c r="AF60" s="124">
        <f>IF($C60&gt;SLASH!$F$7,0,AE59)</f>
        <v>16</v>
      </c>
      <c r="AG60" s="124">
        <f>IF($C60&gt;SLASH!$F$7,0,AF59)</f>
        <v>17</v>
      </c>
      <c r="AH60" s="124">
        <f>IF($C60&gt;SLASH!$F$7,0,AG59)</f>
        <v>18</v>
      </c>
      <c r="AI60" s="124">
        <f>IF($C60&gt;SLASH!$F$7,0,AH59)</f>
        <v>19</v>
      </c>
      <c r="AJ60" s="124">
        <f>IF($C60&gt;SLASH!$F$7,0,AI59)</f>
        <v>20</v>
      </c>
      <c r="AK60" s="124">
        <f>IF($C60&gt;SLASH!$F$7,0,AJ59)</f>
        <v>21</v>
      </c>
      <c r="AL60" s="124">
        <f>IF($C60&gt;SLASH!$F$7,0,AK59)</f>
        <v>22</v>
      </c>
      <c r="AM60" s="124">
        <f>IF($C60&gt;SLASH!$F$7,0,AL59)</f>
        <v>23</v>
      </c>
      <c r="AN60" s="124">
        <f>IF($C60&gt;SLASH!$F$7,0,AM59)</f>
        <v>24</v>
      </c>
      <c r="AO60" s="124">
        <f>IF($C60&gt;SLASH!$F$7,0,AN59)</f>
        <v>25</v>
      </c>
      <c r="AP60" s="124">
        <f>IF($C60&gt;SLASH!$F$7,0,AO59)</f>
        <v>1</v>
      </c>
      <c r="AQ60" s="124">
        <f>IF($C60&gt;SLASH!$F$7,0,AP59)</f>
        <v>2</v>
      </c>
      <c r="AR60" s="124">
        <f>IF($C60&gt;SLASH!$F$7,0,AQ59)</f>
        <v>3</v>
      </c>
      <c r="AS60" s="124">
        <f>IF($C60&gt;SLASH!$F$7,0,AR59)</f>
        <v>4</v>
      </c>
      <c r="AT60" s="124">
        <f>IF($C60&gt;SLASH!$F$7,0,AS59)</f>
        <v>5</v>
      </c>
      <c r="AU60" s="124">
        <f>IF($C60&gt;SLASH!$F$7,0,AT59)</f>
        <v>6</v>
      </c>
      <c r="AV60" s="124">
        <f>IF($C60&gt;SLASH!$F$7,0,AU59)</f>
        <v>7</v>
      </c>
    </row>
    <row r="61" spans="2:50" ht="12.95" customHeight="1" x14ac:dyDescent="0.2">
      <c r="B61" s="14"/>
      <c r="C61" s="372">
        <v>10</v>
      </c>
      <c r="D61" s="372"/>
      <c r="E61" s="372"/>
      <c r="F61" s="253" t="s">
        <v>492</v>
      </c>
      <c r="G61" s="253" t="s">
        <v>4</v>
      </c>
      <c r="H61" s="124"/>
      <c r="I61" s="124"/>
      <c r="J61" s="124"/>
      <c r="K61" s="124"/>
      <c r="L61" s="124"/>
      <c r="M61" s="124"/>
      <c r="N61" s="124"/>
      <c r="O61" s="124"/>
      <c r="P61" s="124"/>
      <c r="Q61" s="124">
        <f>IF($C61&gt;SLASH!$F$7,0,P60)</f>
        <v>25</v>
      </c>
      <c r="R61" s="124">
        <f>IF($C61&gt;SLASH!$F$7,0,Q60)</f>
        <v>1</v>
      </c>
      <c r="S61" s="124">
        <f>IF($C61&gt;SLASH!$F$7,0,R60)</f>
        <v>2</v>
      </c>
      <c r="T61" s="124">
        <f>IF($C61&gt;SLASH!$F$7,0,S60)</f>
        <v>3</v>
      </c>
      <c r="U61" s="124">
        <f>IF($C61&gt;SLASH!$F$7,0,T60)</f>
        <v>4</v>
      </c>
      <c r="V61" s="124">
        <f>IF($C61&gt;SLASH!$F$7,0,U60)</f>
        <v>5</v>
      </c>
      <c r="W61" s="124">
        <f>IF($C61&gt;SLASH!$F$7,0,V60)</f>
        <v>6</v>
      </c>
      <c r="X61" s="124">
        <f>IF($C61&gt;SLASH!$F$7,0,W60)</f>
        <v>7</v>
      </c>
      <c r="Y61" s="124">
        <f>IF($C61&gt;SLASH!$F$7,0,X60)</f>
        <v>8</v>
      </c>
      <c r="Z61" s="124">
        <f>IF($C61&gt;SLASH!$F$7,0,Y60)</f>
        <v>9</v>
      </c>
      <c r="AA61" s="124">
        <f>IF($C61&gt;SLASH!$F$7,0,Z60)</f>
        <v>10</v>
      </c>
      <c r="AB61" s="124">
        <f>IF($C61&gt;SLASH!$F$7,0,AA60)</f>
        <v>11</v>
      </c>
      <c r="AC61" s="124">
        <f>IF($C61&gt;SLASH!$F$7,0,AB60)</f>
        <v>12</v>
      </c>
      <c r="AD61" s="124">
        <f>IF($C61&gt;SLASH!$F$7,0,AC60)</f>
        <v>13</v>
      </c>
      <c r="AE61" s="124">
        <f>IF($C61&gt;SLASH!$F$7,0,AD60)</f>
        <v>14</v>
      </c>
      <c r="AF61" s="124">
        <f>IF($C61&gt;SLASH!$F$7,0,AE60)</f>
        <v>15</v>
      </c>
      <c r="AG61" s="124">
        <f>IF($C61&gt;SLASH!$F$7,0,AF60)</f>
        <v>16</v>
      </c>
      <c r="AH61" s="124">
        <f>IF($C61&gt;SLASH!$F$7,0,AG60)</f>
        <v>17</v>
      </c>
      <c r="AI61" s="124">
        <f>IF($C61&gt;SLASH!$F$7,0,AH60)</f>
        <v>18</v>
      </c>
      <c r="AJ61" s="124">
        <f>IF($C61&gt;SLASH!$F$7,0,AI60)</f>
        <v>19</v>
      </c>
      <c r="AK61" s="124">
        <f>IF($C61&gt;SLASH!$F$7,0,AJ60)</f>
        <v>20</v>
      </c>
      <c r="AL61" s="124">
        <f>IF($C61&gt;SLASH!$F$7,0,AK60)</f>
        <v>21</v>
      </c>
      <c r="AM61" s="124">
        <f>IF($C61&gt;SLASH!$F$7,0,AL60)</f>
        <v>22</v>
      </c>
      <c r="AN61" s="124">
        <f>IF($C61&gt;SLASH!$F$7,0,AM60)</f>
        <v>23</v>
      </c>
      <c r="AO61" s="124">
        <f>IF($C61&gt;SLASH!$F$7,0,AN60)</f>
        <v>24</v>
      </c>
      <c r="AP61" s="124">
        <f>IF($C61&gt;SLASH!$F$7,0,AO60)</f>
        <v>25</v>
      </c>
      <c r="AQ61" s="124">
        <f>IF($C61&gt;SLASH!$F$7,0,AP60)</f>
        <v>1</v>
      </c>
      <c r="AR61" s="124">
        <f>IF($C61&gt;SLASH!$F$7,0,AQ60)</f>
        <v>2</v>
      </c>
      <c r="AS61" s="124">
        <f>IF($C61&gt;SLASH!$F$7,0,AR60)</f>
        <v>3</v>
      </c>
      <c r="AT61" s="124">
        <f>IF($C61&gt;SLASH!$F$7,0,AS60)</f>
        <v>4</v>
      </c>
      <c r="AU61" s="124">
        <f>IF($C61&gt;SLASH!$F$7,0,AT60)</f>
        <v>5</v>
      </c>
      <c r="AV61" s="124">
        <f>IF($C61&gt;SLASH!$F$7,0,AU60)</f>
        <v>6</v>
      </c>
    </row>
    <row r="62" spans="2:50" ht="12.95" customHeight="1" x14ac:dyDescent="0.2">
      <c r="B62" s="14"/>
      <c r="C62" s="372">
        <v>11</v>
      </c>
      <c r="D62" s="372"/>
      <c r="E62" s="372"/>
      <c r="F62" s="253" t="s">
        <v>492</v>
      </c>
      <c r="G62" s="253" t="s">
        <v>4</v>
      </c>
      <c r="H62" s="124"/>
      <c r="I62" s="124"/>
      <c r="J62" s="124"/>
      <c r="K62" s="124"/>
      <c r="L62" s="124"/>
      <c r="M62" s="124"/>
      <c r="N62" s="124"/>
      <c r="O62" s="124"/>
      <c r="P62" s="124"/>
      <c r="Q62" s="124"/>
      <c r="R62" s="124">
        <f>IF($C62&gt;SLASH!$F$7,0,Q61)</f>
        <v>25</v>
      </c>
      <c r="S62" s="124">
        <f>IF($C62&gt;SLASH!$F$7,0,R61)</f>
        <v>1</v>
      </c>
      <c r="T62" s="124">
        <f>IF($C62&gt;SLASH!$F$7,0,S61)</f>
        <v>2</v>
      </c>
      <c r="U62" s="124">
        <f>IF($C62&gt;SLASH!$F$7,0,T61)</f>
        <v>3</v>
      </c>
      <c r="V62" s="124">
        <f>IF($C62&gt;SLASH!$F$7,0,U61)</f>
        <v>4</v>
      </c>
      <c r="W62" s="124">
        <f>IF($C62&gt;SLASH!$F$7,0,V61)</f>
        <v>5</v>
      </c>
      <c r="X62" s="124">
        <f>IF($C62&gt;SLASH!$F$7,0,W61)</f>
        <v>6</v>
      </c>
      <c r="Y62" s="124">
        <f>IF($C62&gt;SLASH!$F$7,0,X61)</f>
        <v>7</v>
      </c>
      <c r="Z62" s="124">
        <f>IF($C62&gt;SLASH!$F$7,0,Y61)</f>
        <v>8</v>
      </c>
      <c r="AA62" s="124">
        <f>IF($C62&gt;SLASH!$F$7,0,Z61)</f>
        <v>9</v>
      </c>
      <c r="AB62" s="124">
        <f>IF($C62&gt;SLASH!$F$7,0,AA61)</f>
        <v>10</v>
      </c>
      <c r="AC62" s="124">
        <f>IF($C62&gt;SLASH!$F$7,0,AB61)</f>
        <v>11</v>
      </c>
      <c r="AD62" s="124">
        <f>IF($C62&gt;SLASH!$F$7,0,AC61)</f>
        <v>12</v>
      </c>
      <c r="AE62" s="124">
        <f>IF($C62&gt;SLASH!$F$7,0,AD61)</f>
        <v>13</v>
      </c>
      <c r="AF62" s="124">
        <f>IF($C62&gt;SLASH!$F$7,0,AE61)</f>
        <v>14</v>
      </c>
      <c r="AG62" s="124">
        <f>IF($C62&gt;SLASH!$F$7,0,AF61)</f>
        <v>15</v>
      </c>
      <c r="AH62" s="124">
        <f>IF($C62&gt;SLASH!$F$7,0,AG61)</f>
        <v>16</v>
      </c>
      <c r="AI62" s="124">
        <f>IF($C62&gt;SLASH!$F$7,0,AH61)</f>
        <v>17</v>
      </c>
      <c r="AJ62" s="124">
        <f>IF($C62&gt;SLASH!$F$7,0,AI61)</f>
        <v>18</v>
      </c>
      <c r="AK62" s="124">
        <f>IF($C62&gt;SLASH!$F$7,0,AJ61)</f>
        <v>19</v>
      </c>
      <c r="AL62" s="124">
        <f>IF($C62&gt;SLASH!$F$7,0,AK61)</f>
        <v>20</v>
      </c>
      <c r="AM62" s="124">
        <f>IF($C62&gt;SLASH!$F$7,0,AL61)</f>
        <v>21</v>
      </c>
      <c r="AN62" s="124">
        <f>IF($C62&gt;SLASH!$F$7,0,AM61)</f>
        <v>22</v>
      </c>
      <c r="AO62" s="124">
        <f>IF($C62&gt;SLASH!$F$7,0,AN61)</f>
        <v>23</v>
      </c>
      <c r="AP62" s="124">
        <f>IF($C62&gt;SLASH!$F$7,0,AO61)</f>
        <v>24</v>
      </c>
      <c r="AQ62" s="124">
        <f>IF($C62&gt;SLASH!$F$7,0,AP61)</f>
        <v>25</v>
      </c>
      <c r="AR62" s="124">
        <f>IF($C62&gt;SLASH!$F$7,0,AQ61)</f>
        <v>1</v>
      </c>
      <c r="AS62" s="124">
        <f>IF($C62&gt;SLASH!$F$7,0,AR61)</f>
        <v>2</v>
      </c>
      <c r="AT62" s="124">
        <f>IF($C62&gt;SLASH!$F$7,0,AS61)</f>
        <v>3</v>
      </c>
      <c r="AU62" s="124">
        <f>IF($C62&gt;SLASH!$F$7,0,AT61)</f>
        <v>4</v>
      </c>
      <c r="AV62" s="124">
        <f>IF($C62&gt;SLASH!$F$7,0,AU61)</f>
        <v>5</v>
      </c>
    </row>
    <row r="63" spans="2:50" ht="12.95" customHeight="1" x14ac:dyDescent="0.2">
      <c r="B63" s="14"/>
      <c r="C63" s="372">
        <v>12</v>
      </c>
      <c r="D63" s="372"/>
      <c r="E63" s="372"/>
      <c r="F63" s="253" t="s">
        <v>492</v>
      </c>
      <c r="G63" s="253" t="s">
        <v>4</v>
      </c>
      <c r="H63" s="124"/>
      <c r="I63" s="124"/>
      <c r="J63" s="124"/>
      <c r="K63" s="124"/>
      <c r="L63" s="124"/>
      <c r="M63" s="124"/>
      <c r="N63" s="124"/>
      <c r="O63" s="124"/>
      <c r="P63" s="124"/>
      <c r="Q63" s="124"/>
      <c r="R63" s="124"/>
      <c r="S63" s="124">
        <f>IF($C63&gt;SLASH!$F$7,0,R62)</f>
        <v>25</v>
      </c>
      <c r="T63" s="124">
        <f>IF($C63&gt;SLASH!$F$7,0,S62)</f>
        <v>1</v>
      </c>
      <c r="U63" s="124">
        <f>IF($C63&gt;SLASH!$F$7,0,T62)</f>
        <v>2</v>
      </c>
      <c r="V63" s="124">
        <f>IF($C63&gt;SLASH!$F$7,0,U62)</f>
        <v>3</v>
      </c>
      <c r="W63" s="124">
        <f>IF($C63&gt;SLASH!$F$7,0,V62)</f>
        <v>4</v>
      </c>
      <c r="X63" s="124">
        <f>IF($C63&gt;SLASH!$F$7,0,W62)</f>
        <v>5</v>
      </c>
      <c r="Y63" s="124">
        <f>IF($C63&gt;SLASH!$F$7,0,X62)</f>
        <v>6</v>
      </c>
      <c r="Z63" s="124">
        <f>IF($C63&gt;SLASH!$F$7,0,Y62)</f>
        <v>7</v>
      </c>
      <c r="AA63" s="124">
        <f>IF($C63&gt;SLASH!$F$7,0,Z62)</f>
        <v>8</v>
      </c>
      <c r="AB63" s="124">
        <f>IF($C63&gt;SLASH!$F$7,0,AA62)</f>
        <v>9</v>
      </c>
      <c r="AC63" s="124">
        <f>IF($C63&gt;SLASH!$F$7,0,AB62)</f>
        <v>10</v>
      </c>
      <c r="AD63" s="124">
        <f>IF($C63&gt;SLASH!$F$7,0,AC62)</f>
        <v>11</v>
      </c>
      <c r="AE63" s="124">
        <f>IF($C63&gt;SLASH!$F$7,0,AD62)</f>
        <v>12</v>
      </c>
      <c r="AF63" s="124">
        <f>IF($C63&gt;SLASH!$F$7,0,AE62)</f>
        <v>13</v>
      </c>
      <c r="AG63" s="124">
        <f>IF($C63&gt;SLASH!$F$7,0,AF62)</f>
        <v>14</v>
      </c>
      <c r="AH63" s="124">
        <f>IF($C63&gt;SLASH!$F$7,0,AG62)</f>
        <v>15</v>
      </c>
      <c r="AI63" s="124">
        <f>IF($C63&gt;SLASH!$F$7,0,AH62)</f>
        <v>16</v>
      </c>
      <c r="AJ63" s="124">
        <f>IF($C63&gt;SLASH!$F$7,0,AI62)</f>
        <v>17</v>
      </c>
      <c r="AK63" s="124">
        <f>IF($C63&gt;SLASH!$F$7,0,AJ62)</f>
        <v>18</v>
      </c>
      <c r="AL63" s="124">
        <f>IF($C63&gt;SLASH!$F$7,0,AK62)</f>
        <v>19</v>
      </c>
      <c r="AM63" s="124">
        <f>IF($C63&gt;SLASH!$F$7,0,AL62)</f>
        <v>20</v>
      </c>
      <c r="AN63" s="124">
        <f>IF($C63&gt;SLASH!$F$7,0,AM62)</f>
        <v>21</v>
      </c>
      <c r="AO63" s="124">
        <f>IF($C63&gt;SLASH!$F$7,0,AN62)</f>
        <v>22</v>
      </c>
      <c r="AP63" s="124">
        <f>IF($C63&gt;SLASH!$F$7,0,AO62)</f>
        <v>23</v>
      </c>
      <c r="AQ63" s="124">
        <f>IF($C63&gt;SLASH!$F$7,0,AP62)</f>
        <v>24</v>
      </c>
      <c r="AR63" s="124">
        <f>IF($C63&gt;SLASH!$F$7,0,AQ62)</f>
        <v>25</v>
      </c>
      <c r="AS63" s="124">
        <f>IF($C63&gt;SLASH!$F$7,0,AR62)</f>
        <v>1</v>
      </c>
      <c r="AT63" s="124">
        <f>IF($C63&gt;SLASH!$F$7,0,AS62)</f>
        <v>2</v>
      </c>
      <c r="AU63" s="124">
        <f>IF($C63&gt;SLASH!$F$7,0,AT62)</f>
        <v>3</v>
      </c>
      <c r="AV63" s="124">
        <f>IF($C63&gt;SLASH!$F$7,0,AU62)</f>
        <v>4</v>
      </c>
    </row>
    <row r="64" spans="2:50" ht="12.95" customHeight="1" x14ac:dyDescent="0.2">
      <c r="B64" s="14"/>
      <c r="C64" s="372">
        <v>13</v>
      </c>
      <c r="D64" s="372"/>
      <c r="E64" s="372"/>
      <c r="F64" s="253" t="s">
        <v>492</v>
      </c>
      <c r="G64" s="253" t="s">
        <v>4</v>
      </c>
      <c r="H64" s="124"/>
      <c r="I64" s="124"/>
      <c r="J64" s="124"/>
      <c r="K64" s="124"/>
      <c r="L64" s="124"/>
      <c r="M64" s="124"/>
      <c r="N64" s="124"/>
      <c r="O64" s="124"/>
      <c r="P64" s="124"/>
      <c r="Q64" s="124"/>
      <c r="R64" s="124"/>
      <c r="S64" s="124"/>
      <c r="T64" s="124">
        <f>IF($C64&gt;SLASH!$F$7,0,S63)</f>
        <v>25</v>
      </c>
      <c r="U64" s="124">
        <f>IF($C64&gt;SLASH!$F$7,0,T63)</f>
        <v>1</v>
      </c>
      <c r="V64" s="124">
        <f>IF($C64&gt;SLASH!$F$7,0,U63)</f>
        <v>2</v>
      </c>
      <c r="W64" s="124">
        <f>IF($C64&gt;SLASH!$F$7,0,V63)</f>
        <v>3</v>
      </c>
      <c r="X64" s="124">
        <f>IF($C64&gt;SLASH!$F$7,0,W63)</f>
        <v>4</v>
      </c>
      <c r="Y64" s="124">
        <f>IF($C64&gt;SLASH!$F$7,0,X63)</f>
        <v>5</v>
      </c>
      <c r="Z64" s="124">
        <f>IF($C64&gt;SLASH!$F$7,0,Y63)</f>
        <v>6</v>
      </c>
      <c r="AA64" s="124">
        <f>IF($C64&gt;SLASH!$F$7,0,Z63)</f>
        <v>7</v>
      </c>
      <c r="AB64" s="124">
        <f>IF($C64&gt;SLASH!$F$7,0,AA63)</f>
        <v>8</v>
      </c>
      <c r="AC64" s="124">
        <f>IF($C64&gt;SLASH!$F$7,0,AB63)</f>
        <v>9</v>
      </c>
      <c r="AD64" s="124">
        <f>IF($C64&gt;SLASH!$F$7,0,AC63)</f>
        <v>10</v>
      </c>
      <c r="AE64" s="124">
        <f>IF($C64&gt;SLASH!$F$7,0,AD63)</f>
        <v>11</v>
      </c>
      <c r="AF64" s="124">
        <f>IF($C64&gt;SLASH!$F$7,0,AE63)</f>
        <v>12</v>
      </c>
      <c r="AG64" s="124">
        <f>IF($C64&gt;SLASH!$F$7,0,AF63)</f>
        <v>13</v>
      </c>
      <c r="AH64" s="124">
        <f>IF($C64&gt;SLASH!$F$7,0,AG63)</f>
        <v>14</v>
      </c>
      <c r="AI64" s="124">
        <f>IF($C64&gt;SLASH!$F$7,0,AH63)</f>
        <v>15</v>
      </c>
      <c r="AJ64" s="124">
        <f>IF($C64&gt;SLASH!$F$7,0,AI63)</f>
        <v>16</v>
      </c>
      <c r="AK64" s="124">
        <f>IF($C64&gt;SLASH!$F$7,0,AJ63)</f>
        <v>17</v>
      </c>
      <c r="AL64" s="124">
        <f>IF($C64&gt;SLASH!$F$7,0,AK63)</f>
        <v>18</v>
      </c>
      <c r="AM64" s="124">
        <f>IF($C64&gt;SLASH!$F$7,0,AL63)</f>
        <v>19</v>
      </c>
      <c r="AN64" s="124">
        <f>IF($C64&gt;SLASH!$F$7,0,AM63)</f>
        <v>20</v>
      </c>
      <c r="AO64" s="124">
        <f>IF($C64&gt;SLASH!$F$7,0,AN63)</f>
        <v>21</v>
      </c>
      <c r="AP64" s="124">
        <f>IF($C64&gt;SLASH!$F$7,0,AO63)</f>
        <v>22</v>
      </c>
      <c r="AQ64" s="124">
        <f>IF($C64&gt;SLASH!$F$7,0,AP63)</f>
        <v>23</v>
      </c>
      <c r="AR64" s="124">
        <f>IF($C64&gt;SLASH!$F$7,0,AQ63)</f>
        <v>24</v>
      </c>
      <c r="AS64" s="124">
        <f>IF($C64&gt;SLASH!$F$7,0,AR63)</f>
        <v>25</v>
      </c>
      <c r="AT64" s="124">
        <f>IF($C64&gt;SLASH!$F$7,0,AS63)</f>
        <v>1</v>
      </c>
      <c r="AU64" s="124">
        <f>IF($C64&gt;SLASH!$F$7,0,AT63)</f>
        <v>2</v>
      </c>
      <c r="AV64" s="124">
        <f>IF($C64&gt;SLASH!$F$7,0,AU63)</f>
        <v>3</v>
      </c>
    </row>
    <row r="65" spans="2:48" ht="12.95" customHeight="1" x14ac:dyDescent="0.2">
      <c r="B65" s="14"/>
      <c r="C65" s="372">
        <v>14</v>
      </c>
      <c r="D65" s="372"/>
      <c r="E65" s="372"/>
      <c r="F65" s="253" t="s">
        <v>492</v>
      </c>
      <c r="G65" s="253" t="s">
        <v>4</v>
      </c>
      <c r="H65" s="124"/>
      <c r="I65" s="124"/>
      <c r="J65" s="124"/>
      <c r="K65" s="124"/>
      <c r="L65" s="124"/>
      <c r="M65" s="124"/>
      <c r="N65" s="124"/>
      <c r="O65" s="124"/>
      <c r="P65" s="124"/>
      <c r="Q65" s="124"/>
      <c r="R65" s="124"/>
      <c r="S65" s="124"/>
      <c r="T65" s="124"/>
      <c r="U65" s="124">
        <f>IF($C65&gt;SLASH!$F$7,0,T64)</f>
        <v>25</v>
      </c>
      <c r="V65" s="124">
        <f>IF($C65&gt;SLASH!$F$7,0,U64)</f>
        <v>1</v>
      </c>
      <c r="W65" s="124">
        <f>IF($C65&gt;SLASH!$F$7,0,V64)</f>
        <v>2</v>
      </c>
      <c r="X65" s="124">
        <f>IF($C65&gt;SLASH!$F$7,0,W64)</f>
        <v>3</v>
      </c>
      <c r="Y65" s="124">
        <f>IF($C65&gt;SLASH!$F$7,0,X64)</f>
        <v>4</v>
      </c>
      <c r="Z65" s="124">
        <f>IF($C65&gt;SLASH!$F$7,0,Y64)</f>
        <v>5</v>
      </c>
      <c r="AA65" s="124">
        <f>IF($C65&gt;SLASH!$F$7,0,Z64)</f>
        <v>6</v>
      </c>
      <c r="AB65" s="124">
        <f>IF($C65&gt;SLASH!$F$7,0,AA64)</f>
        <v>7</v>
      </c>
      <c r="AC65" s="124">
        <f>IF($C65&gt;SLASH!$F$7,0,AB64)</f>
        <v>8</v>
      </c>
      <c r="AD65" s="124">
        <f>IF($C65&gt;SLASH!$F$7,0,AC64)</f>
        <v>9</v>
      </c>
      <c r="AE65" s="124">
        <f>IF($C65&gt;SLASH!$F$7,0,AD64)</f>
        <v>10</v>
      </c>
      <c r="AF65" s="124">
        <f>IF($C65&gt;SLASH!$F$7,0,AE64)</f>
        <v>11</v>
      </c>
      <c r="AG65" s="124">
        <f>IF($C65&gt;SLASH!$F$7,0,AF64)</f>
        <v>12</v>
      </c>
      <c r="AH65" s="124">
        <f>IF($C65&gt;SLASH!$F$7,0,AG64)</f>
        <v>13</v>
      </c>
      <c r="AI65" s="124">
        <f>IF($C65&gt;SLASH!$F$7,0,AH64)</f>
        <v>14</v>
      </c>
      <c r="AJ65" s="124">
        <f>IF($C65&gt;SLASH!$F$7,0,AI64)</f>
        <v>15</v>
      </c>
      <c r="AK65" s="124">
        <f>IF($C65&gt;SLASH!$F$7,0,AJ64)</f>
        <v>16</v>
      </c>
      <c r="AL65" s="124">
        <f>IF($C65&gt;SLASH!$F$7,0,AK64)</f>
        <v>17</v>
      </c>
      <c r="AM65" s="124">
        <f>IF($C65&gt;SLASH!$F$7,0,AL64)</f>
        <v>18</v>
      </c>
      <c r="AN65" s="124">
        <f>IF($C65&gt;SLASH!$F$7,0,AM64)</f>
        <v>19</v>
      </c>
      <c r="AO65" s="124">
        <f>IF($C65&gt;SLASH!$F$7,0,AN64)</f>
        <v>20</v>
      </c>
      <c r="AP65" s="124">
        <f>IF($C65&gt;SLASH!$F$7,0,AO64)</f>
        <v>21</v>
      </c>
      <c r="AQ65" s="124">
        <f>IF($C65&gt;SLASH!$F$7,0,AP64)</f>
        <v>22</v>
      </c>
      <c r="AR65" s="124">
        <f>IF($C65&gt;SLASH!$F$7,0,AQ64)</f>
        <v>23</v>
      </c>
      <c r="AS65" s="124">
        <f>IF($C65&gt;SLASH!$F$7,0,AR64)</f>
        <v>24</v>
      </c>
      <c r="AT65" s="124">
        <f>IF($C65&gt;SLASH!$F$7,0,AS64)</f>
        <v>25</v>
      </c>
      <c r="AU65" s="124">
        <f>IF($C65&gt;SLASH!$F$7,0,AT64)</f>
        <v>1</v>
      </c>
      <c r="AV65" s="124">
        <f>IF($C65&gt;SLASH!$F$7,0,AU64)</f>
        <v>2</v>
      </c>
    </row>
    <row r="66" spans="2:48" ht="12.95" customHeight="1" x14ac:dyDescent="0.2">
      <c r="B66" s="14"/>
      <c r="C66" s="372">
        <v>15</v>
      </c>
      <c r="D66" s="372"/>
      <c r="E66" s="372"/>
      <c r="F66" s="253" t="s">
        <v>492</v>
      </c>
      <c r="G66" s="253" t="s">
        <v>4</v>
      </c>
      <c r="H66" s="124"/>
      <c r="I66" s="124"/>
      <c r="J66" s="124"/>
      <c r="K66" s="124"/>
      <c r="L66" s="124"/>
      <c r="M66" s="124"/>
      <c r="N66" s="124"/>
      <c r="O66" s="124"/>
      <c r="P66" s="124"/>
      <c r="Q66" s="124"/>
      <c r="R66" s="124"/>
      <c r="S66" s="124"/>
      <c r="T66" s="124"/>
      <c r="U66" s="124"/>
      <c r="V66" s="124">
        <f>IF($C66&gt;SLASH!$F$7,0,U65)</f>
        <v>25</v>
      </c>
      <c r="W66" s="124">
        <f>IF($C66&gt;SLASH!$F$7,0,V65)</f>
        <v>1</v>
      </c>
      <c r="X66" s="124">
        <f>IF($C66&gt;SLASH!$F$7,0,W65)</f>
        <v>2</v>
      </c>
      <c r="Y66" s="124">
        <f>IF($C66&gt;SLASH!$F$7,0,X65)</f>
        <v>3</v>
      </c>
      <c r="Z66" s="124">
        <f>IF($C66&gt;SLASH!$F$7,0,Y65)</f>
        <v>4</v>
      </c>
      <c r="AA66" s="124">
        <f>IF($C66&gt;SLASH!$F$7,0,Z65)</f>
        <v>5</v>
      </c>
      <c r="AB66" s="124">
        <f>IF($C66&gt;SLASH!$F$7,0,AA65)</f>
        <v>6</v>
      </c>
      <c r="AC66" s="124">
        <f>IF($C66&gt;SLASH!$F$7,0,AB65)</f>
        <v>7</v>
      </c>
      <c r="AD66" s="124">
        <f>IF($C66&gt;SLASH!$F$7,0,AC65)</f>
        <v>8</v>
      </c>
      <c r="AE66" s="124">
        <f>IF($C66&gt;SLASH!$F$7,0,AD65)</f>
        <v>9</v>
      </c>
      <c r="AF66" s="124">
        <f>IF($C66&gt;SLASH!$F$7,0,AE65)</f>
        <v>10</v>
      </c>
      <c r="AG66" s="124">
        <f>IF($C66&gt;SLASH!$F$7,0,AF65)</f>
        <v>11</v>
      </c>
      <c r="AH66" s="124">
        <f>IF($C66&gt;SLASH!$F$7,0,AG65)</f>
        <v>12</v>
      </c>
      <c r="AI66" s="124">
        <f>IF($C66&gt;SLASH!$F$7,0,AH65)</f>
        <v>13</v>
      </c>
      <c r="AJ66" s="124">
        <f>IF($C66&gt;SLASH!$F$7,0,AI65)</f>
        <v>14</v>
      </c>
      <c r="AK66" s="124">
        <f>IF($C66&gt;SLASH!$F$7,0,AJ65)</f>
        <v>15</v>
      </c>
      <c r="AL66" s="124">
        <f>IF($C66&gt;SLASH!$F$7,0,AK65)</f>
        <v>16</v>
      </c>
      <c r="AM66" s="124">
        <f>IF($C66&gt;SLASH!$F$7,0,AL65)</f>
        <v>17</v>
      </c>
      <c r="AN66" s="124">
        <f>IF($C66&gt;SLASH!$F$7,0,AM65)</f>
        <v>18</v>
      </c>
      <c r="AO66" s="124">
        <f>IF($C66&gt;SLASH!$F$7,0,AN65)</f>
        <v>19</v>
      </c>
      <c r="AP66" s="124">
        <f>IF($C66&gt;SLASH!$F$7,0,AO65)</f>
        <v>20</v>
      </c>
      <c r="AQ66" s="124">
        <f>IF($C66&gt;SLASH!$F$7,0,AP65)</f>
        <v>21</v>
      </c>
      <c r="AR66" s="124">
        <f>IF($C66&gt;SLASH!$F$7,0,AQ65)</f>
        <v>22</v>
      </c>
      <c r="AS66" s="124">
        <f>IF($C66&gt;SLASH!$F$7,0,AR65)</f>
        <v>23</v>
      </c>
      <c r="AT66" s="124">
        <f>IF($C66&gt;SLASH!$F$7,0,AS65)</f>
        <v>24</v>
      </c>
      <c r="AU66" s="124">
        <f>IF($C66&gt;SLASH!$F$7,0,AT65)</f>
        <v>25</v>
      </c>
      <c r="AV66" s="124">
        <f>IF($C66&gt;SLASH!$F$7,0,AU65)</f>
        <v>1</v>
      </c>
    </row>
    <row r="67" spans="2:48" ht="12.95" customHeight="1" x14ac:dyDescent="0.2">
      <c r="B67" s="14"/>
      <c r="C67" s="372">
        <v>16</v>
      </c>
      <c r="D67" s="372"/>
      <c r="E67" s="372"/>
      <c r="F67" s="253" t="s">
        <v>492</v>
      </c>
      <c r="G67" s="253" t="s">
        <v>4</v>
      </c>
      <c r="H67" s="124"/>
      <c r="I67" s="124"/>
      <c r="J67" s="124"/>
      <c r="K67" s="124"/>
      <c r="L67" s="124"/>
      <c r="M67" s="124"/>
      <c r="N67" s="124"/>
      <c r="O67" s="124"/>
      <c r="P67" s="124"/>
      <c r="Q67" s="124"/>
      <c r="R67" s="124"/>
      <c r="S67" s="124"/>
      <c r="T67" s="124"/>
      <c r="U67" s="124"/>
      <c r="V67" s="124"/>
      <c r="W67" s="124">
        <f>IF($C67&gt;SLASH!$F$7,0,V66)</f>
        <v>25</v>
      </c>
      <c r="X67" s="124">
        <f>IF($C67&gt;SLASH!$F$7,0,W66)</f>
        <v>1</v>
      </c>
      <c r="Y67" s="124">
        <f>IF($C67&gt;SLASH!$F$7,0,X66)</f>
        <v>2</v>
      </c>
      <c r="Z67" s="124">
        <f>IF($C67&gt;SLASH!$F$7,0,Y66)</f>
        <v>3</v>
      </c>
      <c r="AA67" s="124">
        <f>IF($C67&gt;SLASH!$F$7,0,Z66)</f>
        <v>4</v>
      </c>
      <c r="AB67" s="124">
        <f>IF($C67&gt;SLASH!$F$7,0,AA66)</f>
        <v>5</v>
      </c>
      <c r="AC67" s="124">
        <f>IF($C67&gt;SLASH!$F$7,0,AB66)</f>
        <v>6</v>
      </c>
      <c r="AD67" s="124">
        <f>IF($C67&gt;SLASH!$F$7,0,AC66)</f>
        <v>7</v>
      </c>
      <c r="AE67" s="124">
        <f>IF($C67&gt;SLASH!$F$7,0,AD66)</f>
        <v>8</v>
      </c>
      <c r="AF67" s="124">
        <f>IF($C67&gt;SLASH!$F$7,0,AE66)</f>
        <v>9</v>
      </c>
      <c r="AG67" s="124">
        <f>IF($C67&gt;SLASH!$F$7,0,AF66)</f>
        <v>10</v>
      </c>
      <c r="AH67" s="124">
        <f>IF($C67&gt;SLASH!$F$7,0,AG66)</f>
        <v>11</v>
      </c>
      <c r="AI67" s="124">
        <f>IF($C67&gt;SLASH!$F$7,0,AH66)</f>
        <v>12</v>
      </c>
      <c r="AJ67" s="124">
        <f>IF($C67&gt;SLASH!$F$7,0,AI66)</f>
        <v>13</v>
      </c>
      <c r="AK67" s="124">
        <f>IF($C67&gt;SLASH!$F$7,0,AJ66)</f>
        <v>14</v>
      </c>
      <c r="AL67" s="124">
        <f>IF($C67&gt;SLASH!$F$7,0,AK66)</f>
        <v>15</v>
      </c>
      <c r="AM67" s="124">
        <f>IF($C67&gt;SLASH!$F$7,0,AL66)</f>
        <v>16</v>
      </c>
      <c r="AN67" s="124">
        <f>IF($C67&gt;SLASH!$F$7,0,AM66)</f>
        <v>17</v>
      </c>
      <c r="AO67" s="124">
        <f>IF($C67&gt;SLASH!$F$7,0,AN66)</f>
        <v>18</v>
      </c>
      <c r="AP67" s="124">
        <f>IF($C67&gt;SLASH!$F$7,0,AO66)</f>
        <v>19</v>
      </c>
      <c r="AQ67" s="124">
        <f>IF($C67&gt;SLASH!$F$7,0,AP66)</f>
        <v>20</v>
      </c>
      <c r="AR67" s="124">
        <f>IF($C67&gt;SLASH!$F$7,0,AQ66)</f>
        <v>21</v>
      </c>
      <c r="AS67" s="124">
        <f>IF($C67&gt;SLASH!$F$7,0,AR66)</f>
        <v>22</v>
      </c>
      <c r="AT67" s="124">
        <f>IF($C67&gt;SLASH!$F$7,0,AS66)</f>
        <v>23</v>
      </c>
      <c r="AU67" s="124">
        <f>IF($C67&gt;SLASH!$F$7,0,AT66)</f>
        <v>24</v>
      </c>
      <c r="AV67" s="124">
        <f>IF($C67&gt;SLASH!$F$7,0,AU66)</f>
        <v>25</v>
      </c>
    </row>
    <row r="68" spans="2:48" ht="12.95" customHeight="1" x14ac:dyDescent="0.2">
      <c r="B68" s="14"/>
      <c r="C68" s="372">
        <v>17</v>
      </c>
      <c r="D68" s="372"/>
      <c r="E68" s="372"/>
      <c r="F68" s="253" t="s">
        <v>492</v>
      </c>
      <c r="G68" s="253" t="s">
        <v>4</v>
      </c>
      <c r="H68" s="124"/>
      <c r="I68" s="124"/>
      <c r="J68" s="124"/>
      <c r="K68" s="124"/>
      <c r="L68" s="124"/>
      <c r="M68" s="124"/>
      <c r="N68" s="124"/>
      <c r="O68" s="124"/>
      <c r="P68" s="124"/>
      <c r="Q68" s="124"/>
      <c r="R68" s="124"/>
      <c r="S68" s="124"/>
      <c r="T68" s="124"/>
      <c r="U68" s="124"/>
      <c r="V68" s="124"/>
      <c r="W68" s="124"/>
      <c r="X68" s="124">
        <f>IF($C68&gt;SLASH!$F$7,0,W67)</f>
        <v>25</v>
      </c>
      <c r="Y68" s="124">
        <f>IF($C68&gt;SLASH!$F$7,0,X67)</f>
        <v>1</v>
      </c>
      <c r="Z68" s="124">
        <f>IF($C68&gt;SLASH!$F$7,0,Y67)</f>
        <v>2</v>
      </c>
      <c r="AA68" s="124">
        <f>IF($C68&gt;SLASH!$F$7,0,Z67)</f>
        <v>3</v>
      </c>
      <c r="AB68" s="124">
        <f>IF($C68&gt;SLASH!$F$7,0,AA67)</f>
        <v>4</v>
      </c>
      <c r="AC68" s="124">
        <f>IF($C68&gt;SLASH!$F$7,0,AB67)</f>
        <v>5</v>
      </c>
      <c r="AD68" s="124">
        <f>IF($C68&gt;SLASH!$F$7,0,AC67)</f>
        <v>6</v>
      </c>
      <c r="AE68" s="124">
        <f>IF($C68&gt;SLASH!$F$7,0,AD67)</f>
        <v>7</v>
      </c>
      <c r="AF68" s="124">
        <f>IF($C68&gt;SLASH!$F$7,0,AE67)</f>
        <v>8</v>
      </c>
      <c r="AG68" s="124">
        <f>IF($C68&gt;SLASH!$F$7,0,AF67)</f>
        <v>9</v>
      </c>
      <c r="AH68" s="124">
        <f>IF($C68&gt;SLASH!$F$7,0,AG67)</f>
        <v>10</v>
      </c>
      <c r="AI68" s="124">
        <f>IF($C68&gt;SLASH!$F$7,0,AH67)</f>
        <v>11</v>
      </c>
      <c r="AJ68" s="124">
        <f>IF($C68&gt;SLASH!$F$7,0,AI67)</f>
        <v>12</v>
      </c>
      <c r="AK68" s="124">
        <f>IF($C68&gt;SLASH!$F$7,0,AJ67)</f>
        <v>13</v>
      </c>
      <c r="AL68" s="124">
        <f>IF($C68&gt;SLASH!$F$7,0,AK67)</f>
        <v>14</v>
      </c>
      <c r="AM68" s="124">
        <f>IF($C68&gt;SLASH!$F$7,0,AL67)</f>
        <v>15</v>
      </c>
      <c r="AN68" s="124">
        <f>IF($C68&gt;SLASH!$F$7,0,AM67)</f>
        <v>16</v>
      </c>
      <c r="AO68" s="124">
        <f>IF($C68&gt;SLASH!$F$7,0,AN67)</f>
        <v>17</v>
      </c>
      <c r="AP68" s="124">
        <f>IF($C68&gt;SLASH!$F$7,0,AO67)</f>
        <v>18</v>
      </c>
      <c r="AQ68" s="124">
        <f>IF($C68&gt;SLASH!$F$7,0,AP67)</f>
        <v>19</v>
      </c>
      <c r="AR68" s="124">
        <f>IF($C68&gt;SLASH!$F$7,0,AQ67)</f>
        <v>20</v>
      </c>
      <c r="AS68" s="124">
        <f>IF($C68&gt;SLASH!$F$7,0,AR67)</f>
        <v>21</v>
      </c>
      <c r="AT68" s="124">
        <f>IF($C68&gt;SLASH!$F$7,0,AS67)</f>
        <v>22</v>
      </c>
      <c r="AU68" s="124">
        <f>IF($C68&gt;SLASH!$F$7,0,AT67)</f>
        <v>23</v>
      </c>
      <c r="AV68" s="124">
        <f>IF($C68&gt;SLASH!$F$7,0,AU67)</f>
        <v>24</v>
      </c>
    </row>
    <row r="69" spans="2:48" ht="12.95" customHeight="1" x14ac:dyDescent="0.2">
      <c r="B69" s="14"/>
      <c r="C69" s="372">
        <v>18</v>
      </c>
      <c r="D69" s="372"/>
      <c r="E69" s="372"/>
      <c r="F69" s="253" t="s">
        <v>492</v>
      </c>
      <c r="G69" s="253" t="s">
        <v>4</v>
      </c>
      <c r="H69" s="124"/>
      <c r="I69" s="124"/>
      <c r="J69" s="124"/>
      <c r="K69" s="124"/>
      <c r="L69" s="124"/>
      <c r="M69" s="124"/>
      <c r="N69" s="124"/>
      <c r="O69" s="124"/>
      <c r="P69" s="124"/>
      <c r="Q69" s="124"/>
      <c r="R69" s="124"/>
      <c r="S69" s="124"/>
      <c r="T69" s="124"/>
      <c r="U69" s="124"/>
      <c r="V69" s="124"/>
      <c r="W69" s="124"/>
      <c r="X69" s="124"/>
      <c r="Y69" s="124">
        <f>IF($C69&gt;SLASH!$F$7,0,X68)</f>
        <v>25</v>
      </c>
      <c r="Z69" s="124">
        <f>IF($C69&gt;SLASH!$F$7,0,Y68)</f>
        <v>1</v>
      </c>
      <c r="AA69" s="124">
        <f>IF($C69&gt;SLASH!$F$7,0,Z68)</f>
        <v>2</v>
      </c>
      <c r="AB69" s="124">
        <f>IF($C69&gt;SLASH!$F$7,0,AA68)</f>
        <v>3</v>
      </c>
      <c r="AC69" s="124">
        <f>IF($C69&gt;SLASH!$F$7,0,AB68)</f>
        <v>4</v>
      </c>
      <c r="AD69" s="124">
        <f>IF($C69&gt;SLASH!$F$7,0,AC68)</f>
        <v>5</v>
      </c>
      <c r="AE69" s="124">
        <f>IF($C69&gt;SLASH!$F$7,0,AD68)</f>
        <v>6</v>
      </c>
      <c r="AF69" s="124">
        <f>IF($C69&gt;SLASH!$F$7,0,AE68)</f>
        <v>7</v>
      </c>
      <c r="AG69" s="124">
        <f>IF($C69&gt;SLASH!$F$7,0,AF68)</f>
        <v>8</v>
      </c>
      <c r="AH69" s="124">
        <f>IF($C69&gt;SLASH!$F$7,0,AG68)</f>
        <v>9</v>
      </c>
      <c r="AI69" s="124">
        <f>IF($C69&gt;SLASH!$F$7,0,AH68)</f>
        <v>10</v>
      </c>
      <c r="AJ69" s="124">
        <f>IF($C69&gt;SLASH!$F$7,0,AI68)</f>
        <v>11</v>
      </c>
      <c r="AK69" s="124">
        <f>IF($C69&gt;SLASH!$F$7,0,AJ68)</f>
        <v>12</v>
      </c>
      <c r="AL69" s="124">
        <f>IF($C69&gt;SLASH!$F$7,0,AK68)</f>
        <v>13</v>
      </c>
      <c r="AM69" s="124">
        <f>IF($C69&gt;SLASH!$F$7,0,AL68)</f>
        <v>14</v>
      </c>
      <c r="AN69" s="124">
        <f>IF($C69&gt;SLASH!$F$7,0,AM68)</f>
        <v>15</v>
      </c>
      <c r="AO69" s="124">
        <f>IF($C69&gt;SLASH!$F$7,0,AN68)</f>
        <v>16</v>
      </c>
      <c r="AP69" s="124">
        <f>IF($C69&gt;SLASH!$F$7,0,AO68)</f>
        <v>17</v>
      </c>
      <c r="AQ69" s="124">
        <f>IF($C69&gt;SLASH!$F$7,0,AP68)</f>
        <v>18</v>
      </c>
      <c r="AR69" s="124">
        <f>IF($C69&gt;SLASH!$F$7,0,AQ68)</f>
        <v>19</v>
      </c>
      <c r="AS69" s="124">
        <f>IF($C69&gt;SLASH!$F$7,0,AR68)</f>
        <v>20</v>
      </c>
      <c r="AT69" s="124">
        <f>IF($C69&gt;SLASH!$F$7,0,AS68)</f>
        <v>21</v>
      </c>
      <c r="AU69" s="124">
        <f>IF($C69&gt;SLASH!$F$7,0,AT68)</f>
        <v>22</v>
      </c>
      <c r="AV69" s="124">
        <f>IF($C69&gt;SLASH!$F$7,0,AU68)</f>
        <v>23</v>
      </c>
    </row>
    <row r="70" spans="2:48" ht="12.95" customHeight="1" x14ac:dyDescent="0.2">
      <c r="B70" s="14"/>
      <c r="C70" s="372">
        <v>19</v>
      </c>
      <c r="D70" s="372"/>
      <c r="E70" s="372"/>
      <c r="F70" s="253" t="s">
        <v>492</v>
      </c>
      <c r="G70" s="253" t="s">
        <v>4</v>
      </c>
      <c r="H70" s="124"/>
      <c r="I70" s="124"/>
      <c r="J70" s="124"/>
      <c r="K70" s="124"/>
      <c r="L70" s="124"/>
      <c r="M70" s="124"/>
      <c r="N70" s="124"/>
      <c r="O70" s="124"/>
      <c r="P70" s="124"/>
      <c r="Q70" s="124"/>
      <c r="R70" s="124"/>
      <c r="S70" s="124"/>
      <c r="T70" s="124"/>
      <c r="U70" s="124"/>
      <c r="V70" s="124"/>
      <c r="W70" s="124"/>
      <c r="X70" s="124"/>
      <c r="Y70" s="124"/>
      <c r="Z70" s="124">
        <f>IF($C70&gt;SLASH!$F$7,0,Y69)</f>
        <v>25</v>
      </c>
      <c r="AA70" s="124">
        <f>IF($C70&gt;SLASH!$F$7,0,Z69)</f>
        <v>1</v>
      </c>
      <c r="AB70" s="124">
        <f>IF($C70&gt;SLASH!$F$7,0,AA69)</f>
        <v>2</v>
      </c>
      <c r="AC70" s="124">
        <f>IF($C70&gt;SLASH!$F$7,0,AB69)</f>
        <v>3</v>
      </c>
      <c r="AD70" s="124">
        <f>IF($C70&gt;SLASH!$F$7,0,AC69)</f>
        <v>4</v>
      </c>
      <c r="AE70" s="124">
        <f>IF($C70&gt;SLASH!$F$7,0,AD69)</f>
        <v>5</v>
      </c>
      <c r="AF70" s="124">
        <f>IF($C70&gt;SLASH!$F$7,0,AE69)</f>
        <v>6</v>
      </c>
      <c r="AG70" s="124">
        <f>IF($C70&gt;SLASH!$F$7,0,AF69)</f>
        <v>7</v>
      </c>
      <c r="AH70" s="124">
        <f>IF($C70&gt;SLASH!$F$7,0,AG69)</f>
        <v>8</v>
      </c>
      <c r="AI70" s="124">
        <f>IF($C70&gt;SLASH!$F$7,0,AH69)</f>
        <v>9</v>
      </c>
      <c r="AJ70" s="124">
        <f>IF($C70&gt;SLASH!$F$7,0,AI69)</f>
        <v>10</v>
      </c>
      <c r="AK70" s="124">
        <f>IF($C70&gt;SLASH!$F$7,0,AJ69)</f>
        <v>11</v>
      </c>
      <c r="AL70" s="124">
        <f>IF($C70&gt;SLASH!$F$7,0,AK69)</f>
        <v>12</v>
      </c>
      <c r="AM70" s="124">
        <f>IF($C70&gt;SLASH!$F$7,0,AL69)</f>
        <v>13</v>
      </c>
      <c r="AN70" s="124">
        <f>IF($C70&gt;SLASH!$F$7,0,AM69)</f>
        <v>14</v>
      </c>
      <c r="AO70" s="124">
        <f>IF($C70&gt;SLASH!$F$7,0,AN69)</f>
        <v>15</v>
      </c>
      <c r="AP70" s="124">
        <f>IF($C70&gt;SLASH!$F$7,0,AO69)</f>
        <v>16</v>
      </c>
      <c r="AQ70" s="124">
        <f>IF($C70&gt;SLASH!$F$7,0,AP69)</f>
        <v>17</v>
      </c>
      <c r="AR70" s="124">
        <f>IF($C70&gt;SLASH!$F$7,0,AQ69)</f>
        <v>18</v>
      </c>
      <c r="AS70" s="124">
        <f>IF($C70&gt;SLASH!$F$7,0,AR69)</f>
        <v>19</v>
      </c>
      <c r="AT70" s="124">
        <f>IF($C70&gt;SLASH!$F$7,0,AS69)</f>
        <v>20</v>
      </c>
      <c r="AU70" s="124">
        <f>IF($C70&gt;SLASH!$F$7,0,AT69)</f>
        <v>21</v>
      </c>
      <c r="AV70" s="124">
        <f>IF($C70&gt;SLASH!$F$7,0,AU69)</f>
        <v>22</v>
      </c>
    </row>
    <row r="71" spans="2:48" ht="12.95" customHeight="1" x14ac:dyDescent="0.2">
      <c r="B71" s="14"/>
      <c r="C71" s="372">
        <v>20</v>
      </c>
      <c r="D71" s="372"/>
      <c r="E71" s="372"/>
      <c r="F71" s="253" t="s">
        <v>492</v>
      </c>
      <c r="G71" s="253" t="s">
        <v>4</v>
      </c>
      <c r="H71" s="124"/>
      <c r="I71" s="124"/>
      <c r="J71" s="124"/>
      <c r="K71" s="124"/>
      <c r="L71" s="124"/>
      <c r="M71" s="124"/>
      <c r="N71" s="124"/>
      <c r="O71" s="124"/>
      <c r="P71" s="124"/>
      <c r="Q71" s="124"/>
      <c r="R71" s="124"/>
      <c r="S71" s="124"/>
      <c r="T71" s="124"/>
      <c r="U71" s="124"/>
      <c r="V71" s="124"/>
      <c r="W71" s="124"/>
      <c r="X71" s="124"/>
      <c r="Y71" s="124"/>
      <c r="Z71" s="124"/>
      <c r="AA71" s="124">
        <f>IF($C71&gt;SLASH!$F$7,0,Z70)</f>
        <v>25</v>
      </c>
      <c r="AB71" s="124">
        <f>IF($C71&gt;SLASH!$F$7,0,AA70)</f>
        <v>1</v>
      </c>
      <c r="AC71" s="124">
        <f>IF($C71&gt;SLASH!$F$7,0,AB70)</f>
        <v>2</v>
      </c>
      <c r="AD71" s="124">
        <f>IF($C71&gt;SLASH!$F$7,0,AC70)</f>
        <v>3</v>
      </c>
      <c r="AE71" s="124">
        <f>IF($C71&gt;SLASH!$F$7,0,AD70)</f>
        <v>4</v>
      </c>
      <c r="AF71" s="124">
        <f>IF($C71&gt;SLASH!$F$7,0,AE70)</f>
        <v>5</v>
      </c>
      <c r="AG71" s="124">
        <f>IF($C71&gt;SLASH!$F$7,0,AF70)</f>
        <v>6</v>
      </c>
      <c r="AH71" s="124">
        <f>IF($C71&gt;SLASH!$F$7,0,AG70)</f>
        <v>7</v>
      </c>
      <c r="AI71" s="124">
        <f>IF($C71&gt;SLASH!$F$7,0,AH70)</f>
        <v>8</v>
      </c>
      <c r="AJ71" s="124">
        <f>IF($C71&gt;SLASH!$F$7,0,AI70)</f>
        <v>9</v>
      </c>
      <c r="AK71" s="124">
        <f>IF($C71&gt;SLASH!$F$7,0,AJ70)</f>
        <v>10</v>
      </c>
      <c r="AL71" s="124">
        <f>IF($C71&gt;SLASH!$F$7,0,AK70)</f>
        <v>11</v>
      </c>
      <c r="AM71" s="124">
        <f>IF($C71&gt;SLASH!$F$7,0,AL70)</f>
        <v>12</v>
      </c>
      <c r="AN71" s="124">
        <f>IF($C71&gt;SLASH!$F$7,0,AM70)</f>
        <v>13</v>
      </c>
      <c r="AO71" s="124">
        <f>IF($C71&gt;SLASH!$F$7,0,AN70)</f>
        <v>14</v>
      </c>
      <c r="AP71" s="124">
        <f>IF($C71&gt;SLASH!$F$7,0,AO70)</f>
        <v>15</v>
      </c>
      <c r="AQ71" s="124">
        <f>IF($C71&gt;SLASH!$F$7,0,AP70)</f>
        <v>16</v>
      </c>
      <c r="AR71" s="124">
        <f>IF($C71&gt;SLASH!$F$7,0,AQ70)</f>
        <v>17</v>
      </c>
      <c r="AS71" s="124">
        <f>IF($C71&gt;SLASH!$F$7,0,AR70)</f>
        <v>18</v>
      </c>
      <c r="AT71" s="124">
        <f>IF($C71&gt;SLASH!$F$7,0,AS70)</f>
        <v>19</v>
      </c>
      <c r="AU71" s="124">
        <f>IF($C71&gt;SLASH!$F$7,0,AT70)</f>
        <v>20</v>
      </c>
      <c r="AV71" s="124">
        <f>IF($C71&gt;SLASH!$F$7,0,AU70)</f>
        <v>21</v>
      </c>
    </row>
    <row r="72" spans="2:48" ht="12.95" customHeight="1" x14ac:dyDescent="0.2">
      <c r="B72" s="14"/>
      <c r="C72" s="372">
        <v>21</v>
      </c>
      <c r="D72" s="372"/>
      <c r="E72" s="372"/>
      <c r="F72" s="253" t="s">
        <v>492</v>
      </c>
      <c r="G72" s="253" t="s">
        <v>4</v>
      </c>
      <c r="H72" s="124"/>
      <c r="I72" s="124"/>
      <c r="J72" s="124"/>
      <c r="K72" s="124"/>
      <c r="L72" s="124"/>
      <c r="M72" s="124"/>
      <c r="N72" s="124"/>
      <c r="O72" s="124"/>
      <c r="P72" s="124"/>
      <c r="Q72" s="124"/>
      <c r="R72" s="124"/>
      <c r="S72" s="124"/>
      <c r="T72" s="124"/>
      <c r="U72" s="124"/>
      <c r="V72" s="124"/>
      <c r="W72" s="124"/>
      <c r="X72" s="124"/>
      <c r="Y72" s="124"/>
      <c r="Z72" s="124"/>
      <c r="AA72" s="124"/>
      <c r="AB72" s="124">
        <f>IF($C72&gt;SLASH!$F$7,0,AA71)</f>
        <v>25</v>
      </c>
      <c r="AC72" s="124">
        <f>IF($C72&gt;SLASH!$F$7,0,AB71)</f>
        <v>1</v>
      </c>
      <c r="AD72" s="124">
        <f>IF($C72&gt;SLASH!$F$7,0,AC71)</f>
        <v>2</v>
      </c>
      <c r="AE72" s="124">
        <f>IF($C72&gt;SLASH!$F$7,0,AD71)</f>
        <v>3</v>
      </c>
      <c r="AF72" s="124">
        <f>IF($C72&gt;SLASH!$F$7,0,AE71)</f>
        <v>4</v>
      </c>
      <c r="AG72" s="124">
        <f>IF($C72&gt;SLASH!$F$7,0,AF71)</f>
        <v>5</v>
      </c>
      <c r="AH72" s="124">
        <f>IF($C72&gt;SLASH!$F$7,0,AG71)</f>
        <v>6</v>
      </c>
      <c r="AI72" s="124">
        <f>IF($C72&gt;SLASH!$F$7,0,AH71)</f>
        <v>7</v>
      </c>
      <c r="AJ72" s="124">
        <f>IF($C72&gt;SLASH!$F$7,0,AI71)</f>
        <v>8</v>
      </c>
      <c r="AK72" s="124">
        <f>IF($C72&gt;SLASH!$F$7,0,AJ71)</f>
        <v>9</v>
      </c>
      <c r="AL72" s="124">
        <f>IF($C72&gt;SLASH!$F$7,0,AK71)</f>
        <v>10</v>
      </c>
      <c r="AM72" s="124">
        <f>IF($C72&gt;SLASH!$F$7,0,AL71)</f>
        <v>11</v>
      </c>
      <c r="AN72" s="124">
        <f>IF($C72&gt;SLASH!$F$7,0,AM71)</f>
        <v>12</v>
      </c>
      <c r="AO72" s="124">
        <f>IF($C72&gt;SLASH!$F$7,0,AN71)</f>
        <v>13</v>
      </c>
      <c r="AP72" s="124">
        <f>IF($C72&gt;SLASH!$F$7,0,AO71)</f>
        <v>14</v>
      </c>
      <c r="AQ72" s="124">
        <f>IF($C72&gt;SLASH!$F$7,0,AP71)</f>
        <v>15</v>
      </c>
      <c r="AR72" s="124">
        <f>IF($C72&gt;SLASH!$F$7,0,AQ71)</f>
        <v>16</v>
      </c>
      <c r="AS72" s="124">
        <f>IF($C72&gt;SLASH!$F$7,0,AR71)</f>
        <v>17</v>
      </c>
      <c r="AT72" s="124">
        <f>IF($C72&gt;SLASH!$F$7,0,AS71)</f>
        <v>18</v>
      </c>
      <c r="AU72" s="124">
        <f>IF($C72&gt;SLASH!$F$7,0,AT71)</f>
        <v>19</v>
      </c>
      <c r="AV72" s="124">
        <f>IF($C72&gt;SLASH!$F$7,0,AU71)</f>
        <v>20</v>
      </c>
    </row>
    <row r="73" spans="2:48" ht="12.95" customHeight="1" x14ac:dyDescent="0.2">
      <c r="B73" s="14"/>
      <c r="C73" s="372">
        <v>22</v>
      </c>
      <c r="D73" s="372"/>
      <c r="E73" s="372"/>
      <c r="F73" s="253" t="s">
        <v>492</v>
      </c>
      <c r="G73" s="253" t="s">
        <v>4</v>
      </c>
      <c r="H73" s="124"/>
      <c r="I73" s="124"/>
      <c r="J73" s="124"/>
      <c r="K73" s="124"/>
      <c r="L73" s="124"/>
      <c r="M73" s="124"/>
      <c r="N73" s="124"/>
      <c r="O73" s="124"/>
      <c r="P73" s="124"/>
      <c r="Q73" s="124"/>
      <c r="R73" s="124"/>
      <c r="S73" s="124"/>
      <c r="T73" s="124"/>
      <c r="U73" s="124"/>
      <c r="V73" s="124"/>
      <c r="W73" s="124"/>
      <c r="X73" s="124"/>
      <c r="Y73" s="124"/>
      <c r="Z73" s="124"/>
      <c r="AA73" s="124"/>
      <c r="AB73" s="124"/>
      <c r="AC73" s="124">
        <f>IF($C73&gt;SLASH!$F$7,0,AB72)</f>
        <v>25</v>
      </c>
      <c r="AD73" s="124">
        <f>IF($C73&gt;SLASH!$F$7,0,AC72)</f>
        <v>1</v>
      </c>
      <c r="AE73" s="124">
        <f>IF($C73&gt;SLASH!$F$7,0,AD72)</f>
        <v>2</v>
      </c>
      <c r="AF73" s="124">
        <f>IF($C73&gt;SLASH!$F$7,0,AE72)</f>
        <v>3</v>
      </c>
      <c r="AG73" s="124">
        <f>IF($C73&gt;SLASH!$F$7,0,AF72)</f>
        <v>4</v>
      </c>
      <c r="AH73" s="124">
        <f>IF($C73&gt;SLASH!$F$7,0,AG72)</f>
        <v>5</v>
      </c>
      <c r="AI73" s="124">
        <f>IF($C73&gt;SLASH!$F$7,0,AH72)</f>
        <v>6</v>
      </c>
      <c r="AJ73" s="124">
        <f>IF($C73&gt;SLASH!$F$7,0,AI72)</f>
        <v>7</v>
      </c>
      <c r="AK73" s="124">
        <f>IF($C73&gt;SLASH!$F$7,0,AJ72)</f>
        <v>8</v>
      </c>
      <c r="AL73" s="124">
        <f>IF($C73&gt;SLASH!$F$7,0,AK72)</f>
        <v>9</v>
      </c>
      <c r="AM73" s="124">
        <f>IF($C73&gt;SLASH!$F$7,0,AL72)</f>
        <v>10</v>
      </c>
      <c r="AN73" s="124">
        <f>IF($C73&gt;SLASH!$F$7,0,AM72)</f>
        <v>11</v>
      </c>
      <c r="AO73" s="124">
        <f>IF($C73&gt;SLASH!$F$7,0,AN72)</f>
        <v>12</v>
      </c>
      <c r="AP73" s="124">
        <f>IF($C73&gt;SLASH!$F$7,0,AO72)</f>
        <v>13</v>
      </c>
      <c r="AQ73" s="124">
        <f>IF($C73&gt;SLASH!$F$7,0,AP72)</f>
        <v>14</v>
      </c>
      <c r="AR73" s="124">
        <f>IF($C73&gt;SLASH!$F$7,0,AQ72)</f>
        <v>15</v>
      </c>
      <c r="AS73" s="124">
        <f>IF($C73&gt;SLASH!$F$7,0,AR72)</f>
        <v>16</v>
      </c>
      <c r="AT73" s="124">
        <f>IF($C73&gt;SLASH!$F$7,0,AS72)</f>
        <v>17</v>
      </c>
      <c r="AU73" s="124">
        <f>IF($C73&gt;SLASH!$F$7,0,AT72)</f>
        <v>18</v>
      </c>
      <c r="AV73" s="124">
        <f>IF($C73&gt;SLASH!$F$7,0,AU72)</f>
        <v>19</v>
      </c>
    </row>
    <row r="74" spans="2:48" ht="12.95" customHeight="1" x14ac:dyDescent="0.2">
      <c r="B74" s="14"/>
      <c r="C74" s="372">
        <v>23</v>
      </c>
      <c r="D74" s="372"/>
      <c r="E74" s="372"/>
      <c r="F74" s="253" t="s">
        <v>492</v>
      </c>
      <c r="G74" s="253" t="s">
        <v>4</v>
      </c>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f>IF($C74&gt;SLASH!$F$7,0,AC73)</f>
        <v>25</v>
      </c>
      <c r="AE74" s="124">
        <f>IF($C74&gt;SLASH!$F$7,0,AD73)</f>
        <v>1</v>
      </c>
      <c r="AF74" s="124">
        <f>IF($C74&gt;SLASH!$F$7,0,AE73)</f>
        <v>2</v>
      </c>
      <c r="AG74" s="124">
        <f>IF($C74&gt;SLASH!$F$7,0,AF73)</f>
        <v>3</v>
      </c>
      <c r="AH74" s="124">
        <f>IF($C74&gt;SLASH!$F$7,0,AG73)</f>
        <v>4</v>
      </c>
      <c r="AI74" s="124">
        <f>IF($C74&gt;SLASH!$F$7,0,AH73)</f>
        <v>5</v>
      </c>
      <c r="AJ74" s="124">
        <f>IF($C74&gt;SLASH!$F$7,0,AI73)</f>
        <v>6</v>
      </c>
      <c r="AK74" s="124">
        <f>IF($C74&gt;SLASH!$F$7,0,AJ73)</f>
        <v>7</v>
      </c>
      <c r="AL74" s="124">
        <f>IF($C74&gt;SLASH!$F$7,0,AK73)</f>
        <v>8</v>
      </c>
      <c r="AM74" s="124">
        <f>IF($C74&gt;SLASH!$F$7,0,AL73)</f>
        <v>9</v>
      </c>
      <c r="AN74" s="124">
        <f>IF($C74&gt;SLASH!$F$7,0,AM73)</f>
        <v>10</v>
      </c>
      <c r="AO74" s="124">
        <f>IF($C74&gt;SLASH!$F$7,0,AN73)</f>
        <v>11</v>
      </c>
      <c r="AP74" s="124">
        <f>IF($C74&gt;SLASH!$F$7,0,AO73)</f>
        <v>12</v>
      </c>
      <c r="AQ74" s="124">
        <f>IF($C74&gt;SLASH!$F$7,0,AP73)</f>
        <v>13</v>
      </c>
      <c r="AR74" s="124">
        <f>IF($C74&gt;SLASH!$F$7,0,AQ73)</f>
        <v>14</v>
      </c>
      <c r="AS74" s="124">
        <f>IF($C74&gt;SLASH!$F$7,0,AR73)</f>
        <v>15</v>
      </c>
      <c r="AT74" s="124">
        <f>IF($C74&gt;SLASH!$F$7,0,AS73)</f>
        <v>16</v>
      </c>
      <c r="AU74" s="124">
        <f>IF($C74&gt;SLASH!$F$7,0,AT73)</f>
        <v>17</v>
      </c>
      <c r="AV74" s="124">
        <f>IF($C74&gt;SLASH!$F$7,0,AU73)</f>
        <v>18</v>
      </c>
    </row>
    <row r="75" spans="2:48" ht="12.95" customHeight="1" x14ac:dyDescent="0.2">
      <c r="B75" s="14"/>
      <c r="C75" s="372">
        <v>24</v>
      </c>
      <c r="D75" s="372"/>
      <c r="E75" s="372"/>
      <c r="F75" s="253" t="s">
        <v>492</v>
      </c>
      <c r="G75" s="253" t="s">
        <v>4</v>
      </c>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f>IF($C75&gt;SLASH!$F$7,0,AD74)</f>
        <v>25</v>
      </c>
      <c r="AF75" s="124">
        <f>IF($C75&gt;SLASH!$F$7,0,AE74)</f>
        <v>1</v>
      </c>
      <c r="AG75" s="124">
        <f>IF($C75&gt;SLASH!$F$7,0,AF74)</f>
        <v>2</v>
      </c>
      <c r="AH75" s="124">
        <f>IF($C75&gt;SLASH!$F$7,0,AG74)</f>
        <v>3</v>
      </c>
      <c r="AI75" s="124">
        <f>IF($C75&gt;SLASH!$F$7,0,AH74)</f>
        <v>4</v>
      </c>
      <c r="AJ75" s="124">
        <f>IF($C75&gt;SLASH!$F$7,0,AI74)</f>
        <v>5</v>
      </c>
      <c r="AK75" s="124">
        <f>IF($C75&gt;SLASH!$F$7,0,AJ74)</f>
        <v>6</v>
      </c>
      <c r="AL75" s="124">
        <f>IF($C75&gt;SLASH!$F$7,0,AK74)</f>
        <v>7</v>
      </c>
      <c r="AM75" s="124">
        <f>IF($C75&gt;SLASH!$F$7,0,AL74)</f>
        <v>8</v>
      </c>
      <c r="AN75" s="124">
        <f>IF($C75&gt;SLASH!$F$7,0,AM74)</f>
        <v>9</v>
      </c>
      <c r="AO75" s="124">
        <f>IF($C75&gt;SLASH!$F$7,0,AN74)</f>
        <v>10</v>
      </c>
      <c r="AP75" s="124">
        <f>IF($C75&gt;SLASH!$F$7,0,AO74)</f>
        <v>11</v>
      </c>
      <c r="AQ75" s="124">
        <f>IF($C75&gt;SLASH!$F$7,0,AP74)</f>
        <v>12</v>
      </c>
      <c r="AR75" s="124">
        <f>IF($C75&gt;SLASH!$F$7,0,AQ74)</f>
        <v>13</v>
      </c>
      <c r="AS75" s="124">
        <f>IF($C75&gt;SLASH!$F$7,0,AR74)</f>
        <v>14</v>
      </c>
      <c r="AT75" s="124">
        <f>IF($C75&gt;SLASH!$F$7,0,AS74)</f>
        <v>15</v>
      </c>
      <c r="AU75" s="124">
        <f>IF($C75&gt;SLASH!$F$7,0,AT74)</f>
        <v>16</v>
      </c>
      <c r="AV75" s="124">
        <f>IF($C75&gt;SLASH!$F$7,0,AU74)</f>
        <v>17</v>
      </c>
    </row>
    <row r="76" spans="2:48" ht="12.95" customHeight="1" x14ac:dyDescent="0.2">
      <c r="B76" s="14"/>
      <c r="C76" s="372">
        <v>25</v>
      </c>
      <c r="D76" s="372"/>
      <c r="E76" s="372"/>
      <c r="F76" s="253" t="s">
        <v>492</v>
      </c>
      <c r="G76" s="253" t="s">
        <v>4</v>
      </c>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f>IF($C76&gt;SLASH!$F$7,0,AE75)</f>
        <v>25</v>
      </c>
      <c r="AG76" s="124">
        <f>IF($C76&gt;SLASH!$F$7,0,AF75)</f>
        <v>1</v>
      </c>
      <c r="AH76" s="124">
        <f>IF($C76&gt;SLASH!$F$7,0,AG75)</f>
        <v>2</v>
      </c>
      <c r="AI76" s="124">
        <f>IF($C76&gt;SLASH!$F$7,0,AH75)</f>
        <v>3</v>
      </c>
      <c r="AJ76" s="124">
        <f>IF($C76&gt;SLASH!$F$7,0,AI75)</f>
        <v>4</v>
      </c>
      <c r="AK76" s="124">
        <f>IF($C76&gt;SLASH!$F$7,0,AJ75)</f>
        <v>5</v>
      </c>
      <c r="AL76" s="124">
        <f>IF($C76&gt;SLASH!$F$7,0,AK75)</f>
        <v>6</v>
      </c>
      <c r="AM76" s="124">
        <f>IF($C76&gt;SLASH!$F$7,0,AL75)</f>
        <v>7</v>
      </c>
      <c r="AN76" s="124">
        <f>IF($C76&gt;SLASH!$F$7,0,AM75)</f>
        <v>8</v>
      </c>
      <c r="AO76" s="124">
        <f>IF($C76&gt;SLASH!$F$7,0,AN75)</f>
        <v>9</v>
      </c>
      <c r="AP76" s="124">
        <f>IF($C76&gt;SLASH!$F$7,0,AO75)</f>
        <v>10</v>
      </c>
      <c r="AQ76" s="124">
        <f>IF($C76&gt;SLASH!$F$7,0,AP75)</f>
        <v>11</v>
      </c>
      <c r="AR76" s="124">
        <f>IF($C76&gt;SLASH!$F$7,0,AQ75)</f>
        <v>12</v>
      </c>
      <c r="AS76" s="124">
        <f>IF($C76&gt;SLASH!$F$7,0,AR75)</f>
        <v>13</v>
      </c>
      <c r="AT76" s="124">
        <f>IF($C76&gt;SLASH!$F$7,0,AS75)</f>
        <v>14</v>
      </c>
      <c r="AU76" s="124">
        <f>IF($C76&gt;SLASH!$F$7,0,AT75)</f>
        <v>15</v>
      </c>
      <c r="AV76" s="124">
        <f>IF($C76&gt;SLASH!$F$7,0,AU75)</f>
        <v>16</v>
      </c>
    </row>
    <row r="77" spans="2:48" ht="12.95" customHeight="1" x14ac:dyDescent="0.2">
      <c r="B77" s="14"/>
      <c r="C77" s="372">
        <v>26</v>
      </c>
      <c r="D77" s="372"/>
      <c r="E77" s="372"/>
      <c r="F77" s="253" t="s">
        <v>492</v>
      </c>
      <c r="G77" s="253" t="s">
        <v>4</v>
      </c>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f>IF($C77&gt;SLASH!$F$7,0,AF76)</f>
        <v>0</v>
      </c>
      <c r="AH77" s="124">
        <f>IF($C77&gt;SLASH!$F$7,0,AG76)</f>
        <v>0</v>
      </c>
      <c r="AI77" s="124">
        <f>IF($C77&gt;SLASH!$F$7,0,AH76)</f>
        <v>0</v>
      </c>
      <c r="AJ77" s="124">
        <f>IF($C77&gt;SLASH!$F$7,0,AI76)</f>
        <v>0</v>
      </c>
      <c r="AK77" s="124">
        <f>IF($C77&gt;SLASH!$F$7,0,AJ76)</f>
        <v>0</v>
      </c>
      <c r="AL77" s="124">
        <f>IF($C77&gt;SLASH!$F$7,0,AK76)</f>
        <v>0</v>
      </c>
      <c r="AM77" s="124">
        <f>IF($C77&gt;SLASH!$F$7,0,AL76)</f>
        <v>0</v>
      </c>
      <c r="AN77" s="124">
        <f>IF($C77&gt;SLASH!$F$7,0,AM76)</f>
        <v>0</v>
      </c>
      <c r="AO77" s="124">
        <f>IF($C77&gt;SLASH!$F$7,0,AN76)</f>
        <v>0</v>
      </c>
      <c r="AP77" s="124">
        <f>IF($C77&gt;SLASH!$F$7,0,AO76)</f>
        <v>0</v>
      </c>
      <c r="AQ77" s="124">
        <f>IF($C77&gt;SLASH!$F$7,0,AP76)</f>
        <v>0</v>
      </c>
      <c r="AR77" s="124">
        <f>IF($C77&gt;SLASH!$F$7,0,AQ76)</f>
        <v>0</v>
      </c>
      <c r="AS77" s="124">
        <f>IF($C77&gt;SLASH!$F$7,0,AR76)</f>
        <v>0</v>
      </c>
      <c r="AT77" s="124">
        <f>IF($C77&gt;SLASH!$F$7,0,AS76)</f>
        <v>0</v>
      </c>
      <c r="AU77" s="124">
        <f>IF($C77&gt;SLASH!$F$7,0,AT76)</f>
        <v>0</v>
      </c>
      <c r="AV77" s="124">
        <f>IF($C77&gt;SLASH!$F$7,0,AU76)</f>
        <v>0</v>
      </c>
    </row>
    <row r="78" spans="2:48" ht="12.95" customHeight="1" x14ac:dyDescent="0.2">
      <c r="B78" s="14"/>
      <c r="C78" s="372">
        <v>27</v>
      </c>
      <c r="D78" s="372"/>
      <c r="E78" s="372"/>
      <c r="F78" s="253" t="s">
        <v>492</v>
      </c>
      <c r="G78" s="253" t="s">
        <v>4</v>
      </c>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f>IF($C78&gt;SLASH!$F$7,0,AG77)</f>
        <v>0</v>
      </c>
      <c r="AI78" s="124">
        <f>IF($C78&gt;SLASH!$F$7,0,AH77)</f>
        <v>0</v>
      </c>
      <c r="AJ78" s="124">
        <f>IF($C78&gt;SLASH!$F$7,0,AI77)</f>
        <v>0</v>
      </c>
      <c r="AK78" s="124">
        <f>IF($C78&gt;SLASH!$F$7,0,AJ77)</f>
        <v>0</v>
      </c>
      <c r="AL78" s="124">
        <f>IF($C78&gt;SLASH!$F$7,0,AK77)</f>
        <v>0</v>
      </c>
      <c r="AM78" s="124">
        <f>IF($C78&gt;SLASH!$F$7,0,AL77)</f>
        <v>0</v>
      </c>
      <c r="AN78" s="124">
        <f>IF($C78&gt;SLASH!$F$7,0,AM77)</f>
        <v>0</v>
      </c>
      <c r="AO78" s="124">
        <f>IF($C78&gt;SLASH!$F$7,0,AN77)</f>
        <v>0</v>
      </c>
      <c r="AP78" s="124">
        <f>IF($C78&gt;SLASH!$F$7,0,AO77)</f>
        <v>0</v>
      </c>
      <c r="AQ78" s="124">
        <f>IF($C78&gt;SLASH!$F$7,0,AP77)</f>
        <v>0</v>
      </c>
      <c r="AR78" s="124">
        <f>IF($C78&gt;SLASH!$F$7,0,AQ77)</f>
        <v>0</v>
      </c>
      <c r="AS78" s="124">
        <f>IF($C78&gt;SLASH!$F$7,0,AR77)</f>
        <v>0</v>
      </c>
      <c r="AT78" s="124">
        <f>IF($C78&gt;SLASH!$F$7,0,AS77)</f>
        <v>0</v>
      </c>
      <c r="AU78" s="124">
        <f>IF($C78&gt;SLASH!$F$7,0,AT77)</f>
        <v>0</v>
      </c>
      <c r="AV78" s="124">
        <f>IF($C78&gt;SLASH!$F$7,0,AU77)</f>
        <v>0</v>
      </c>
    </row>
    <row r="79" spans="2:48" ht="12.95" customHeight="1" x14ac:dyDescent="0.2">
      <c r="B79" s="14"/>
      <c r="C79" s="372">
        <v>28</v>
      </c>
      <c r="D79" s="372"/>
      <c r="E79" s="372"/>
      <c r="F79" s="253" t="s">
        <v>492</v>
      </c>
      <c r="G79" s="253" t="s">
        <v>4</v>
      </c>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f>IF($C79&gt;SLASH!$F$7,0,AH78)</f>
        <v>0</v>
      </c>
      <c r="AJ79" s="124">
        <f>IF($C79&gt;SLASH!$F$7,0,AI78)</f>
        <v>0</v>
      </c>
      <c r="AK79" s="124">
        <f>IF($C79&gt;SLASH!$F$7,0,AJ78)</f>
        <v>0</v>
      </c>
      <c r="AL79" s="124">
        <f>IF($C79&gt;SLASH!$F$7,0,AK78)</f>
        <v>0</v>
      </c>
      <c r="AM79" s="124">
        <f>IF($C79&gt;SLASH!$F$7,0,AL78)</f>
        <v>0</v>
      </c>
      <c r="AN79" s="124">
        <f>IF($C79&gt;SLASH!$F$7,0,AM78)</f>
        <v>0</v>
      </c>
      <c r="AO79" s="124">
        <f>IF($C79&gt;SLASH!$F$7,0,AN78)</f>
        <v>0</v>
      </c>
      <c r="AP79" s="124">
        <f>IF($C79&gt;SLASH!$F$7,0,AO78)</f>
        <v>0</v>
      </c>
      <c r="AQ79" s="124">
        <f>IF($C79&gt;SLASH!$F$7,0,AP78)</f>
        <v>0</v>
      </c>
      <c r="AR79" s="124">
        <f>IF($C79&gt;SLASH!$F$7,0,AQ78)</f>
        <v>0</v>
      </c>
      <c r="AS79" s="124">
        <f>IF($C79&gt;SLASH!$F$7,0,AR78)</f>
        <v>0</v>
      </c>
      <c r="AT79" s="124">
        <f>IF($C79&gt;SLASH!$F$7,0,AS78)</f>
        <v>0</v>
      </c>
      <c r="AU79" s="124">
        <f>IF($C79&gt;SLASH!$F$7,0,AT78)</f>
        <v>0</v>
      </c>
      <c r="AV79" s="124">
        <f>IF($C79&gt;SLASH!$F$7,0,AU78)</f>
        <v>0</v>
      </c>
    </row>
    <row r="80" spans="2:48" ht="12.95" customHeight="1" x14ac:dyDescent="0.2">
      <c r="B80" s="14"/>
      <c r="C80" s="372">
        <v>29</v>
      </c>
      <c r="D80" s="372"/>
      <c r="E80" s="372"/>
      <c r="F80" s="253" t="s">
        <v>492</v>
      </c>
      <c r="G80" s="253" t="s">
        <v>4</v>
      </c>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f>IF($C80&gt;SLASH!$F$7,0,AI79)</f>
        <v>0</v>
      </c>
      <c r="AK80" s="124">
        <f>IF($C80&gt;SLASH!$F$7,0,AJ79)</f>
        <v>0</v>
      </c>
      <c r="AL80" s="124">
        <f>IF($C80&gt;SLASH!$F$7,0,AK79)</f>
        <v>0</v>
      </c>
      <c r="AM80" s="124">
        <f>IF($C80&gt;SLASH!$F$7,0,AL79)</f>
        <v>0</v>
      </c>
      <c r="AN80" s="124">
        <f>IF($C80&gt;SLASH!$F$7,0,AM79)</f>
        <v>0</v>
      </c>
      <c r="AO80" s="124">
        <f>IF($C80&gt;SLASH!$F$7,0,AN79)</f>
        <v>0</v>
      </c>
      <c r="AP80" s="124">
        <f>IF($C80&gt;SLASH!$F$7,0,AO79)</f>
        <v>0</v>
      </c>
      <c r="AQ80" s="124">
        <f>IF($C80&gt;SLASH!$F$7,0,AP79)</f>
        <v>0</v>
      </c>
      <c r="AR80" s="124">
        <f>IF($C80&gt;SLASH!$F$7,0,AQ79)</f>
        <v>0</v>
      </c>
      <c r="AS80" s="124">
        <f>IF($C80&gt;SLASH!$F$7,0,AR79)</f>
        <v>0</v>
      </c>
      <c r="AT80" s="124">
        <f>IF($C80&gt;SLASH!$F$7,0,AS79)</f>
        <v>0</v>
      </c>
      <c r="AU80" s="124">
        <f>IF($C80&gt;SLASH!$F$7,0,AT79)</f>
        <v>0</v>
      </c>
      <c r="AV80" s="124">
        <f>IF($C80&gt;SLASH!$F$7,0,AU79)</f>
        <v>0</v>
      </c>
    </row>
    <row r="81" spans="2:48" ht="12.95" customHeight="1" x14ac:dyDescent="0.2">
      <c r="B81" s="14"/>
      <c r="C81" s="372">
        <v>30</v>
      </c>
      <c r="D81" s="372"/>
      <c r="E81" s="372"/>
      <c r="F81" s="253" t="s">
        <v>492</v>
      </c>
      <c r="G81" s="253" t="s">
        <v>4</v>
      </c>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f>IF($C81&gt;SLASH!$F$7,0,AJ80)</f>
        <v>0</v>
      </c>
      <c r="AL81" s="124">
        <f>IF($C81&gt;SLASH!$F$7,0,AK80)</f>
        <v>0</v>
      </c>
      <c r="AM81" s="124">
        <f>IF($C81&gt;SLASH!$F$7,0,AL80)</f>
        <v>0</v>
      </c>
      <c r="AN81" s="124">
        <f>IF($C81&gt;SLASH!$F$7,0,AM80)</f>
        <v>0</v>
      </c>
      <c r="AO81" s="124">
        <f>IF($C81&gt;SLASH!$F$7,0,AN80)</f>
        <v>0</v>
      </c>
      <c r="AP81" s="124">
        <f>IF($C81&gt;SLASH!$F$7,0,AO80)</f>
        <v>0</v>
      </c>
      <c r="AQ81" s="124">
        <f>IF($C81&gt;SLASH!$F$7,0,AP80)</f>
        <v>0</v>
      </c>
      <c r="AR81" s="124">
        <f>IF($C81&gt;SLASH!$F$7,0,AQ80)</f>
        <v>0</v>
      </c>
      <c r="AS81" s="124">
        <f>IF($C81&gt;SLASH!$F$7,0,AR80)</f>
        <v>0</v>
      </c>
      <c r="AT81" s="124">
        <f>IF($C81&gt;SLASH!$F$7,0,AS80)</f>
        <v>0</v>
      </c>
      <c r="AU81" s="124">
        <f>IF($C81&gt;SLASH!$F$7,0,AT80)</f>
        <v>0</v>
      </c>
      <c r="AV81" s="124">
        <f>IF($C81&gt;SLASH!$F$7,0,AU80)</f>
        <v>0</v>
      </c>
    </row>
    <row r="82" spans="2:48" ht="12.95" customHeight="1" x14ac:dyDescent="0.2">
      <c r="B82" s="14"/>
      <c r="C82" s="372">
        <v>31</v>
      </c>
      <c r="D82" s="372"/>
      <c r="E82" s="372"/>
      <c r="F82" s="253" t="s">
        <v>492</v>
      </c>
      <c r="G82" s="253" t="s">
        <v>4</v>
      </c>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f>IF($C82&gt;SLASH!$F$7,0,AK81)</f>
        <v>0</v>
      </c>
      <c r="AM82" s="124">
        <f>IF($C82&gt;SLASH!$F$7,0,AL81)</f>
        <v>0</v>
      </c>
      <c r="AN82" s="124">
        <f>IF($C82&gt;SLASH!$F$7,0,AM81)</f>
        <v>0</v>
      </c>
      <c r="AO82" s="124">
        <f>IF($C82&gt;SLASH!$F$7,0,AN81)</f>
        <v>0</v>
      </c>
      <c r="AP82" s="124">
        <f>IF($C82&gt;SLASH!$F$7,0,AO81)</f>
        <v>0</v>
      </c>
      <c r="AQ82" s="124">
        <f>IF($C82&gt;SLASH!$F$7,0,AP81)</f>
        <v>0</v>
      </c>
      <c r="AR82" s="124">
        <f>IF($C82&gt;SLASH!$F$7,0,AQ81)</f>
        <v>0</v>
      </c>
      <c r="AS82" s="124">
        <f>IF($C82&gt;SLASH!$F$7,0,AR81)</f>
        <v>0</v>
      </c>
      <c r="AT82" s="124">
        <f>IF($C82&gt;SLASH!$F$7,0,AS81)</f>
        <v>0</v>
      </c>
      <c r="AU82" s="124">
        <f>IF($C82&gt;SLASH!$F$7,0,AT81)</f>
        <v>0</v>
      </c>
      <c r="AV82" s="124">
        <f>IF($C82&gt;SLASH!$F$7,0,AU81)</f>
        <v>0</v>
      </c>
    </row>
    <row r="83" spans="2:48" ht="12.95" customHeight="1" x14ac:dyDescent="0.2">
      <c r="B83" s="14"/>
      <c r="C83" s="372">
        <v>32</v>
      </c>
      <c r="D83" s="372"/>
      <c r="E83" s="372"/>
      <c r="F83" s="253" t="s">
        <v>492</v>
      </c>
      <c r="G83" s="253" t="s">
        <v>4</v>
      </c>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f>IF($C83&gt;SLASH!$F$7,0,AL82)</f>
        <v>0</v>
      </c>
      <c r="AN83" s="124">
        <f>IF($C83&gt;SLASH!$F$7,0,AM82)</f>
        <v>0</v>
      </c>
      <c r="AO83" s="124">
        <f>IF($C83&gt;SLASH!$F$7,0,AN82)</f>
        <v>0</v>
      </c>
      <c r="AP83" s="124">
        <f>IF($C83&gt;SLASH!$F$7,0,AO82)</f>
        <v>0</v>
      </c>
      <c r="AQ83" s="124">
        <f>IF($C83&gt;SLASH!$F$7,0,AP82)</f>
        <v>0</v>
      </c>
      <c r="AR83" s="124">
        <f>IF($C83&gt;SLASH!$F$7,0,AQ82)</f>
        <v>0</v>
      </c>
      <c r="AS83" s="124">
        <f>IF($C83&gt;SLASH!$F$7,0,AR82)</f>
        <v>0</v>
      </c>
      <c r="AT83" s="124">
        <f>IF($C83&gt;SLASH!$F$7,0,AS82)</f>
        <v>0</v>
      </c>
      <c r="AU83" s="124">
        <f>IF($C83&gt;SLASH!$F$7,0,AT82)</f>
        <v>0</v>
      </c>
      <c r="AV83" s="124">
        <f>IF($C83&gt;SLASH!$F$7,0,AU82)</f>
        <v>0</v>
      </c>
    </row>
    <row r="84" spans="2:48" ht="12.95" customHeight="1" x14ac:dyDescent="0.2">
      <c r="B84" s="14"/>
      <c r="C84" s="372">
        <v>33</v>
      </c>
      <c r="D84" s="372"/>
      <c r="E84" s="372"/>
      <c r="F84" s="253" t="s">
        <v>492</v>
      </c>
      <c r="G84" s="253" t="s">
        <v>4</v>
      </c>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f>IF($C84&gt;SLASH!$F$7,0,AM83)</f>
        <v>0</v>
      </c>
      <c r="AO84" s="124">
        <f>IF($C84&gt;SLASH!$F$7,0,AN83)</f>
        <v>0</v>
      </c>
      <c r="AP84" s="124">
        <f>IF($C84&gt;SLASH!$F$7,0,AO83)</f>
        <v>0</v>
      </c>
      <c r="AQ84" s="124">
        <f>IF($C84&gt;SLASH!$F$7,0,AP83)</f>
        <v>0</v>
      </c>
      <c r="AR84" s="124">
        <f>IF($C84&gt;SLASH!$F$7,0,AQ83)</f>
        <v>0</v>
      </c>
      <c r="AS84" s="124">
        <f>IF($C84&gt;SLASH!$F$7,0,AR83)</f>
        <v>0</v>
      </c>
      <c r="AT84" s="124">
        <f>IF($C84&gt;SLASH!$F$7,0,AS83)</f>
        <v>0</v>
      </c>
      <c r="AU84" s="124">
        <f>IF($C84&gt;SLASH!$F$7,0,AT83)</f>
        <v>0</v>
      </c>
      <c r="AV84" s="124">
        <f>IF($C84&gt;SLASH!$F$7,0,AU83)</f>
        <v>0</v>
      </c>
    </row>
    <row r="85" spans="2:48" ht="12.95" customHeight="1" x14ac:dyDescent="0.2">
      <c r="B85" s="14"/>
      <c r="C85" s="372">
        <v>34</v>
      </c>
      <c r="D85" s="372"/>
      <c r="E85" s="372"/>
      <c r="F85" s="253" t="s">
        <v>492</v>
      </c>
      <c r="G85" s="253" t="s">
        <v>4</v>
      </c>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f>IF($C85&gt;SLASH!$F$7,0,AN84)</f>
        <v>0</v>
      </c>
      <c r="AP85" s="124">
        <f>IF($C85&gt;SLASH!$F$7,0,AO84)</f>
        <v>0</v>
      </c>
      <c r="AQ85" s="124">
        <f>IF($C85&gt;SLASH!$F$7,0,AP84)</f>
        <v>0</v>
      </c>
      <c r="AR85" s="124">
        <f>IF($C85&gt;SLASH!$F$7,0,AQ84)</f>
        <v>0</v>
      </c>
      <c r="AS85" s="124">
        <f>IF($C85&gt;SLASH!$F$7,0,AR84)</f>
        <v>0</v>
      </c>
      <c r="AT85" s="124">
        <f>IF($C85&gt;SLASH!$F$7,0,AS84)</f>
        <v>0</v>
      </c>
      <c r="AU85" s="124">
        <f>IF($C85&gt;SLASH!$F$7,0,AT84)</f>
        <v>0</v>
      </c>
      <c r="AV85" s="124">
        <f>IF($C85&gt;SLASH!$F$7,0,AU84)</f>
        <v>0</v>
      </c>
    </row>
    <row r="86" spans="2:48" ht="12.95" customHeight="1" x14ac:dyDescent="0.2">
      <c r="B86" s="14"/>
      <c r="C86" s="372">
        <v>35</v>
      </c>
      <c r="D86" s="372"/>
      <c r="E86" s="372"/>
      <c r="F86" s="253" t="s">
        <v>492</v>
      </c>
      <c r="G86" s="253" t="s">
        <v>4</v>
      </c>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f>IF($C86&gt;SLASH!$F$7,0,AO85)</f>
        <v>0</v>
      </c>
      <c r="AQ86" s="124">
        <f>IF($C86&gt;SLASH!$F$7,0,AP85)</f>
        <v>0</v>
      </c>
      <c r="AR86" s="124">
        <f>IF($C86&gt;SLASH!$F$7,0,AQ85)</f>
        <v>0</v>
      </c>
      <c r="AS86" s="124">
        <f>IF($C86&gt;SLASH!$F$7,0,AR85)</f>
        <v>0</v>
      </c>
      <c r="AT86" s="124">
        <f>IF($C86&gt;SLASH!$F$7,0,AS85)</f>
        <v>0</v>
      </c>
      <c r="AU86" s="124">
        <f>IF($C86&gt;SLASH!$F$7,0,AT85)</f>
        <v>0</v>
      </c>
      <c r="AV86" s="124">
        <f>IF($C86&gt;SLASH!$F$7,0,AU85)</f>
        <v>0</v>
      </c>
    </row>
    <row r="87" spans="2:48" ht="12.95" customHeight="1" x14ac:dyDescent="0.2">
      <c r="B87" s="14"/>
      <c r="C87" s="372">
        <v>36</v>
      </c>
      <c r="D87" s="372"/>
      <c r="E87" s="372"/>
      <c r="F87" s="253" t="s">
        <v>492</v>
      </c>
      <c r="G87" s="253" t="s">
        <v>4</v>
      </c>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f>IF($C87&gt;SLASH!$F$7,0,AP86)</f>
        <v>0</v>
      </c>
      <c r="AR87" s="124">
        <f>IF($C87&gt;SLASH!$F$7,0,AQ86)</f>
        <v>0</v>
      </c>
      <c r="AS87" s="124">
        <f>IF($C87&gt;SLASH!$F$7,0,AR86)</f>
        <v>0</v>
      </c>
      <c r="AT87" s="124">
        <f>IF($C87&gt;SLASH!$F$7,0,AS86)</f>
        <v>0</v>
      </c>
      <c r="AU87" s="124">
        <f>IF($C87&gt;SLASH!$F$7,0,AT86)</f>
        <v>0</v>
      </c>
      <c r="AV87" s="124">
        <f>IF($C87&gt;SLASH!$F$7,0,AU86)</f>
        <v>0</v>
      </c>
    </row>
    <row r="88" spans="2:48" ht="12.95" customHeight="1" x14ac:dyDescent="0.2">
      <c r="B88" s="14"/>
      <c r="C88" s="372">
        <v>37</v>
      </c>
      <c r="D88" s="372"/>
      <c r="E88" s="372"/>
      <c r="F88" s="253" t="s">
        <v>492</v>
      </c>
      <c r="G88" s="253" t="s">
        <v>4</v>
      </c>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f>IF($C88&gt;SLASH!$F$7,0,AQ87)</f>
        <v>0</v>
      </c>
      <c r="AS88" s="124">
        <f>IF($C88&gt;SLASH!$F$7,0,AR87)</f>
        <v>0</v>
      </c>
      <c r="AT88" s="124">
        <f>IF($C88&gt;SLASH!$F$7,0,AS87)</f>
        <v>0</v>
      </c>
      <c r="AU88" s="124">
        <f>IF($C88&gt;SLASH!$F$7,0,AT87)</f>
        <v>0</v>
      </c>
      <c r="AV88" s="124">
        <f>IF($C88&gt;SLASH!$F$7,0,AU87)</f>
        <v>0</v>
      </c>
    </row>
    <row r="89" spans="2:48" ht="12.95" customHeight="1" x14ac:dyDescent="0.2">
      <c r="B89" s="14"/>
      <c r="C89" s="372">
        <v>38</v>
      </c>
      <c r="D89" s="372"/>
      <c r="E89" s="372"/>
      <c r="F89" s="253" t="s">
        <v>492</v>
      </c>
      <c r="G89" s="253" t="s">
        <v>4</v>
      </c>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f>IF($C89&gt;SLASH!$F$7,0,AR88)</f>
        <v>0</v>
      </c>
      <c r="AT89" s="124">
        <f>IF($C89&gt;SLASH!$F$7,0,AS88)</f>
        <v>0</v>
      </c>
      <c r="AU89" s="124">
        <f>IF($C89&gt;SLASH!$F$7,0,AT88)</f>
        <v>0</v>
      </c>
      <c r="AV89" s="124">
        <f>IF($C89&gt;SLASH!$F$7,0,AU88)</f>
        <v>0</v>
      </c>
    </row>
    <row r="90" spans="2:48" ht="12.95" customHeight="1" x14ac:dyDescent="0.2">
      <c r="B90" s="14"/>
      <c r="C90" s="372">
        <v>39</v>
      </c>
      <c r="D90" s="372"/>
      <c r="E90" s="372"/>
      <c r="F90" s="253" t="s">
        <v>492</v>
      </c>
      <c r="G90" s="253" t="s">
        <v>4</v>
      </c>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f>IF($C90&gt;SLASH!$F$7,0,AS89)</f>
        <v>0</v>
      </c>
      <c r="AU90" s="124">
        <f>IF($C90&gt;SLASH!$F$7,0,AT89)</f>
        <v>0</v>
      </c>
      <c r="AV90" s="124">
        <f>IF($C90&gt;SLASH!$F$7,0,AU89)</f>
        <v>0</v>
      </c>
    </row>
    <row r="91" spans="2:48" ht="12.95" customHeight="1" x14ac:dyDescent="0.2">
      <c r="B91" s="14"/>
      <c r="C91" s="372">
        <v>40</v>
      </c>
      <c r="D91" s="372"/>
      <c r="E91" s="372"/>
      <c r="F91" s="253" t="s">
        <v>492</v>
      </c>
      <c r="G91" s="253" t="s">
        <v>4</v>
      </c>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f>IF($C91&gt;SLASH!$F$7,0,AT90)</f>
        <v>0</v>
      </c>
      <c r="AV91" s="124">
        <f>IF($C91&gt;SLASH!$F$7,0,AU90)</f>
        <v>0</v>
      </c>
    </row>
    <row r="92" spans="2:48" ht="12.95" customHeight="1" x14ac:dyDescent="0.2">
      <c r="B92" s="14" t="s">
        <v>971</v>
      </c>
      <c r="H92" s="171"/>
      <c r="I92" s="171"/>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row>
    <row r="93" spans="2:48" ht="12.95" customHeight="1" x14ac:dyDescent="0.2">
      <c r="B93" s="14"/>
      <c r="C93" s="253" t="s">
        <v>858</v>
      </c>
      <c r="F93" s="253" t="s">
        <v>493</v>
      </c>
      <c r="G93" s="253" t="s">
        <v>432</v>
      </c>
      <c r="H93" s="147"/>
      <c r="I93" s="124">
        <f>SLASH!$F$29*INDEX(decay!$H$14:$AV$14,MATCH(I52,decay!$H$10:$AV$10,0))</f>
        <v>0</v>
      </c>
      <c r="J93" s="124">
        <f>SLASH!$F$29*INDEX(decay!$H$14:$AV$14,MATCH(J52,decay!$H$10:$AV$10,0))</f>
        <v>0</v>
      </c>
      <c r="K93" s="124">
        <f>SLASH!$F$29*INDEX(decay!$H$14:$AV$14,MATCH(K52,decay!$H$10:$AV$10,0))</f>
        <v>0</v>
      </c>
      <c r="L93" s="124">
        <f>SLASH!$F$29*INDEX(decay!$H$14:$AV$14,MATCH(L52,decay!$H$10:$AV$10,0))</f>
        <v>0</v>
      </c>
      <c r="M93" s="124">
        <f>SLASH!$F$29*INDEX(decay!$H$14:$AV$14,MATCH(M52,decay!$H$10:$AV$10,0))</f>
        <v>0</v>
      </c>
      <c r="N93" s="124">
        <f>SLASH!$F$29*INDEX(decay!$H$14:$AV$14,MATCH(N52,decay!$H$10:$AV$10,0))</f>
        <v>0</v>
      </c>
      <c r="O93" s="124">
        <f>SLASH!$F$29*INDEX(decay!$H$14:$AV$14,MATCH(O52,decay!$H$10:$AV$10,0))</f>
        <v>0</v>
      </c>
      <c r="P93" s="124">
        <f>SLASH!$F$29*INDEX(decay!$H$14:$AV$14,MATCH(P52,decay!$H$10:$AV$10,0))</f>
        <v>0</v>
      </c>
      <c r="Q93" s="124">
        <f>SLASH!$F$29*INDEX(decay!$H$14:$AV$14,MATCH(Q52,decay!$H$10:$AV$10,0))</f>
        <v>0</v>
      </c>
      <c r="R93" s="124">
        <f>SLASH!$F$29*INDEX(decay!$H$14:$AV$14,MATCH(R52,decay!$H$10:$AV$10,0))</f>
        <v>0</v>
      </c>
      <c r="S93" s="124">
        <f>SLASH!$F$29*INDEX(decay!$H$14:$AV$14,MATCH(S52,decay!$H$10:$AV$10,0))</f>
        <v>0</v>
      </c>
      <c r="T93" s="124">
        <f>SLASH!$F$29*INDEX(decay!$H$14:$AV$14,MATCH(T52,decay!$H$10:$AV$10,0))</f>
        <v>0</v>
      </c>
      <c r="U93" s="124">
        <f>SLASH!$F$29*INDEX(decay!$H$14:$AV$14,MATCH(U52,decay!$H$10:$AV$10,0))</f>
        <v>0</v>
      </c>
      <c r="V93" s="124">
        <f>SLASH!$F$29*INDEX(decay!$H$14:$AV$14,MATCH(V52,decay!$H$10:$AV$10,0))</f>
        <v>0</v>
      </c>
      <c r="W93" s="124">
        <f>SLASH!$F$29*INDEX(decay!$H$14:$AV$14,MATCH(W52,decay!$H$10:$AV$10,0))</f>
        <v>0</v>
      </c>
      <c r="X93" s="124">
        <f>SLASH!$F$29*INDEX(decay!$H$14:$AV$14,MATCH(X52,decay!$H$10:$AV$10,0))</f>
        <v>0</v>
      </c>
      <c r="Y93" s="124">
        <f>SLASH!$F$29*INDEX(decay!$H$14:$AV$14,MATCH(Y52,decay!$H$10:$AV$10,0))</f>
        <v>0</v>
      </c>
      <c r="Z93" s="124">
        <f>SLASH!$F$29*INDEX(decay!$H$14:$AV$14,MATCH(Z52,decay!$H$10:$AV$10,0))</f>
        <v>0</v>
      </c>
      <c r="AA93" s="124">
        <f>SLASH!$F$29*INDEX(decay!$H$14:$AV$14,MATCH(AA52,decay!$H$10:$AV$10,0))</f>
        <v>0</v>
      </c>
      <c r="AB93" s="124">
        <f>SLASH!$F$29*INDEX(decay!$H$14:$AV$14,MATCH(AB52,decay!$H$10:$AV$10,0))</f>
        <v>0</v>
      </c>
      <c r="AC93" s="124">
        <f>SLASH!$F$29*INDEX(decay!$H$14:$AV$14,MATCH(AC52,decay!$H$10:$AV$10,0))</f>
        <v>0</v>
      </c>
      <c r="AD93" s="124">
        <f>SLASH!$F$29*INDEX(decay!$H$14:$AV$14,MATCH(AD52,decay!$H$10:$AV$10,0))</f>
        <v>0</v>
      </c>
      <c r="AE93" s="124">
        <f>SLASH!$F$29*INDEX(decay!$H$14:$AV$14,MATCH(AE52,decay!$H$10:$AV$10,0))</f>
        <v>0</v>
      </c>
      <c r="AF93" s="124">
        <f>SLASH!$F$29*INDEX(decay!$H$14:$AV$14,MATCH(AF52,decay!$H$10:$AV$10,0))</f>
        <v>0</v>
      </c>
      <c r="AG93" s="124">
        <f>SLASH!$F$29*INDEX(decay!$H$14:$AV$14,MATCH(AG52,decay!$H$10:$AV$10,0))</f>
        <v>0</v>
      </c>
      <c r="AH93" s="124">
        <f>SLASH!$F$29*INDEX(decay!$H$14:$AV$14,MATCH(AH52,decay!$H$10:$AV$10,0))</f>
        <v>0</v>
      </c>
      <c r="AI93" s="124">
        <f>SLASH!$F$29*INDEX(decay!$H$14:$AV$14,MATCH(AI52,decay!$H$10:$AV$10,0))</f>
        <v>0</v>
      </c>
      <c r="AJ93" s="124">
        <f>SLASH!$F$29*INDEX(decay!$H$14:$AV$14,MATCH(AJ52,decay!$H$10:$AV$10,0))</f>
        <v>0</v>
      </c>
      <c r="AK93" s="124">
        <f>SLASH!$F$29*INDEX(decay!$H$14:$AV$14,MATCH(AK52,decay!$H$10:$AV$10,0))</f>
        <v>0</v>
      </c>
      <c r="AL93" s="124">
        <f>SLASH!$F$29*INDEX(decay!$H$14:$AV$14,MATCH(AL52,decay!$H$10:$AV$10,0))</f>
        <v>0</v>
      </c>
      <c r="AM93" s="124">
        <f>SLASH!$F$29*INDEX(decay!$H$14:$AV$14,MATCH(AM52,decay!$H$10:$AV$10,0))</f>
        <v>0</v>
      </c>
      <c r="AN93" s="124">
        <f>SLASH!$F$29*INDEX(decay!$H$14:$AV$14,MATCH(AN52,decay!$H$10:$AV$10,0))</f>
        <v>0</v>
      </c>
      <c r="AO93" s="124">
        <f>SLASH!$F$29*INDEX(decay!$H$14:$AV$14,MATCH(AO52,decay!$H$10:$AV$10,0))</f>
        <v>0</v>
      </c>
      <c r="AP93" s="124">
        <f>SLASH!$F$29*INDEX(decay!$H$14:$AV$14,MATCH(AP52,decay!$H$10:$AV$10,0))</f>
        <v>0</v>
      </c>
      <c r="AQ93" s="124">
        <f>SLASH!$F$29*INDEX(decay!$H$14:$AV$14,MATCH(AQ52,decay!$H$10:$AV$10,0))</f>
        <v>0</v>
      </c>
      <c r="AR93" s="124">
        <f>SLASH!$F$29*INDEX(decay!$H$14:$AV$14,MATCH(AR52,decay!$H$10:$AV$10,0))</f>
        <v>0</v>
      </c>
      <c r="AS93" s="124">
        <f>SLASH!$F$29*INDEX(decay!$H$14:$AV$14,MATCH(AS52,decay!$H$10:$AV$10,0))</f>
        <v>0</v>
      </c>
      <c r="AT93" s="124">
        <f>SLASH!$F$29*INDEX(decay!$H$14:$AV$14,MATCH(AT52,decay!$H$10:$AV$10,0))</f>
        <v>0</v>
      </c>
      <c r="AU93" s="124">
        <f>SLASH!$F$29*INDEX(decay!$H$14:$AV$14,MATCH(AU52,decay!$H$10:$AV$10,0))</f>
        <v>0</v>
      </c>
      <c r="AV93" s="124">
        <f>SLASH!$F$29*INDEX(decay!$H$14:$AV$14,MATCH(AV52,decay!$H$10:$AV$10,0))</f>
        <v>0</v>
      </c>
    </row>
    <row r="94" spans="2:48" ht="12.95" customHeight="1" x14ac:dyDescent="0.2">
      <c r="B94" s="14"/>
      <c r="C94" s="253" t="s">
        <v>859</v>
      </c>
      <c r="F94" s="253" t="s">
        <v>493</v>
      </c>
      <c r="G94" s="253" t="s">
        <v>432</v>
      </c>
      <c r="H94" s="147"/>
      <c r="I94" s="147"/>
      <c r="J94" s="124">
        <f t="shared" ref="J94:AV94" si="35">IF(J53&gt;0,I93,0)</f>
        <v>0</v>
      </c>
      <c r="K94" s="124">
        <f t="shared" si="35"/>
        <v>0</v>
      </c>
      <c r="L94" s="124">
        <f t="shared" si="35"/>
        <v>0</v>
      </c>
      <c r="M94" s="124">
        <f t="shared" si="35"/>
        <v>0</v>
      </c>
      <c r="N94" s="124">
        <f t="shared" si="35"/>
        <v>0</v>
      </c>
      <c r="O94" s="124">
        <f t="shared" si="35"/>
        <v>0</v>
      </c>
      <c r="P94" s="124">
        <f t="shared" si="35"/>
        <v>0</v>
      </c>
      <c r="Q94" s="124">
        <f t="shared" si="35"/>
        <v>0</v>
      </c>
      <c r="R94" s="124">
        <f t="shared" si="35"/>
        <v>0</v>
      </c>
      <c r="S94" s="124">
        <f t="shared" si="35"/>
        <v>0</v>
      </c>
      <c r="T94" s="124">
        <f t="shared" si="35"/>
        <v>0</v>
      </c>
      <c r="U94" s="124">
        <f t="shared" si="35"/>
        <v>0</v>
      </c>
      <c r="V94" s="124">
        <f t="shared" si="35"/>
        <v>0</v>
      </c>
      <c r="W94" s="124">
        <f t="shared" si="35"/>
        <v>0</v>
      </c>
      <c r="X94" s="124">
        <f t="shared" si="35"/>
        <v>0</v>
      </c>
      <c r="Y94" s="124">
        <f t="shared" si="35"/>
        <v>0</v>
      </c>
      <c r="Z94" s="124">
        <f t="shared" si="35"/>
        <v>0</v>
      </c>
      <c r="AA94" s="124">
        <f t="shared" si="35"/>
        <v>0</v>
      </c>
      <c r="AB94" s="124">
        <f t="shared" si="35"/>
        <v>0</v>
      </c>
      <c r="AC94" s="124">
        <f t="shared" si="35"/>
        <v>0</v>
      </c>
      <c r="AD94" s="124">
        <f t="shared" si="35"/>
        <v>0</v>
      </c>
      <c r="AE94" s="124">
        <f t="shared" si="35"/>
        <v>0</v>
      </c>
      <c r="AF94" s="124">
        <f t="shared" si="35"/>
        <v>0</v>
      </c>
      <c r="AG94" s="124">
        <f t="shared" si="35"/>
        <v>0</v>
      </c>
      <c r="AH94" s="124">
        <f t="shared" si="35"/>
        <v>0</v>
      </c>
      <c r="AI94" s="124">
        <f t="shared" si="35"/>
        <v>0</v>
      </c>
      <c r="AJ94" s="124">
        <f t="shared" si="35"/>
        <v>0</v>
      </c>
      <c r="AK94" s="124">
        <f t="shared" si="35"/>
        <v>0</v>
      </c>
      <c r="AL94" s="124">
        <f t="shared" si="35"/>
        <v>0</v>
      </c>
      <c r="AM94" s="124">
        <f t="shared" si="35"/>
        <v>0</v>
      </c>
      <c r="AN94" s="124">
        <f t="shared" si="35"/>
        <v>0</v>
      </c>
      <c r="AO94" s="124">
        <f t="shared" si="35"/>
        <v>0</v>
      </c>
      <c r="AP94" s="124">
        <f t="shared" si="35"/>
        <v>0</v>
      </c>
      <c r="AQ94" s="124">
        <f t="shared" si="35"/>
        <v>0</v>
      </c>
      <c r="AR94" s="124">
        <f t="shared" si="35"/>
        <v>0</v>
      </c>
      <c r="AS94" s="124">
        <f t="shared" si="35"/>
        <v>0</v>
      </c>
      <c r="AT94" s="124">
        <f t="shared" si="35"/>
        <v>0</v>
      </c>
      <c r="AU94" s="124">
        <f t="shared" si="35"/>
        <v>0</v>
      </c>
      <c r="AV94" s="124">
        <f t="shared" si="35"/>
        <v>0</v>
      </c>
    </row>
    <row r="95" spans="2:48" ht="12.95" customHeight="1" x14ac:dyDescent="0.2">
      <c r="B95" s="14"/>
      <c r="C95" s="253" t="s">
        <v>860</v>
      </c>
      <c r="F95" s="253" t="s">
        <v>493</v>
      </c>
      <c r="G95" s="253" t="s">
        <v>432</v>
      </c>
      <c r="H95" s="277"/>
      <c r="I95" s="147"/>
      <c r="J95" s="124"/>
      <c r="K95" s="124">
        <f t="shared" ref="K95:AV95" si="36">IF(K54&gt;0,J94,0)</f>
        <v>0</v>
      </c>
      <c r="L95" s="124">
        <f t="shared" si="36"/>
        <v>0</v>
      </c>
      <c r="M95" s="124">
        <f t="shared" si="36"/>
        <v>0</v>
      </c>
      <c r="N95" s="124">
        <f t="shared" si="36"/>
        <v>0</v>
      </c>
      <c r="O95" s="124">
        <f t="shared" si="36"/>
        <v>0</v>
      </c>
      <c r="P95" s="124">
        <f t="shared" si="36"/>
        <v>0</v>
      </c>
      <c r="Q95" s="124">
        <f t="shared" si="36"/>
        <v>0</v>
      </c>
      <c r="R95" s="124">
        <f t="shared" si="36"/>
        <v>0</v>
      </c>
      <c r="S95" s="124">
        <f t="shared" si="36"/>
        <v>0</v>
      </c>
      <c r="T95" s="124">
        <f t="shared" si="36"/>
        <v>0</v>
      </c>
      <c r="U95" s="124">
        <f t="shared" si="36"/>
        <v>0</v>
      </c>
      <c r="V95" s="124">
        <f t="shared" si="36"/>
        <v>0</v>
      </c>
      <c r="W95" s="124">
        <f t="shared" si="36"/>
        <v>0</v>
      </c>
      <c r="X95" s="124">
        <f t="shared" si="36"/>
        <v>0</v>
      </c>
      <c r="Y95" s="124">
        <f t="shared" si="36"/>
        <v>0</v>
      </c>
      <c r="Z95" s="124">
        <f t="shared" si="36"/>
        <v>0</v>
      </c>
      <c r="AA95" s="124">
        <f t="shared" si="36"/>
        <v>0</v>
      </c>
      <c r="AB95" s="124">
        <f t="shared" si="36"/>
        <v>0</v>
      </c>
      <c r="AC95" s="124">
        <f t="shared" si="36"/>
        <v>0</v>
      </c>
      <c r="AD95" s="124">
        <f t="shared" si="36"/>
        <v>0</v>
      </c>
      <c r="AE95" s="124">
        <f t="shared" si="36"/>
        <v>0</v>
      </c>
      <c r="AF95" s="124">
        <f t="shared" si="36"/>
        <v>0</v>
      </c>
      <c r="AG95" s="124">
        <f t="shared" si="36"/>
        <v>0</v>
      </c>
      <c r="AH95" s="124">
        <f t="shared" si="36"/>
        <v>0</v>
      </c>
      <c r="AI95" s="124">
        <f t="shared" si="36"/>
        <v>0</v>
      </c>
      <c r="AJ95" s="124">
        <f t="shared" si="36"/>
        <v>0</v>
      </c>
      <c r="AK95" s="124">
        <f t="shared" si="36"/>
        <v>0</v>
      </c>
      <c r="AL95" s="124">
        <f t="shared" si="36"/>
        <v>0</v>
      </c>
      <c r="AM95" s="124">
        <f t="shared" si="36"/>
        <v>0</v>
      </c>
      <c r="AN95" s="124">
        <f t="shared" si="36"/>
        <v>0</v>
      </c>
      <c r="AO95" s="124">
        <f t="shared" si="36"/>
        <v>0</v>
      </c>
      <c r="AP95" s="124">
        <f t="shared" si="36"/>
        <v>0</v>
      </c>
      <c r="AQ95" s="124">
        <f t="shared" si="36"/>
        <v>0</v>
      </c>
      <c r="AR95" s="124">
        <f t="shared" si="36"/>
        <v>0</v>
      </c>
      <c r="AS95" s="124">
        <f t="shared" si="36"/>
        <v>0</v>
      </c>
      <c r="AT95" s="124">
        <f t="shared" si="36"/>
        <v>0</v>
      </c>
      <c r="AU95" s="124">
        <f t="shared" si="36"/>
        <v>0</v>
      </c>
      <c r="AV95" s="124">
        <f t="shared" si="36"/>
        <v>0</v>
      </c>
    </row>
    <row r="96" spans="2:48" ht="12.95" customHeight="1" x14ac:dyDescent="0.2">
      <c r="B96" s="14"/>
      <c r="C96" s="253" t="s">
        <v>861</v>
      </c>
      <c r="F96" s="253" t="s">
        <v>493</v>
      </c>
      <c r="G96" s="253" t="s">
        <v>432</v>
      </c>
      <c r="H96" s="277"/>
      <c r="I96" s="147"/>
      <c r="J96" s="124"/>
      <c r="K96" s="124"/>
      <c r="L96" s="124">
        <f t="shared" ref="L96:AV96" si="37">IF(L55&gt;0,K95,0)</f>
        <v>0</v>
      </c>
      <c r="M96" s="124">
        <f t="shared" si="37"/>
        <v>0</v>
      </c>
      <c r="N96" s="124">
        <f t="shared" si="37"/>
        <v>0</v>
      </c>
      <c r="O96" s="124">
        <f t="shared" si="37"/>
        <v>0</v>
      </c>
      <c r="P96" s="124">
        <f t="shared" si="37"/>
        <v>0</v>
      </c>
      <c r="Q96" s="124">
        <f t="shared" si="37"/>
        <v>0</v>
      </c>
      <c r="R96" s="124">
        <f t="shared" si="37"/>
        <v>0</v>
      </c>
      <c r="S96" s="124">
        <f t="shared" si="37"/>
        <v>0</v>
      </c>
      <c r="T96" s="124">
        <f t="shared" si="37"/>
        <v>0</v>
      </c>
      <c r="U96" s="124">
        <f t="shared" si="37"/>
        <v>0</v>
      </c>
      <c r="V96" s="124">
        <f t="shared" si="37"/>
        <v>0</v>
      </c>
      <c r="W96" s="124">
        <f t="shared" si="37"/>
        <v>0</v>
      </c>
      <c r="X96" s="124">
        <f t="shared" si="37"/>
        <v>0</v>
      </c>
      <c r="Y96" s="124">
        <f t="shared" si="37"/>
        <v>0</v>
      </c>
      <c r="Z96" s="124">
        <f t="shared" si="37"/>
        <v>0</v>
      </c>
      <c r="AA96" s="124">
        <f t="shared" si="37"/>
        <v>0</v>
      </c>
      <c r="AB96" s="124">
        <f t="shared" si="37"/>
        <v>0</v>
      </c>
      <c r="AC96" s="124">
        <f t="shared" si="37"/>
        <v>0</v>
      </c>
      <c r="AD96" s="124">
        <f t="shared" si="37"/>
        <v>0</v>
      </c>
      <c r="AE96" s="124">
        <f t="shared" si="37"/>
        <v>0</v>
      </c>
      <c r="AF96" s="124">
        <f t="shared" si="37"/>
        <v>0</v>
      </c>
      <c r="AG96" s="124">
        <f t="shared" si="37"/>
        <v>0</v>
      </c>
      <c r="AH96" s="124">
        <f t="shared" si="37"/>
        <v>0</v>
      </c>
      <c r="AI96" s="124">
        <f t="shared" si="37"/>
        <v>0</v>
      </c>
      <c r="AJ96" s="124">
        <f t="shared" si="37"/>
        <v>0</v>
      </c>
      <c r="AK96" s="124">
        <f t="shared" si="37"/>
        <v>0</v>
      </c>
      <c r="AL96" s="124">
        <f t="shared" si="37"/>
        <v>0</v>
      </c>
      <c r="AM96" s="124">
        <f t="shared" si="37"/>
        <v>0</v>
      </c>
      <c r="AN96" s="124">
        <f t="shared" si="37"/>
        <v>0</v>
      </c>
      <c r="AO96" s="124">
        <f t="shared" si="37"/>
        <v>0</v>
      </c>
      <c r="AP96" s="124">
        <f t="shared" si="37"/>
        <v>0</v>
      </c>
      <c r="AQ96" s="124">
        <f t="shared" si="37"/>
        <v>0</v>
      </c>
      <c r="AR96" s="124">
        <f t="shared" si="37"/>
        <v>0</v>
      </c>
      <c r="AS96" s="124">
        <f t="shared" si="37"/>
        <v>0</v>
      </c>
      <c r="AT96" s="124">
        <f t="shared" si="37"/>
        <v>0</v>
      </c>
      <c r="AU96" s="124">
        <f t="shared" si="37"/>
        <v>0</v>
      </c>
      <c r="AV96" s="124">
        <f t="shared" si="37"/>
        <v>0</v>
      </c>
    </row>
    <row r="97" spans="2:48" ht="12.95" customHeight="1" x14ac:dyDescent="0.2">
      <c r="B97" s="14"/>
      <c r="C97" s="253" t="s">
        <v>862</v>
      </c>
      <c r="F97" s="253" t="s">
        <v>493</v>
      </c>
      <c r="G97" s="253" t="s">
        <v>432</v>
      </c>
      <c r="H97" s="277"/>
      <c r="I97" s="147"/>
      <c r="J97" s="124"/>
      <c r="K97" s="124"/>
      <c r="L97" s="124"/>
      <c r="M97" s="124">
        <f t="shared" ref="M97:AV97" si="38">IF(M56&gt;0,L96,0)</f>
        <v>0</v>
      </c>
      <c r="N97" s="124">
        <f t="shared" si="38"/>
        <v>0</v>
      </c>
      <c r="O97" s="124">
        <f t="shared" si="38"/>
        <v>0</v>
      </c>
      <c r="P97" s="124">
        <f t="shared" si="38"/>
        <v>0</v>
      </c>
      <c r="Q97" s="124">
        <f t="shared" si="38"/>
        <v>0</v>
      </c>
      <c r="R97" s="124">
        <f t="shared" si="38"/>
        <v>0</v>
      </c>
      <c r="S97" s="124">
        <f t="shared" si="38"/>
        <v>0</v>
      </c>
      <c r="T97" s="124">
        <f t="shared" si="38"/>
        <v>0</v>
      </c>
      <c r="U97" s="124">
        <f t="shared" si="38"/>
        <v>0</v>
      </c>
      <c r="V97" s="124">
        <f t="shared" si="38"/>
        <v>0</v>
      </c>
      <c r="W97" s="124">
        <f t="shared" si="38"/>
        <v>0</v>
      </c>
      <c r="X97" s="124">
        <f t="shared" si="38"/>
        <v>0</v>
      </c>
      <c r="Y97" s="124">
        <f t="shared" si="38"/>
        <v>0</v>
      </c>
      <c r="Z97" s="124">
        <f t="shared" si="38"/>
        <v>0</v>
      </c>
      <c r="AA97" s="124">
        <f t="shared" si="38"/>
        <v>0</v>
      </c>
      <c r="AB97" s="124">
        <f t="shared" si="38"/>
        <v>0</v>
      </c>
      <c r="AC97" s="124">
        <f t="shared" si="38"/>
        <v>0</v>
      </c>
      <c r="AD97" s="124">
        <f t="shared" si="38"/>
        <v>0</v>
      </c>
      <c r="AE97" s="124">
        <f t="shared" si="38"/>
        <v>0</v>
      </c>
      <c r="AF97" s="124">
        <f t="shared" si="38"/>
        <v>0</v>
      </c>
      <c r="AG97" s="124">
        <f t="shared" si="38"/>
        <v>0</v>
      </c>
      <c r="AH97" s="124">
        <f t="shared" si="38"/>
        <v>0</v>
      </c>
      <c r="AI97" s="124">
        <f t="shared" si="38"/>
        <v>0</v>
      </c>
      <c r="AJ97" s="124">
        <f t="shared" si="38"/>
        <v>0</v>
      </c>
      <c r="AK97" s="124">
        <f t="shared" si="38"/>
        <v>0</v>
      </c>
      <c r="AL97" s="124">
        <f t="shared" si="38"/>
        <v>0</v>
      </c>
      <c r="AM97" s="124">
        <f t="shared" si="38"/>
        <v>0</v>
      </c>
      <c r="AN97" s="124">
        <f t="shared" si="38"/>
        <v>0</v>
      </c>
      <c r="AO97" s="124">
        <f t="shared" si="38"/>
        <v>0</v>
      </c>
      <c r="AP97" s="124">
        <f t="shared" si="38"/>
        <v>0</v>
      </c>
      <c r="AQ97" s="124">
        <f t="shared" si="38"/>
        <v>0</v>
      </c>
      <c r="AR97" s="124">
        <f t="shared" si="38"/>
        <v>0</v>
      </c>
      <c r="AS97" s="124">
        <f t="shared" si="38"/>
        <v>0</v>
      </c>
      <c r="AT97" s="124">
        <f t="shared" si="38"/>
        <v>0</v>
      </c>
      <c r="AU97" s="124">
        <f t="shared" si="38"/>
        <v>0</v>
      </c>
      <c r="AV97" s="124">
        <f t="shared" si="38"/>
        <v>0</v>
      </c>
    </row>
    <row r="98" spans="2:48" ht="12.95" customHeight="1" x14ac:dyDescent="0.2">
      <c r="B98" s="14"/>
      <c r="C98" s="253" t="s">
        <v>863</v>
      </c>
      <c r="F98" s="253" t="s">
        <v>493</v>
      </c>
      <c r="G98" s="253" t="s">
        <v>432</v>
      </c>
      <c r="H98" s="277"/>
      <c r="I98" s="147"/>
      <c r="J98" s="124"/>
      <c r="K98" s="124"/>
      <c r="L98" s="124"/>
      <c r="M98" s="124"/>
      <c r="N98" s="124">
        <f t="shared" ref="N98:AV98" si="39">IF(N57&gt;0,M97,0)</f>
        <v>0</v>
      </c>
      <c r="O98" s="124">
        <f t="shared" si="39"/>
        <v>0</v>
      </c>
      <c r="P98" s="124">
        <f t="shared" si="39"/>
        <v>0</v>
      </c>
      <c r="Q98" s="124">
        <f t="shared" si="39"/>
        <v>0</v>
      </c>
      <c r="R98" s="124">
        <f t="shared" si="39"/>
        <v>0</v>
      </c>
      <c r="S98" s="124">
        <f t="shared" si="39"/>
        <v>0</v>
      </c>
      <c r="T98" s="124">
        <f t="shared" si="39"/>
        <v>0</v>
      </c>
      <c r="U98" s="124">
        <f t="shared" si="39"/>
        <v>0</v>
      </c>
      <c r="V98" s="124">
        <f t="shared" si="39"/>
        <v>0</v>
      </c>
      <c r="W98" s="124">
        <f t="shared" si="39"/>
        <v>0</v>
      </c>
      <c r="X98" s="124">
        <f t="shared" si="39"/>
        <v>0</v>
      </c>
      <c r="Y98" s="124">
        <f t="shared" si="39"/>
        <v>0</v>
      </c>
      <c r="Z98" s="124">
        <f t="shared" si="39"/>
        <v>0</v>
      </c>
      <c r="AA98" s="124">
        <f t="shared" si="39"/>
        <v>0</v>
      </c>
      <c r="AB98" s="124">
        <f t="shared" si="39"/>
        <v>0</v>
      </c>
      <c r="AC98" s="124">
        <f t="shared" si="39"/>
        <v>0</v>
      </c>
      <c r="AD98" s="124">
        <f t="shared" si="39"/>
        <v>0</v>
      </c>
      <c r="AE98" s="124">
        <f t="shared" si="39"/>
        <v>0</v>
      </c>
      <c r="AF98" s="124">
        <f t="shared" si="39"/>
        <v>0</v>
      </c>
      <c r="AG98" s="124">
        <f t="shared" si="39"/>
        <v>0</v>
      </c>
      <c r="AH98" s="124">
        <f t="shared" si="39"/>
        <v>0</v>
      </c>
      <c r="AI98" s="124">
        <f t="shared" si="39"/>
        <v>0</v>
      </c>
      <c r="AJ98" s="124">
        <f t="shared" si="39"/>
        <v>0</v>
      </c>
      <c r="AK98" s="124">
        <f t="shared" si="39"/>
        <v>0</v>
      </c>
      <c r="AL98" s="124">
        <f t="shared" si="39"/>
        <v>0</v>
      </c>
      <c r="AM98" s="124">
        <f t="shared" si="39"/>
        <v>0</v>
      </c>
      <c r="AN98" s="124">
        <f t="shared" si="39"/>
        <v>0</v>
      </c>
      <c r="AO98" s="124">
        <f t="shared" si="39"/>
        <v>0</v>
      </c>
      <c r="AP98" s="124">
        <f t="shared" si="39"/>
        <v>0</v>
      </c>
      <c r="AQ98" s="124">
        <f t="shared" si="39"/>
        <v>0</v>
      </c>
      <c r="AR98" s="124">
        <f t="shared" si="39"/>
        <v>0</v>
      </c>
      <c r="AS98" s="124">
        <f t="shared" si="39"/>
        <v>0</v>
      </c>
      <c r="AT98" s="124">
        <f t="shared" si="39"/>
        <v>0</v>
      </c>
      <c r="AU98" s="124">
        <f t="shared" si="39"/>
        <v>0</v>
      </c>
      <c r="AV98" s="124">
        <f t="shared" si="39"/>
        <v>0</v>
      </c>
    </row>
    <row r="99" spans="2:48" ht="12.95" customHeight="1" x14ac:dyDescent="0.2">
      <c r="B99" s="14"/>
      <c r="C99" s="253" t="s">
        <v>864</v>
      </c>
      <c r="F99" s="253" t="s">
        <v>493</v>
      </c>
      <c r="G99" s="253" t="s">
        <v>432</v>
      </c>
      <c r="H99" s="277"/>
      <c r="I99" s="147"/>
      <c r="J99" s="124"/>
      <c r="K99" s="124"/>
      <c r="L99" s="124"/>
      <c r="M99" s="124"/>
      <c r="N99" s="124"/>
      <c r="O99" s="124">
        <f t="shared" ref="O99:AV99" si="40">IF(O58&gt;0,N98,0)</f>
        <v>0</v>
      </c>
      <c r="P99" s="124">
        <f t="shared" si="40"/>
        <v>0</v>
      </c>
      <c r="Q99" s="124">
        <f t="shared" si="40"/>
        <v>0</v>
      </c>
      <c r="R99" s="124">
        <f t="shared" si="40"/>
        <v>0</v>
      </c>
      <c r="S99" s="124">
        <f t="shared" si="40"/>
        <v>0</v>
      </c>
      <c r="T99" s="124">
        <f t="shared" si="40"/>
        <v>0</v>
      </c>
      <c r="U99" s="124">
        <f t="shared" si="40"/>
        <v>0</v>
      </c>
      <c r="V99" s="124">
        <f t="shared" si="40"/>
        <v>0</v>
      </c>
      <c r="W99" s="124">
        <f t="shared" si="40"/>
        <v>0</v>
      </c>
      <c r="X99" s="124">
        <f t="shared" si="40"/>
        <v>0</v>
      </c>
      <c r="Y99" s="124">
        <f t="shared" si="40"/>
        <v>0</v>
      </c>
      <c r="Z99" s="124">
        <f t="shared" si="40"/>
        <v>0</v>
      </c>
      <c r="AA99" s="124">
        <f t="shared" si="40"/>
        <v>0</v>
      </c>
      <c r="AB99" s="124">
        <f t="shared" si="40"/>
        <v>0</v>
      </c>
      <c r="AC99" s="124">
        <f t="shared" si="40"/>
        <v>0</v>
      </c>
      <c r="AD99" s="124">
        <f t="shared" si="40"/>
        <v>0</v>
      </c>
      <c r="AE99" s="124">
        <f t="shared" si="40"/>
        <v>0</v>
      </c>
      <c r="AF99" s="124">
        <f t="shared" si="40"/>
        <v>0</v>
      </c>
      <c r="AG99" s="124">
        <f t="shared" si="40"/>
        <v>0</v>
      </c>
      <c r="AH99" s="124">
        <f t="shared" si="40"/>
        <v>0</v>
      </c>
      <c r="AI99" s="124">
        <f t="shared" si="40"/>
        <v>0</v>
      </c>
      <c r="AJ99" s="124">
        <f t="shared" si="40"/>
        <v>0</v>
      </c>
      <c r="AK99" s="124">
        <f t="shared" si="40"/>
        <v>0</v>
      </c>
      <c r="AL99" s="124">
        <f t="shared" si="40"/>
        <v>0</v>
      </c>
      <c r="AM99" s="124">
        <f t="shared" si="40"/>
        <v>0</v>
      </c>
      <c r="AN99" s="124">
        <f t="shared" si="40"/>
        <v>0</v>
      </c>
      <c r="AO99" s="124">
        <f t="shared" si="40"/>
        <v>0</v>
      </c>
      <c r="AP99" s="124">
        <f t="shared" si="40"/>
        <v>0</v>
      </c>
      <c r="AQ99" s="124">
        <f t="shared" si="40"/>
        <v>0</v>
      </c>
      <c r="AR99" s="124">
        <f t="shared" si="40"/>
        <v>0</v>
      </c>
      <c r="AS99" s="124">
        <f t="shared" si="40"/>
        <v>0</v>
      </c>
      <c r="AT99" s="124">
        <f t="shared" si="40"/>
        <v>0</v>
      </c>
      <c r="AU99" s="124">
        <f t="shared" si="40"/>
        <v>0</v>
      </c>
      <c r="AV99" s="124">
        <f t="shared" si="40"/>
        <v>0</v>
      </c>
    </row>
    <row r="100" spans="2:48" ht="12.95" customHeight="1" x14ac:dyDescent="0.2">
      <c r="B100" s="14"/>
      <c r="C100" s="253" t="s">
        <v>865</v>
      </c>
      <c r="F100" s="253" t="s">
        <v>493</v>
      </c>
      <c r="G100" s="253" t="s">
        <v>432</v>
      </c>
      <c r="H100" s="277"/>
      <c r="I100" s="147"/>
      <c r="J100" s="124"/>
      <c r="K100" s="124"/>
      <c r="L100" s="124"/>
      <c r="M100" s="124"/>
      <c r="N100" s="124"/>
      <c r="O100" s="124"/>
      <c r="P100" s="124">
        <f t="shared" ref="P100:AV100" si="41">IF(P59&gt;0,O99,0)</f>
        <v>0</v>
      </c>
      <c r="Q100" s="124">
        <f t="shared" si="41"/>
        <v>0</v>
      </c>
      <c r="R100" s="124">
        <f t="shared" si="41"/>
        <v>0</v>
      </c>
      <c r="S100" s="124">
        <f t="shared" si="41"/>
        <v>0</v>
      </c>
      <c r="T100" s="124">
        <f t="shared" si="41"/>
        <v>0</v>
      </c>
      <c r="U100" s="124">
        <f t="shared" si="41"/>
        <v>0</v>
      </c>
      <c r="V100" s="124">
        <f t="shared" si="41"/>
        <v>0</v>
      </c>
      <c r="W100" s="124">
        <f t="shared" si="41"/>
        <v>0</v>
      </c>
      <c r="X100" s="124">
        <f t="shared" si="41"/>
        <v>0</v>
      </c>
      <c r="Y100" s="124">
        <f t="shared" si="41"/>
        <v>0</v>
      </c>
      <c r="Z100" s="124">
        <f t="shared" si="41"/>
        <v>0</v>
      </c>
      <c r="AA100" s="124">
        <f t="shared" si="41"/>
        <v>0</v>
      </c>
      <c r="AB100" s="124">
        <f t="shared" si="41"/>
        <v>0</v>
      </c>
      <c r="AC100" s="124">
        <f t="shared" si="41"/>
        <v>0</v>
      </c>
      <c r="AD100" s="124">
        <f t="shared" si="41"/>
        <v>0</v>
      </c>
      <c r="AE100" s="124">
        <f t="shared" si="41"/>
        <v>0</v>
      </c>
      <c r="AF100" s="124">
        <f t="shared" si="41"/>
        <v>0</v>
      </c>
      <c r="AG100" s="124">
        <f t="shared" si="41"/>
        <v>0</v>
      </c>
      <c r="AH100" s="124">
        <f t="shared" si="41"/>
        <v>0</v>
      </c>
      <c r="AI100" s="124">
        <f t="shared" si="41"/>
        <v>0</v>
      </c>
      <c r="AJ100" s="124">
        <f t="shared" si="41"/>
        <v>0</v>
      </c>
      <c r="AK100" s="124">
        <f t="shared" si="41"/>
        <v>0</v>
      </c>
      <c r="AL100" s="124">
        <f t="shared" si="41"/>
        <v>0</v>
      </c>
      <c r="AM100" s="124">
        <f t="shared" si="41"/>
        <v>0</v>
      </c>
      <c r="AN100" s="124">
        <f t="shared" si="41"/>
        <v>0</v>
      </c>
      <c r="AO100" s="124">
        <f t="shared" si="41"/>
        <v>0</v>
      </c>
      <c r="AP100" s="124">
        <f t="shared" si="41"/>
        <v>0</v>
      </c>
      <c r="AQ100" s="124">
        <f t="shared" si="41"/>
        <v>0</v>
      </c>
      <c r="AR100" s="124">
        <f t="shared" si="41"/>
        <v>0</v>
      </c>
      <c r="AS100" s="124">
        <f t="shared" si="41"/>
        <v>0</v>
      </c>
      <c r="AT100" s="124">
        <f t="shared" si="41"/>
        <v>0</v>
      </c>
      <c r="AU100" s="124">
        <f t="shared" si="41"/>
        <v>0</v>
      </c>
      <c r="AV100" s="124">
        <f t="shared" si="41"/>
        <v>0</v>
      </c>
    </row>
    <row r="101" spans="2:48" ht="12.95" customHeight="1" x14ac:dyDescent="0.2">
      <c r="B101" s="14"/>
      <c r="C101" s="253" t="s">
        <v>866</v>
      </c>
      <c r="F101" s="253" t="s">
        <v>493</v>
      </c>
      <c r="G101" s="253" t="s">
        <v>432</v>
      </c>
      <c r="H101" s="277"/>
      <c r="I101" s="147"/>
      <c r="J101" s="124"/>
      <c r="K101" s="124"/>
      <c r="L101" s="124"/>
      <c r="M101" s="124"/>
      <c r="N101" s="124"/>
      <c r="O101" s="124"/>
      <c r="P101" s="124"/>
      <c r="Q101" s="124">
        <f t="shared" ref="Q101:AV101" si="42">IF(Q60&gt;0,P100,0)</f>
        <v>0</v>
      </c>
      <c r="R101" s="124">
        <f t="shared" si="42"/>
        <v>0</v>
      </c>
      <c r="S101" s="124">
        <f t="shared" si="42"/>
        <v>0</v>
      </c>
      <c r="T101" s="124">
        <f t="shared" si="42"/>
        <v>0</v>
      </c>
      <c r="U101" s="124">
        <f t="shared" si="42"/>
        <v>0</v>
      </c>
      <c r="V101" s="124">
        <f t="shared" si="42"/>
        <v>0</v>
      </c>
      <c r="W101" s="124">
        <f t="shared" si="42"/>
        <v>0</v>
      </c>
      <c r="X101" s="124">
        <f t="shared" si="42"/>
        <v>0</v>
      </c>
      <c r="Y101" s="124">
        <f t="shared" si="42"/>
        <v>0</v>
      </c>
      <c r="Z101" s="124">
        <f t="shared" si="42"/>
        <v>0</v>
      </c>
      <c r="AA101" s="124">
        <f t="shared" si="42"/>
        <v>0</v>
      </c>
      <c r="AB101" s="124">
        <f t="shared" si="42"/>
        <v>0</v>
      </c>
      <c r="AC101" s="124">
        <f t="shared" si="42"/>
        <v>0</v>
      </c>
      <c r="AD101" s="124">
        <f t="shared" si="42"/>
        <v>0</v>
      </c>
      <c r="AE101" s="124">
        <f t="shared" si="42"/>
        <v>0</v>
      </c>
      <c r="AF101" s="124">
        <f t="shared" si="42"/>
        <v>0</v>
      </c>
      <c r="AG101" s="124">
        <f t="shared" si="42"/>
        <v>0</v>
      </c>
      <c r="AH101" s="124">
        <f t="shared" si="42"/>
        <v>0</v>
      </c>
      <c r="AI101" s="124">
        <f t="shared" si="42"/>
        <v>0</v>
      </c>
      <c r="AJ101" s="124">
        <f t="shared" si="42"/>
        <v>0</v>
      </c>
      <c r="AK101" s="124">
        <f t="shared" si="42"/>
        <v>0</v>
      </c>
      <c r="AL101" s="124">
        <f t="shared" si="42"/>
        <v>0</v>
      </c>
      <c r="AM101" s="124">
        <f t="shared" si="42"/>
        <v>0</v>
      </c>
      <c r="AN101" s="124">
        <f t="shared" si="42"/>
        <v>0</v>
      </c>
      <c r="AO101" s="124">
        <f t="shared" si="42"/>
        <v>0</v>
      </c>
      <c r="AP101" s="124">
        <f t="shared" si="42"/>
        <v>0</v>
      </c>
      <c r="AQ101" s="124">
        <f t="shared" si="42"/>
        <v>0</v>
      </c>
      <c r="AR101" s="124">
        <f t="shared" si="42"/>
        <v>0</v>
      </c>
      <c r="AS101" s="124">
        <f t="shared" si="42"/>
        <v>0</v>
      </c>
      <c r="AT101" s="124">
        <f t="shared" si="42"/>
        <v>0</v>
      </c>
      <c r="AU101" s="124">
        <f t="shared" si="42"/>
        <v>0</v>
      </c>
      <c r="AV101" s="124">
        <f t="shared" si="42"/>
        <v>0</v>
      </c>
    </row>
    <row r="102" spans="2:48" ht="12.95" customHeight="1" x14ac:dyDescent="0.2">
      <c r="B102" s="14"/>
      <c r="C102" s="253" t="s">
        <v>867</v>
      </c>
      <c r="F102" s="253" t="s">
        <v>493</v>
      </c>
      <c r="G102" s="253" t="s">
        <v>432</v>
      </c>
      <c r="H102" s="277"/>
      <c r="I102" s="147"/>
      <c r="J102" s="124"/>
      <c r="K102" s="124"/>
      <c r="L102" s="124"/>
      <c r="M102" s="124"/>
      <c r="N102" s="124"/>
      <c r="O102" s="124"/>
      <c r="P102" s="124"/>
      <c r="Q102" s="124"/>
      <c r="R102" s="124">
        <f t="shared" ref="R102:AV102" si="43">IF(R61&gt;0,Q101,0)</f>
        <v>0</v>
      </c>
      <c r="S102" s="124">
        <f t="shared" si="43"/>
        <v>0</v>
      </c>
      <c r="T102" s="124">
        <f t="shared" si="43"/>
        <v>0</v>
      </c>
      <c r="U102" s="124">
        <f t="shared" si="43"/>
        <v>0</v>
      </c>
      <c r="V102" s="124">
        <f t="shared" si="43"/>
        <v>0</v>
      </c>
      <c r="W102" s="124">
        <f t="shared" si="43"/>
        <v>0</v>
      </c>
      <c r="X102" s="124">
        <f t="shared" si="43"/>
        <v>0</v>
      </c>
      <c r="Y102" s="124">
        <f t="shared" si="43"/>
        <v>0</v>
      </c>
      <c r="Z102" s="124">
        <f t="shared" si="43"/>
        <v>0</v>
      </c>
      <c r="AA102" s="124">
        <f t="shared" si="43"/>
        <v>0</v>
      </c>
      <c r="AB102" s="124">
        <f t="shared" si="43"/>
        <v>0</v>
      </c>
      <c r="AC102" s="124">
        <f t="shared" si="43"/>
        <v>0</v>
      </c>
      <c r="AD102" s="124">
        <f t="shared" si="43"/>
        <v>0</v>
      </c>
      <c r="AE102" s="124">
        <f t="shared" si="43"/>
        <v>0</v>
      </c>
      <c r="AF102" s="124">
        <f t="shared" si="43"/>
        <v>0</v>
      </c>
      <c r="AG102" s="124">
        <f t="shared" si="43"/>
        <v>0</v>
      </c>
      <c r="AH102" s="124">
        <f t="shared" si="43"/>
        <v>0</v>
      </c>
      <c r="AI102" s="124">
        <f t="shared" si="43"/>
        <v>0</v>
      </c>
      <c r="AJ102" s="124">
        <f t="shared" si="43"/>
        <v>0</v>
      </c>
      <c r="AK102" s="124">
        <f t="shared" si="43"/>
        <v>0</v>
      </c>
      <c r="AL102" s="124">
        <f t="shared" si="43"/>
        <v>0</v>
      </c>
      <c r="AM102" s="124">
        <f t="shared" si="43"/>
        <v>0</v>
      </c>
      <c r="AN102" s="124">
        <f t="shared" si="43"/>
        <v>0</v>
      </c>
      <c r="AO102" s="124">
        <f t="shared" si="43"/>
        <v>0</v>
      </c>
      <c r="AP102" s="124">
        <f t="shared" si="43"/>
        <v>0</v>
      </c>
      <c r="AQ102" s="124">
        <f t="shared" si="43"/>
        <v>0</v>
      </c>
      <c r="AR102" s="124">
        <f t="shared" si="43"/>
        <v>0</v>
      </c>
      <c r="AS102" s="124">
        <f t="shared" si="43"/>
        <v>0</v>
      </c>
      <c r="AT102" s="124">
        <f t="shared" si="43"/>
        <v>0</v>
      </c>
      <c r="AU102" s="124">
        <f t="shared" si="43"/>
        <v>0</v>
      </c>
      <c r="AV102" s="124">
        <f t="shared" si="43"/>
        <v>0</v>
      </c>
    </row>
    <row r="103" spans="2:48" ht="12.95" customHeight="1" x14ac:dyDescent="0.2">
      <c r="B103" s="14"/>
      <c r="C103" s="253" t="s">
        <v>868</v>
      </c>
      <c r="F103" s="253" t="s">
        <v>493</v>
      </c>
      <c r="G103" s="253" t="s">
        <v>432</v>
      </c>
      <c r="H103" s="277"/>
      <c r="I103" s="147"/>
      <c r="J103" s="124"/>
      <c r="K103" s="124"/>
      <c r="L103" s="124"/>
      <c r="M103" s="124"/>
      <c r="N103" s="124"/>
      <c r="O103" s="124"/>
      <c r="P103" s="124"/>
      <c r="Q103" s="124"/>
      <c r="R103" s="124"/>
      <c r="S103" s="124">
        <f t="shared" ref="S103:AV103" si="44">IF(S62&gt;0,R102,0)</f>
        <v>0</v>
      </c>
      <c r="T103" s="124">
        <f t="shared" si="44"/>
        <v>0</v>
      </c>
      <c r="U103" s="124">
        <f t="shared" si="44"/>
        <v>0</v>
      </c>
      <c r="V103" s="124">
        <f t="shared" si="44"/>
        <v>0</v>
      </c>
      <c r="W103" s="124">
        <f t="shared" si="44"/>
        <v>0</v>
      </c>
      <c r="X103" s="124">
        <f t="shared" si="44"/>
        <v>0</v>
      </c>
      <c r="Y103" s="124">
        <f t="shared" si="44"/>
        <v>0</v>
      </c>
      <c r="Z103" s="124">
        <f t="shared" si="44"/>
        <v>0</v>
      </c>
      <c r="AA103" s="124">
        <f t="shared" si="44"/>
        <v>0</v>
      </c>
      <c r="AB103" s="124">
        <f t="shared" si="44"/>
        <v>0</v>
      </c>
      <c r="AC103" s="124">
        <f t="shared" si="44"/>
        <v>0</v>
      </c>
      <c r="AD103" s="124">
        <f t="shared" si="44"/>
        <v>0</v>
      </c>
      <c r="AE103" s="124">
        <f t="shared" si="44"/>
        <v>0</v>
      </c>
      <c r="AF103" s="124">
        <f t="shared" si="44"/>
        <v>0</v>
      </c>
      <c r="AG103" s="124">
        <f t="shared" si="44"/>
        <v>0</v>
      </c>
      <c r="AH103" s="124">
        <f t="shared" si="44"/>
        <v>0</v>
      </c>
      <c r="AI103" s="124">
        <f t="shared" si="44"/>
        <v>0</v>
      </c>
      <c r="AJ103" s="124">
        <f t="shared" si="44"/>
        <v>0</v>
      </c>
      <c r="AK103" s="124">
        <f t="shared" si="44"/>
        <v>0</v>
      </c>
      <c r="AL103" s="124">
        <f t="shared" si="44"/>
        <v>0</v>
      </c>
      <c r="AM103" s="124">
        <f t="shared" si="44"/>
        <v>0</v>
      </c>
      <c r="AN103" s="124">
        <f t="shared" si="44"/>
        <v>0</v>
      </c>
      <c r="AO103" s="124">
        <f t="shared" si="44"/>
        <v>0</v>
      </c>
      <c r="AP103" s="124">
        <f t="shared" si="44"/>
        <v>0</v>
      </c>
      <c r="AQ103" s="124">
        <f t="shared" si="44"/>
        <v>0</v>
      </c>
      <c r="AR103" s="124">
        <f t="shared" si="44"/>
        <v>0</v>
      </c>
      <c r="AS103" s="124">
        <f t="shared" si="44"/>
        <v>0</v>
      </c>
      <c r="AT103" s="124">
        <f t="shared" si="44"/>
        <v>0</v>
      </c>
      <c r="AU103" s="124">
        <f t="shared" si="44"/>
        <v>0</v>
      </c>
      <c r="AV103" s="124">
        <f t="shared" si="44"/>
        <v>0</v>
      </c>
    </row>
    <row r="104" spans="2:48" ht="12.95" customHeight="1" x14ac:dyDescent="0.2">
      <c r="B104" s="14"/>
      <c r="C104" s="253" t="s">
        <v>869</v>
      </c>
      <c r="F104" s="253" t="s">
        <v>493</v>
      </c>
      <c r="G104" s="253" t="s">
        <v>432</v>
      </c>
      <c r="H104" s="277"/>
      <c r="I104" s="147"/>
      <c r="J104" s="124"/>
      <c r="K104" s="124"/>
      <c r="L104" s="124"/>
      <c r="M104" s="124"/>
      <c r="N104" s="124"/>
      <c r="O104" s="124"/>
      <c r="P104" s="124"/>
      <c r="Q104" s="124"/>
      <c r="R104" s="124"/>
      <c r="S104" s="124"/>
      <c r="T104" s="124">
        <f t="shared" ref="T104:AV104" si="45">IF(T63&gt;0,S103,0)</f>
        <v>0</v>
      </c>
      <c r="U104" s="124">
        <f t="shared" si="45"/>
        <v>0</v>
      </c>
      <c r="V104" s="124">
        <f t="shared" si="45"/>
        <v>0</v>
      </c>
      <c r="W104" s="124">
        <f t="shared" si="45"/>
        <v>0</v>
      </c>
      <c r="X104" s="124">
        <f t="shared" si="45"/>
        <v>0</v>
      </c>
      <c r="Y104" s="124">
        <f t="shared" si="45"/>
        <v>0</v>
      </c>
      <c r="Z104" s="124">
        <f t="shared" si="45"/>
        <v>0</v>
      </c>
      <c r="AA104" s="124">
        <f t="shared" si="45"/>
        <v>0</v>
      </c>
      <c r="AB104" s="124">
        <f t="shared" si="45"/>
        <v>0</v>
      </c>
      <c r="AC104" s="124">
        <f t="shared" si="45"/>
        <v>0</v>
      </c>
      <c r="AD104" s="124">
        <f t="shared" si="45"/>
        <v>0</v>
      </c>
      <c r="AE104" s="124">
        <f t="shared" si="45"/>
        <v>0</v>
      </c>
      <c r="AF104" s="124">
        <f t="shared" si="45"/>
        <v>0</v>
      </c>
      <c r="AG104" s="124">
        <f t="shared" si="45"/>
        <v>0</v>
      </c>
      <c r="AH104" s="124">
        <f t="shared" si="45"/>
        <v>0</v>
      </c>
      <c r="AI104" s="124">
        <f t="shared" si="45"/>
        <v>0</v>
      </c>
      <c r="AJ104" s="124">
        <f t="shared" si="45"/>
        <v>0</v>
      </c>
      <c r="AK104" s="124">
        <f t="shared" si="45"/>
        <v>0</v>
      </c>
      <c r="AL104" s="124">
        <f t="shared" si="45"/>
        <v>0</v>
      </c>
      <c r="AM104" s="124">
        <f t="shared" si="45"/>
        <v>0</v>
      </c>
      <c r="AN104" s="124">
        <f t="shared" si="45"/>
        <v>0</v>
      </c>
      <c r="AO104" s="124">
        <f t="shared" si="45"/>
        <v>0</v>
      </c>
      <c r="AP104" s="124">
        <f t="shared" si="45"/>
        <v>0</v>
      </c>
      <c r="AQ104" s="124">
        <f t="shared" si="45"/>
        <v>0</v>
      </c>
      <c r="AR104" s="124">
        <f t="shared" si="45"/>
        <v>0</v>
      </c>
      <c r="AS104" s="124">
        <f t="shared" si="45"/>
        <v>0</v>
      </c>
      <c r="AT104" s="124">
        <f t="shared" si="45"/>
        <v>0</v>
      </c>
      <c r="AU104" s="124">
        <f t="shared" si="45"/>
        <v>0</v>
      </c>
      <c r="AV104" s="124">
        <f t="shared" si="45"/>
        <v>0</v>
      </c>
    </row>
    <row r="105" spans="2:48" ht="12.95" customHeight="1" x14ac:dyDescent="0.2">
      <c r="B105" s="14"/>
      <c r="C105" s="253" t="s">
        <v>870</v>
      </c>
      <c r="F105" s="253" t="s">
        <v>493</v>
      </c>
      <c r="G105" s="253" t="s">
        <v>432</v>
      </c>
      <c r="H105" s="277"/>
      <c r="I105" s="147"/>
      <c r="J105" s="124"/>
      <c r="K105" s="124"/>
      <c r="L105" s="124"/>
      <c r="M105" s="124"/>
      <c r="N105" s="124"/>
      <c r="O105" s="124"/>
      <c r="P105" s="124"/>
      <c r="Q105" s="124"/>
      <c r="R105" s="124"/>
      <c r="S105" s="124"/>
      <c r="T105" s="124"/>
      <c r="U105" s="124">
        <f t="shared" ref="U105:AV105" si="46">IF(U64&gt;0,T104,0)</f>
        <v>0</v>
      </c>
      <c r="V105" s="124">
        <f t="shared" si="46"/>
        <v>0</v>
      </c>
      <c r="W105" s="124">
        <f t="shared" si="46"/>
        <v>0</v>
      </c>
      <c r="X105" s="124">
        <f t="shared" si="46"/>
        <v>0</v>
      </c>
      <c r="Y105" s="124">
        <f t="shared" si="46"/>
        <v>0</v>
      </c>
      <c r="Z105" s="124">
        <f t="shared" si="46"/>
        <v>0</v>
      </c>
      <c r="AA105" s="124">
        <f t="shared" si="46"/>
        <v>0</v>
      </c>
      <c r="AB105" s="124">
        <f t="shared" si="46"/>
        <v>0</v>
      </c>
      <c r="AC105" s="124">
        <f t="shared" si="46"/>
        <v>0</v>
      </c>
      <c r="AD105" s="124">
        <f t="shared" si="46"/>
        <v>0</v>
      </c>
      <c r="AE105" s="124">
        <f t="shared" si="46"/>
        <v>0</v>
      </c>
      <c r="AF105" s="124">
        <f t="shared" si="46"/>
        <v>0</v>
      </c>
      <c r="AG105" s="124">
        <f t="shared" si="46"/>
        <v>0</v>
      </c>
      <c r="AH105" s="124">
        <f t="shared" si="46"/>
        <v>0</v>
      </c>
      <c r="AI105" s="124">
        <f t="shared" si="46"/>
        <v>0</v>
      </c>
      <c r="AJ105" s="124">
        <f t="shared" si="46"/>
        <v>0</v>
      </c>
      <c r="AK105" s="124">
        <f t="shared" si="46"/>
        <v>0</v>
      </c>
      <c r="AL105" s="124">
        <f t="shared" si="46"/>
        <v>0</v>
      </c>
      <c r="AM105" s="124">
        <f t="shared" si="46"/>
        <v>0</v>
      </c>
      <c r="AN105" s="124">
        <f t="shared" si="46"/>
        <v>0</v>
      </c>
      <c r="AO105" s="124">
        <f t="shared" si="46"/>
        <v>0</v>
      </c>
      <c r="AP105" s="124">
        <f t="shared" si="46"/>
        <v>0</v>
      </c>
      <c r="AQ105" s="124">
        <f t="shared" si="46"/>
        <v>0</v>
      </c>
      <c r="AR105" s="124">
        <f t="shared" si="46"/>
        <v>0</v>
      </c>
      <c r="AS105" s="124">
        <f t="shared" si="46"/>
        <v>0</v>
      </c>
      <c r="AT105" s="124">
        <f t="shared" si="46"/>
        <v>0</v>
      </c>
      <c r="AU105" s="124">
        <f t="shared" si="46"/>
        <v>0</v>
      </c>
      <c r="AV105" s="124">
        <f t="shared" si="46"/>
        <v>0</v>
      </c>
    </row>
    <row r="106" spans="2:48" ht="12.95" customHeight="1" x14ac:dyDescent="0.2">
      <c r="B106" s="14"/>
      <c r="C106" s="253" t="s">
        <v>871</v>
      </c>
      <c r="F106" s="253" t="s">
        <v>493</v>
      </c>
      <c r="G106" s="253" t="s">
        <v>432</v>
      </c>
      <c r="H106" s="277"/>
      <c r="I106" s="147"/>
      <c r="J106" s="124"/>
      <c r="K106" s="124"/>
      <c r="L106" s="124"/>
      <c r="M106" s="124"/>
      <c r="N106" s="124"/>
      <c r="O106" s="124"/>
      <c r="P106" s="124"/>
      <c r="Q106" s="124"/>
      <c r="R106" s="124"/>
      <c r="S106" s="124"/>
      <c r="T106" s="124"/>
      <c r="U106" s="124"/>
      <c r="V106" s="124">
        <f t="shared" ref="V106:AV106" si="47">IF(V65&gt;0,U105,0)</f>
        <v>0</v>
      </c>
      <c r="W106" s="124">
        <f t="shared" si="47"/>
        <v>0</v>
      </c>
      <c r="X106" s="124">
        <f t="shared" si="47"/>
        <v>0</v>
      </c>
      <c r="Y106" s="124">
        <f t="shared" si="47"/>
        <v>0</v>
      </c>
      <c r="Z106" s="124">
        <f t="shared" si="47"/>
        <v>0</v>
      </c>
      <c r="AA106" s="124">
        <f t="shared" si="47"/>
        <v>0</v>
      </c>
      <c r="AB106" s="124">
        <f t="shared" si="47"/>
        <v>0</v>
      </c>
      <c r="AC106" s="124">
        <f t="shared" si="47"/>
        <v>0</v>
      </c>
      <c r="AD106" s="124">
        <f t="shared" si="47"/>
        <v>0</v>
      </c>
      <c r="AE106" s="124">
        <f t="shared" si="47"/>
        <v>0</v>
      </c>
      <c r="AF106" s="124">
        <f t="shared" si="47"/>
        <v>0</v>
      </c>
      <c r="AG106" s="124">
        <f t="shared" si="47"/>
        <v>0</v>
      </c>
      <c r="AH106" s="124">
        <f t="shared" si="47"/>
        <v>0</v>
      </c>
      <c r="AI106" s="124">
        <f t="shared" si="47"/>
        <v>0</v>
      </c>
      <c r="AJ106" s="124">
        <f t="shared" si="47"/>
        <v>0</v>
      </c>
      <c r="AK106" s="124">
        <f t="shared" si="47"/>
        <v>0</v>
      </c>
      <c r="AL106" s="124">
        <f t="shared" si="47"/>
        <v>0</v>
      </c>
      <c r="AM106" s="124">
        <f t="shared" si="47"/>
        <v>0</v>
      </c>
      <c r="AN106" s="124">
        <f t="shared" si="47"/>
        <v>0</v>
      </c>
      <c r="AO106" s="124">
        <f t="shared" si="47"/>
        <v>0</v>
      </c>
      <c r="AP106" s="124">
        <f t="shared" si="47"/>
        <v>0</v>
      </c>
      <c r="AQ106" s="124">
        <f t="shared" si="47"/>
        <v>0</v>
      </c>
      <c r="AR106" s="124">
        <f t="shared" si="47"/>
        <v>0</v>
      </c>
      <c r="AS106" s="124">
        <f t="shared" si="47"/>
        <v>0</v>
      </c>
      <c r="AT106" s="124">
        <f t="shared" si="47"/>
        <v>0</v>
      </c>
      <c r="AU106" s="124">
        <f t="shared" si="47"/>
        <v>0</v>
      </c>
      <c r="AV106" s="124">
        <f t="shared" si="47"/>
        <v>0</v>
      </c>
    </row>
    <row r="107" spans="2:48" ht="12.95" customHeight="1" x14ac:dyDescent="0.2">
      <c r="B107" s="14"/>
      <c r="C107" s="253" t="s">
        <v>872</v>
      </c>
      <c r="F107" s="253" t="s">
        <v>493</v>
      </c>
      <c r="G107" s="253" t="s">
        <v>432</v>
      </c>
      <c r="H107" s="277"/>
      <c r="I107" s="147"/>
      <c r="J107" s="124"/>
      <c r="K107" s="124"/>
      <c r="L107" s="124"/>
      <c r="M107" s="124"/>
      <c r="N107" s="124"/>
      <c r="O107" s="124"/>
      <c r="P107" s="124"/>
      <c r="Q107" s="124"/>
      <c r="R107" s="124"/>
      <c r="S107" s="124"/>
      <c r="T107" s="124"/>
      <c r="U107" s="124"/>
      <c r="V107" s="124"/>
      <c r="W107" s="124">
        <f t="shared" ref="W107:AV107" si="48">IF(W66&gt;0,V106,0)</f>
        <v>0</v>
      </c>
      <c r="X107" s="124">
        <f t="shared" si="48"/>
        <v>0</v>
      </c>
      <c r="Y107" s="124">
        <f t="shared" si="48"/>
        <v>0</v>
      </c>
      <c r="Z107" s="124">
        <f t="shared" si="48"/>
        <v>0</v>
      </c>
      <c r="AA107" s="124">
        <f t="shared" si="48"/>
        <v>0</v>
      </c>
      <c r="AB107" s="124">
        <f t="shared" si="48"/>
        <v>0</v>
      </c>
      <c r="AC107" s="124">
        <f t="shared" si="48"/>
        <v>0</v>
      </c>
      <c r="AD107" s="124">
        <f t="shared" si="48"/>
        <v>0</v>
      </c>
      <c r="AE107" s="124">
        <f t="shared" si="48"/>
        <v>0</v>
      </c>
      <c r="AF107" s="124">
        <f t="shared" si="48"/>
        <v>0</v>
      </c>
      <c r="AG107" s="124">
        <f t="shared" si="48"/>
        <v>0</v>
      </c>
      <c r="AH107" s="124">
        <f t="shared" si="48"/>
        <v>0</v>
      </c>
      <c r="AI107" s="124">
        <f t="shared" si="48"/>
        <v>0</v>
      </c>
      <c r="AJ107" s="124">
        <f t="shared" si="48"/>
        <v>0</v>
      </c>
      <c r="AK107" s="124">
        <f t="shared" si="48"/>
        <v>0</v>
      </c>
      <c r="AL107" s="124">
        <f t="shared" si="48"/>
        <v>0</v>
      </c>
      <c r="AM107" s="124">
        <f t="shared" si="48"/>
        <v>0</v>
      </c>
      <c r="AN107" s="124">
        <f t="shared" si="48"/>
        <v>0</v>
      </c>
      <c r="AO107" s="124">
        <f t="shared" si="48"/>
        <v>0</v>
      </c>
      <c r="AP107" s="124">
        <f t="shared" si="48"/>
        <v>0</v>
      </c>
      <c r="AQ107" s="124">
        <f t="shared" si="48"/>
        <v>0</v>
      </c>
      <c r="AR107" s="124">
        <f t="shared" si="48"/>
        <v>0</v>
      </c>
      <c r="AS107" s="124">
        <f t="shared" si="48"/>
        <v>0</v>
      </c>
      <c r="AT107" s="124">
        <f t="shared" si="48"/>
        <v>0</v>
      </c>
      <c r="AU107" s="124">
        <f t="shared" si="48"/>
        <v>0</v>
      </c>
      <c r="AV107" s="124">
        <f t="shared" si="48"/>
        <v>0</v>
      </c>
    </row>
    <row r="108" spans="2:48" ht="12.95" customHeight="1" x14ac:dyDescent="0.2">
      <c r="B108" s="14"/>
      <c r="C108" s="253" t="s">
        <v>873</v>
      </c>
      <c r="F108" s="253" t="s">
        <v>493</v>
      </c>
      <c r="G108" s="253" t="s">
        <v>432</v>
      </c>
      <c r="H108" s="277"/>
      <c r="I108" s="147"/>
      <c r="J108" s="124"/>
      <c r="K108" s="124"/>
      <c r="L108" s="124"/>
      <c r="M108" s="124"/>
      <c r="N108" s="124"/>
      <c r="O108" s="124"/>
      <c r="P108" s="124"/>
      <c r="Q108" s="124"/>
      <c r="R108" s="124"/>
      <c r="S108" s="124"/>
      <c r="T108" s="124"/>
      <c r="U108" s="124"/>
      <c r="V108" s="124"/>
      <c r="W108" s="124"/>
      <c r="X108" s="124">
        <f t="shared" ref="X108:AV108" si="49">IF(X67&gt;0,W107,0)</f>
        <v>0</v>
      </c>
      <c r="Y108" s="124">
        <f t="shared" si="49"/>
        <v>0</v>
      </c>
      <c r="Z108" s="124">
        <f t="shared" si="49"/>
        <v>0</v>
      </c>
      <c r="AA108" s="124">
        <f t="shared" si="49"/>
        <v>0</v>
      </c>
      <c r="AB108" s="124">
        <f t="shared" si="49"/>
        <v>0</v>
      </c>
      <c r="AC108" s="124">
        <f t="shared" si="49"/>
        <v>0</v>
      </c>
      <c r="AD108" s="124">
        <f t="shared" si="49"/>
        <v>0</v>
      </c>
      <c r="AE108" s="124">
        <f t="shared" si="49"/>
        <v>0</v>
      </c>
      <c r="AF108" s="124">
        <f t="shared" si="49"/>
        <v>0</v>
      </c>
      <c r="AG108" s="124">
        <f t="shared" si="49"/>
        <v>0</v>
      </c>
      <c r="AH108" s="124">
        <f t="shared" si="49"/>
        <v>0</v>
      </c>
      <c r="AI108" s="124">
        <f t="shared" si="49"/>
        <v>0</v>
      </c>
      <c r="AJ108" s="124">
        <f t="shared" si="49"/>
        <v>0</v>
      </c>
      <c r="AK108" s="124">
        <f t="shared" si="49"/>
        <v>0</v>
      </c>
      <c r="AL108" s="124">
        <f t="shared" si="49"/>
        <v>0</v>
      </c>
      <c r="AM108" s="124">
        <f t="shared" si="49"/>
        <v>0</v>
      </c>
      <c r="AN108" s="124">
        <f t="shared" si="49"/>
        <v>0</v>
      </c>
      <c r="AO108" s="124">
        <f t="shared" si="49"/>
        <v>0</v>
      </c>
      <c r="AP108" s="124">
        <f t="shared" si="49"/>
        <v>0</v>
      </c>
      <c r="AQ108" s="124">
        <f t="shared" si="49"/>
        <v>0</v>
      </c>
      <c r="AR108" s="124">
        <f t="shared" si="49"/>
        <v>0</v>
      </c>
      <c r="AS108" s="124">
        <f t="shared" si="49"/>
        <v>0</v>
      </c>
      <c r="AT108" s="124">
        <f t="shared" si="49"/>
        <v>0</v>
      </c>
      <c r="AU108" s="124">
        <f t="shared" si="49"/>
        <v>0</v>
      </c>
      <c r="AV108" s="124">
        <f t="shared" si="49"/>
        <v>0</v>
      </c>
    </row>
    <row r="109" spans="2:48" ht="12.95" customHeight="1" x14ac:dyDescent="0.2">
      <c r="B109" s="14"/>
      <c r="C109" s="253" t="s">
        <v>874</v>
      </c>
      <c r="F109" s="253" t="s">
        <v>493</v>
      </c>
      <c r="G109" s="253" t="s">
        <v>432</v>
      </c>
      <c r="H109" s="277"/>
      <c r="I109" s="147"/>
      <c r="J109" s="124"/>
      <c r="K109" s="124"/>
      <c r="L109" s="124"/>
      <c r="M109" s="124"/>
      <c r="N109" s="124"/>
      <c r="O109" s="124"/>
      <c r="P109" s="124"/>
      <c r="Q109" s="124"/>
      <c r="R109" s="124"/>
      <c r="S109" s="124"/>
      <c r="T109" s="124"/>
      <c r="U109" s="124"/>
      <c r="V109" s="124"/>
      <c r="W109" s="124"/>
      <c r="X109" s="124"/>
      <c r="Y109" s="124">
        <f t="shared" ref="Y109:AV109" si="50">IF(Y68&gt;0,X108,0)</f>
        <v>0</v>
      </c>
      <c r="Z109" s="124">
        <f t="shared" si="50"/>
        <v>0</v>
      </c>
      <c r="AA109" s="124">
        <f t="shared" si="50"/>
        <v>0</v>
      </c>
      <c r="AB109" s="124">
        <f t="shared" si="50"/>
        <v>0</v>
      </c>
      <c r="AC109" s="124">
        <f t="shared" si="50"/>
        <v>0</v>
      </c>
      <c r="AD109" s="124">
        <f t="shared" si="50"/>
        <v>0</v>
      </c>
      <c r="AE109" s="124">
        <f t="shared" si="50"/>
        <v>0</v>
      </c>
      <c r="AF109" s="124">
        <f t="shared" si="50"/>
        <v>0</v>
      </c>
      <c r="AG109" s="124">
        <f t="shared" si="50"/>
        <v>0</v>
      </c>
      <c r="AH109" s="124">
        <f t="shared" si="50"/>
        <v>0</v>
      </c>
      <c r="AI109" s="124">
        <f t="shared" si="50"/>
        <v>0</v>
      </c>
      <c r="AJ109" s="124">
        <f t="shared" si="50"/>
        <v>0</v>
      </c>
      <c r="AK109" s="124">
        <f t="shared" si="50"/>
        <v>0</v>
      </c>
      <c r="AL109" s="124">
        <f t="shared" si="50"/>
        <v>0</v>
      </c>
      <c r="AM109" s="124">
        <f t="shared" si="50"/>
        <v>0</v>
      </c>
      <c r="AN109" s="124">
        <f t="shared" si="50"/>
        <v>0</v>
      </c>
      <c r="AO109" s="124">
        <f t="shared" si="50"/>
        <v>0</v>
      </c>
      <c r="AP109" s="124">
        <f t="shared" si="50"/>
        <v>0</v>
      </c>
      <c r="AQ109" s="124">
        <f t="shared" si="50"/>
        <v>0</v>
      </c>
      <c r="AR109" s="124">
        <f t="shared" si="50"/>
        <v>0</v>
      </c>
      <c r="AS109" s="124">
        <f t="shared" si="50"/>
        <v>0</v>
      </c>
      <c r="AT109" s="124">
        <f t="shared" si="50"/>
        <v>0</v>
      </c>
      <c r="AU109" s="124">
        <f t="shared" si="50"/>
        <v>0</v>
      </c>
      <c r="AV109" s="124">
        <f t="shared" si="50"/>
        <v>0</v>
      </c>
    </row>
    <row r="110" spans="2:48" ht="12.95" customHeight="1" x14ac:dyDescent="0.2">
      <c r="B110" s="14"/>
      <c r="C110" s="253" t="s">
        <v>875</v>
      </c>
      <c r="F110" s="253" t="s">
        <v>493</v>
      </c>
      <c r="G110" s="253" t="s">
        <v>432</v>
      </c>
      <c r="H110" s="277"/>
      <c r="I110" s="147"/>
      <c r="J110" s="124"/>
      <c r="K110" s="124"/>
      <c r="L110" s="124"/>
      <c r="M110" s="124"/>
      <c r="N110" s="124"/>
      <c r="O110" s="124"/>
      <c r="P110" s="124"/>
      <c r="Q110" s="124"/>
      <c r="R110" s="124"/>
      <c r="S110" s="124"/>
      <c r="T110" s="124"/>
      <c r="U110" s="124"/>
      <c r="V110" s="124"/>
      <c r="W110" s="124"/>
      <c r="X110" s="124"/>
      <c r="Y110" s="124"/>
      <c r="Z110" s="124">
        <f t="shared" ref="Z110:AV110" si="51">IF(Z69&gt;0,Y109,0)</f>
        <v>0</v>
      </c>
      <c r="AA110" s="124">
        <f t="shared" si="51"/>
        <v>0</v>
      </c>
      <c r="AB110" s="124">
        <f t="shared" si="51"/>
        <v>0</v>
      </c>
      <c r="AC110" s="124">
        <f t="shared" si="51"/>
        <v>0</v>
      </c>
      <c r="AD110" s="124">
        <f t="shared" si="51"/>
        <v>0</v>
      </c>
      <c r="AE110" s="124">
        <f t="shared" si="51"/>
        <v>0</v>
      </c>
      <c r="AF110" s="124">
        <f t="shared" si="51"/>
        <v>0</v>
      </c>
      <c r="AG110" s="124">
        <f t="shared" si="51"/>
        <v>0</v>
      </c>
      <c r="AH110" s="124">
        <f t="shared" si="51"/>
        <v>0</v>
      </c>
      <c r="AI110" s="124">
        <f t="shared" si="51"/>
        <v>0</v>
      </c>
      <c r="AJ110" s="124">
        <f t="shared" si="51"/>
        <v>0</v>
      </c>
      <c r="AK110" s="124">
        <f t="shared" si="51"/>
        <v>0</v>
      </c>
      <c r="AL110" s="124">
        <f t="shared" si="51"/>
        <v>0</v>
      </c>
      <c r="AM110" s="124">
        <f t="shared" si="51"/>
        <v>0</v>
      </c>
      <c r="AN110" s="124">
        <f t="shared" si="51"/>
        <v>0</v>
      </c>
      <c r="AO110" s="124">
        <f t="shared" si="51"/>
        <v>0</v>
      </c>
      <c r="AP110" s="124">
        <f t="shared" si="51"/>
        <v>0</v>
      </c>
      <c r="AQ110" s="124">
        <f t="shared" si="51"/>
        <v>0</v>
      </c>
      <c r="AR110" s="124">
        <f t="shared" si="51"/>
        <v>0</v>
      </c>
      <c r="AS110" s="124">
        <f t="shared" si="51"/>
        <v>0</v>
      </c>
      <c r="AT110" s="124">
        <f t="shared" si="51"/>
        <v>0</v>
      </c>
      <c r="AU110" s="124">
        <f t="shared" si="51"/>
        <v>0</v>
      </c>
      <c r="AV110" s="124">
        <f t="shared" si="51"/>
        <v>0</v>
      </c>
    </row>
    <row r="111" spans="2:48" ht="12.95" customHeight="1" x14ac:dyDescent="0.2">
      <c r="B111" s="14"/>
      <c r="C111" s="253" t="s">
        <v>876</v>
      </c>
      <c r="F111" s="253" t="s">
        <v>493</v>
      </c>
      <c r="G111" s="253" t="s">
        <v>432</v>
      </c>
      <c r="H111" s="277"/>
      <c r="I111" s="147"/>
      <c r="J111" s="124"/>
      <c r="K111" s="124"/>
      <c r="L111" s="124"/>
      <c r="M111" s="124"/>
      <c r="N111" s="124"/>
      <c r="O111" s="124"/>
      <c r="P111" s="124"/>
      <c r="Q111" s="124"/>
      <c r="R111" s="124"/>
      <c r="S111" s="124"/>
      <c r="T111" s="124"/>
      <c r="U111" s="124"/>
      <c r="V111" s="124"/>
      <c r="W111" s="124"/>
      <c r="X111" s="124"/>
      <c r="Y111" s="124"/>
      <c r="Z111" s="124"/>
      <c r="AA111" s="124">
        <f t="shared" ref="AA111:AV111" si="52">IF(AA70&gt;0,Z110,0)</f>
        <v>0</v>
      </c>
      <c r="AB111" s="124">
        <f t="shared" si="52"/>
        <v>0</v>
      </c>
      <c r="AC111" s="124">
        <f t="shared" si="52"/>
        <v>0</v>
      </c>
      <c r="AD111" s="124">
        <f t="shared" si="52"/>
        <v>0</v>
      </c>
      <c r="AE111" s="124">
        <f t="shared" si="52"/>
        <v>0</v>
      </c>
      <c r="AF111" s="124">
        <f t="shared" si="52"/>
        <v>0</v>
      </c>
      <c r="AG111" s="124">
        <f t="shared" si="52"/>
        <v>0</v>
      </c>
      <c r="AH111" s="124">
        <f t="shared" si="52"/>
        <v>0</v>
      </c>
      <c r="AI111" s="124">
        <f t="shared" si="52"/>
        <v>0</v>
      </c>
      <c r="AJ111" s="124">
        <f t="shared" si="52"/>
        <v>0</v>
      </c>
      <c r="AK111" s="124">
        <f t="shared" si="52"/>
        <v>0</v>
      </c>
      <c r="AL111" s="124">
        <f t="shared" si="52"/>
        <v>0</v>
      </c>
      <c r="AM111" s="124">
        <f t="shared" si="52"/>
        <v>0</v>
      </c>
      <c r="AN111" s="124">
        <f t="shared" si="52"/>
        <v>0</v>
      </c>
      <c r="AO111" s="124">
        <f t="shared" si="52"/>
        <v>0</v>
      </c>
      <c r="AP111" s="124">
        <f t="shared" si="52"/>
        <v>0</v>
      </c>
      <c r="AQ111" s="124">
        <f t="shared" si="52"/>
        <v>0</v>
      </c>
      <c r="AR111" s="124">
        <f t="shared" si="52"/>
        <v>0</v>
      </c>
      <c r="AS111" s="124">
        <f t="shared" si="52"/>
        <v>0</v>
      </c>
      <c r="AT111" s="124">
        <f t="shared" si="52"/>
        <v>0</v>
      </c>
      <c r="AU111" s="124">
        <f t="shared" si="52"/>
        <v>0</v>
      </c>
      <c r="AV111" s="124">
        <f t="shared" si="52"/>
        <v>0</v>
      </c>
    </row>
    <row r="112" spans="2:48" ht="12.95" customHeight="1" x14ac:dyDescent="0.2">
      <c r="B112" s="14"/>
      <c r="C112" s="253" t="s">
        <v>877</v>
      </c>
      <c r="F112" s="253" t="s">
        <v>493</v>
      </c>
      <c r="G112" s="253" t="s">
        <v>432</v>
      </c>
      <c r="H112" s="277"/>
      <c r="I112" s="147"/>
      <c r="J112" s="124"/>
      <c r="K112" s="124"/>
      <c r="L112" s="124"/>
      <c r="M112" s="124"/>
      <c r="N112" s="124"/>
      <c r="O112" s="124"/>
      <c r="P112" s="124"/>
      <c r="Q112" s="124"/>
      <c r="R112" s="124"/>
      <c r="S112" s="124"/>
      <c r="T112" s="124"/>
      <c r="U112" s="124"/>
      <c r="V112" s="124"/>
      <c r="W112" s="124"/>
      <c r="X112" s="124"/>
      <c r="Y112" s="124"/>
      <c r="Z112" s="124"/>
      <c r="AA112" s="124"/>
      <c r="AB112" s="124">
        <f t="shared" ref="AB112:AV112" si="53">IF(AB71&gt;0,AA111,0)</f>
        <v>0</v>
      </c>
      <c r="AC112" s="124">
        <f t="shared" si="53"/>
        <v>0</v>
      </c>
      <c r="AD112" s="124">
        <f t="shared" si="53"/>
        <v>0</v>
      </c>
      <c r="AE112" s="124">
        <f t="shared" si="53"/>
        <v>0</v>
      </c>
      <c r="AF112" s="124">
        <f t="shared" si="53"/>
        <v>0</v>
      </c>
      <c r="AG112" s="124">
        <f t="shared" si="53"/>
        <v>0</v>
      </c>
      <c r="AH112" s="124">
        <f t="shared" si="53"/>
        <v>0</v>
      </c>
      <c r="AI112" s="124">
        <f t="shared" si="53"/>
        <v>0</v>
      </c>
      <c r="AJ112" s="124">
        <f t="shared" si="53"/>
        <v>0</v>
      </c>
      <c r="AK112" s="124">
        <f t="shared" si="53"/>
        <v>0</v>
      </c>
      <c r="AL112" s="124">
        <f t="shared" si="53"/>
        <v>0</v>
      </c>
      <c r="AM112" s="124">
        <f t="shared" si="53"/>
        <v>0</v>
      </c>
      <c r="AN112" s="124">
        <f t="shared" si="53"/>
        <v>0</v>
      </c>
      <c r="AO112" s="124">
        <f t="shared" si="53"/>
        <v>0</v>
      </c>
      <c r="AP112" s="124">
        <f t="shared" si="53"/>
        <v>0</v>
      </c>
      <c r="AQ112" s="124">
        <f t="shared" si="53"/>
        <v>0</v>
      </c>
      <c r="AR112" s="124">
        <f t="shared" si="53"/>
        <v>0</v>
      </c>
      <c r="AS112" s="124">
        <f t="shared" si="53"/>
        <v>0</v>
      </c>
      <c r="AT112" s="124">
        <f t="shared" si="53"/>
        <v>0</v>
      </c>
      <c r="AU112" s="124">
        <f t="shared" si="53"/>
        <v>0</v>
      </c>
      <c r="AV112" s="124">
        <f t="shared" si="53"/>
        <v>0</v>
      </c>
    </row>
    <row r="113" spans="2:48" ht="12.95" customHeight="1" x14ac:dyDescent="0.2">
      <c r="B113" s="14"/>
      <c r="C113" s="253" t="s">
        <v>878</v>
      </c>
      <c r="F113" s="253" t="s">
        <v>493</v>
      </c>
      <c r="G113" s="253" t="s">
        <v>432</v>
      </c>
      <c r="H113" s="277"/>
      <c r="I113" s="147"/>
      <c r="J113" s="124"/>
      <c r="K113" s="124"/>
      <c r="L113" s="124"/>
      <c r="M113" s="124"/>
      <c r="N113" s="124"/>
      <c r="O113" s="124"/>
      <c r="P113" s="124"/>
      <c r="Q113" s="124"/>
      <c r="R113" s="124"/>
      <c r="S113" s="124"/>
      <c r="T113" s="124"/>
      <c r="U113" s="124"/>
      <c r="V113" s="124"/>
      <c r="W113" s="124"/>
      <c r="X113" s="124"/>
      <c r="Y113" s="124"/>
      <c r="Z113" s="124"/>
      <c r="AA113" s="124"/>
      <c r="AB113" s="124"/>
      <c r="AC113" s="124">
        <f t="shared" ref="AC113:AV113" si="54">IF(AC72&gt;0,AB112,0)</f>
        <v>0</v>
      </c>
      <c r="AD113" s="124">
        <f t="shared" si="54"/>
        <v>0</v>
      </c>
      <c r="AE113" s="124">
        <f t="shared" si="54"/>
        <v>0</v>
      </c>
      <c r="AF113" s="124">
        <f t="shared" si="54"/>
        <v>0</v>
      </c>
      <c r="AG113" s="124">
        <f t="shared" si="54"/>
        <v>0</v>
      </c>
      <c r="AH113" s="124">
        <f t="shared" si="54"/>
        <v>0</v>
      </c>
      <c r="AI113" s="124">
        <f t="shared" si="54"/>
        <v>0</v>
      </c>
      <c r="AJ113" s="124">
        <f t="shared" si="54"/>
        <v>0</v>
      </c>
      <c r="AK113" s="124">
        <f t="shared" si="54"/>
        <v>0</v>
      </c>
      <c r="AL113" s="124">
        <f t="shared" si="54"/>
        <v>0</v>
      </c>
      <c r="AM113" s="124">
        <f t="shared" si="54"/>
        <v>0</v>
      </c>
      <c r="AN113" s="124">
        <f t="shared" si="54"/>
        <v>0</v>
      </c>
      <c r="AO113" s="124">
        <f t="shared" si="54"/>
        <v>0</v>
      </c>
      <c r="AP113" s="124">
        <f t="shared" si="54"/>
        <v>0</v>
      </c>
      <c r="AQ113" s="124">
        <f t="shared" si="54"/>
        <v>0</v>
      </c>
      <c r="AR113" s="124">
        <f t="shared" si="54"/>
        <v>0</v>
      </c>
      <c r="AS113" s="124">
        <f t="shared" si="54"/>
        <v>0</v>
      </c>
      <c r="AT113" s="124">
        <f t="shared" si="54"/>
        <v>0</v>
      </c>
      <c r="AU113" s="124">
        <f t="shared" si="54"/>
        <v>0</v>
      </c>
      <c r="AV113" s="124">
        <f t="shared" si="54"/>
        <v>0</v>
      </c>
    </row>
    <row r="114" spans="2:48" ht="12.95" customHeight="1" x14ac:dyDescent="0.2">
      <c r="B114" s="14"/>
      <c r="C114" s="253" t="s">
        <v>879</v>
      </c>
      <c r="F114" s="253" t="s">
        <v>493</v>
      </c>
      <c r="G114" s="253" t="s">
        <v>432</v>
      </c>
      <c r="H114" s="277"/>
      <c r="I114" s="147"/>
      <c r="J114" s="124"/>
      <c r="K114" s="124"/>
      <c r="L114" s="124"/>
      <c r="M114" s="124"/>
      <c r="N114" s="124"/>
      <c r="O114" s="124"/>
      <c r="P114" s="124"/>
      <c r="Q114" s="124"/>
      <c r="R114" s="124"/>
      <c r="S114" s="124"/>
      <c r="T114" s="124"/>
      <c r="U114" s="124"/>
      <c r="V114" s="124"/>
      <c r="W114" s="124"/>
      <c r="X114" s="124"/>
      <c r="Y114" s="124"/>
      <c r="Z114" s="124"/>
      <c r="AA114" s="124"/>
      <c r="AB114" s="124"/>
      <c r="AC114" s="124"/>
      <c r="AD114" s="124">
        <f t="shared" ref="AD114:AV114" si="55">IF(AD73&gt;0,AC113,0)</f>
        <v>0</v>
      </c>
      <c r="AE114" s="124">
        <f t="shared" si="55"/>
        <v>0</v>
      </c>
      <c r="AF114" s="124">
        <f t="shared" si="55"/>
        <v>0</v>
      </c>
      <c r="AG114" s="124">
        <f t="shared" si="55"/>
        <v>0</v>
      </c>
      <c r="AH114" s="124">
        <f t="shared" si="55"/>
        <v>0</v>
      </c>
      <c r="AI114" s="124">
        <f t="shared" si="55"/>
        <v>0</v>
      </c>
      <c r="AJ114" s="124">
        <f t="shared" si="55"/>
        <v>0</v>
      </c>
      <c r="AK114" s="124">
        <f t="shared" si="55"/>
        <v>0</v>
      </c>
      <c r="AL114" s="124">
        <f t="shared" si="55"/>
        <v>0</v>
      </c>
      <c r="AM114" s="124">
        <f t="shared" si="55"/>
        <v>0</v>
      </c>
      <c r="AN114" s="124">
        <f t="shared" si="55"/>
        <v>0</v>
      </c>
      <c r="AO114" s="124">
        <f t="shared" si="55"/>
        <v>0</v>
      </c>
      <c r="AP114" s="124">
        <f t="shared" si="55"/>
        <v>0</v>
      </c>
      <c r="AQ114" s="124">
        <f t="shared" si="55"/>
        <v>0</v>
      </c>
      <c r="AR114" s="124">
        <f t="shared" si="55"/>
        <v>0</v>
      </c>
      <c r="AS114" s="124">
        <f t="shared" si="55"/>
        <v>0</v>
      </c>
      <c r="AT114" s="124">
        <f t="shared" si="55"/>
        <v>0</v>
      </c>
      <c r="AU114" s="124">
        <f t="shared" si="55"/>
        <v>0</v>
      </c>
      <c r="AV114" s="124">
        <f t="shared" si="55"/>
        <v>0</v>
      </c>
    </row>
    <row r="115" spans="2:48" ht="12.95" customHeight="1" x14ac:dyDescent="0.2">
      <c r="B115" s="14"/>
      <c r="C115" s="253" t="s">
        <v>880</v>
      </c>
      <c r="F115" s="253" t="s">
        <v>493</v>
      </c>
      <c r="G115" s="253" t="s">
        <v>432</v>
      </c>
      <c r="H115" s="277"/>
      <c r="I115" s="147"/>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f t="shared" ref="AE115:AV115" si="56">IF(AE74&gt;0,AD114,0)</f>
        <v>0</v>
      </c>
      <c r="AF115" s="124">
        <f t="shared" si="56"/>
        <v>0</v>
      </c>
      <c r="AG115" s="124">
        <f t="shared" si="56"/>
        <v>0</v>
      </c>
      <c r="AH115" s="124">
        <f t="shared" si="56"/>
        <v>0</v>
      </c>
      <c r="AI115" s="124">
        <f t="shared" si="56"/>
        <v>0</v>
      </c>
      <c r="AJ115" s="124">
        <f t="shared" si="56"/>
        <v>0</v>
      </c>
      <c r="AK115" s="124">
        <f t="shared" si="56"/>
        <v>0</v>
      </c>
      <c r="AL115" s="124">
        <f t="shared" si="56"/>
        <v>0</v>
      </c>
      <c r="AM115" s="124">
        <f t="shared" si="56"/>
        <v>0</v>
      </c>
      <c r="AN115" s="124">
        <f t="shared" si="56"/>
        <v>0</v>
      </c>
      <c r="AO115" s="124">
        <f t="shared" si="56"/>
        <v>0</v>
      </c>
      <c r="AP115" s="124">
        <f t="shared" si="56"/>
        <v>0</v>
      </c>
      <c r="AQ115" s="124">
        <f t="shared" si="56"/>
        <v>0</v>
      </c>
      <c r="AR115" s="124">
        <f t="shared" si="56"/>
        <v>0</v>
      </c>
      <c r="AS115" s="124">
        <f t="shared" si="56"/>
        <v>0</v>
      </c>
      <c r="AT115" s="124">
        <f t="shared" si="56"/>
        <v>0</v>
      </c>
      <c r="AU115" s="124">
        <f t="shared" si="56"/>
        <v>0</v>
      </c>
      <c r="AV115" s="124">
        <f t="shared" si="56"/>
        <v>0</v>
      </c>
    </row>
    <row r="116" spans="2:48" ht="12.95" customHeight="1" x14ac:dyDescent="0.2">
      <c r="B116" s="14"/>
      <c r="C116" s="253" t="s">
        <v>881</v>
      </c>
      <c r="F116" s="253" t="s">
        <v>493</v>
      </c>
      <c r="G116" s="253" t="s">
        <v>432</v>
      </c>
      <c r="H116" s="277"/>
      <c r="I116" s="147"/>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f t="shared" ref="AF116:AV116" si="57">IF(AF75&gt;0,AE115,0)</f>
        <v>0</v>
      </c>
      <c r="AG116" s="124">
        <f t="shared" si="57"/>
        <v>0</v>
      </c>
      <c r="AH116" s="124">
        <f t="shared" si="57"/>
        <v>0</v>
      </c>
      <c r="AI116" s="124">
        <f t="shared" si="57"/>
        <v>0</v>
      </c>
      <c r="AJ116" s="124">
        <f t="shared" si="57"/>
        <v>0</v>
      </c>
      <c r="AK116" s="124">
        <f t="shared" si="57"/>
        <v>0</v>
      </c>
      <c r="AL116" s="124">
        <f t="shared" si="57"/>
        <v>0</v>
      </c>
      <c r="AM116" s="124">
        <f t="shared" si="57"/>
        <v>0</v>
      </c>
      <c r="AN116" s="124">
        <f t="shared" si="57"/>
        <v>0</v>
      </c>
      <c r="AO116" s="124">
        <f t="shared" si="57"/>
        <v>0</v>
      </c>
      <c r="AP116" s="124">
        <f t="shared" si="57"/>
        <v>0</v>
      </c>
      <c r="AQ116" s="124">
        <f t="shared" si="57"/>
        <v>0</v>
      </c>
      <c r="AR116" s="124">
        <f t="shared" si="57"/>
        <v>0</v>
      </c>
      <c r="AS116" s="124">
        <f t="shared" si="57"/>
        <v>0</v>
      </c>
      <c r="AT116" s="124">
        <f t="shared" si="57"/>
        <v>0</v>
      </c>
      <c r="AU116" s="124">
        <f t="shared" si="57"/>
        <v>0</v>
      </c>
      <c r="AV116" s="124">
        <f t="shared" si="57"/>
        <v>0</v>
      </c>
    </row>
    <row r="117" spans="2:48" ht="12.95" customHeight="1" x14ac:dyDescent="0.2">
      <c r="B117" s="14"/>
      <c r="C117" s="253" t="s">
        <v>882</v>
      </c>
      <c r="F117" s="253" t="s">
        <v>493</v>
      </c>
      <c r="G117" s="253" t="s">
        <v>432</v>
      </c>
      <c r="H117" s="277"/>
      <c r="I117" s="147"/>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f t="shared" ref="AG117:AV117" si="58">IF(AG76&gt;0,AF116,0)</f>
        <v>0</v>
      </c>
      <c r="AH117" s="124">
        <f t="shared" si="58"/>
        <v>0</v>
      </c>
      <c r="AI117" s="124">
        <f t="shared" si="58"/>
        <v>0</v>
      </c>
      <c r="AJ117" s="124">
        <f t="shared" si="58"/>
        <v>0</v>
      </c>
      <c r="AK117" s="124">
        <f t="shared" si="58"/>
        <v>0</v>
      </c>
      <c r="AL117" s="124">
        <f t="shared" si="58"/>
        <v>0</v>
      </c>
      <c r="AM117" s="124">
        <f t="shared" si="58"/>
        <v>0</v>
      </c>
      <c r="AN117" s="124">
        <f t="shared" si="58"/>
        <v>0</v>
      </c>
      <c r="AO117" s="124">
        <f t="shared" si="58"/>
        <v>0</v>
      </c>
      <c r="AP117" s="124">
        <f t="shared" si="58"/>
        <v>0</v>
      </c>
      <c r="AQ117" s="124">
        <f t="shared" si="58"/>
        <v>0</v>
      </c>
      <c r="AR117" s="124">
        <f t="shared" si="58"/>
        <v>0</v>
      </c>
      <c r="AS117" s="124">
        <f t="shared" si="58"/>
        <v>0</v>
      </c>
      <c r="AT117" s="124">
        <f t="shared" si="58"/>
        <v>0</v>
      </c>
      <c r="AU117" s="124">
        <f t="shared" si="58"/>
        <v>0</v>
      </c>
      <c r="AV117" s="124">
        <f t="shared" si="58"/>
        <v>0</v>
      </c>
    </row>
    <row r="118" spans="2:48" ht="12.95" customHeight="1" x14ac:dyDescent="0.2">
      <c r="B118" s="14"/>
      <c r="C118" s="253" t="s">
        <v>883</v>
      </c>
      <c r="F118" s="253" t="s">
        <v>493</v>
      </c>
      <c r="G118" s="253" t="s">
        <v>432</v>
      </c>
      <c r="H118" s="277"/>
      <c r="I118" s="147"/>
      <c r="J118" s="124"/>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f t="shared" ref="AH118:AV118" si="59">IF(AH77&gt;0,AG117,0)</f>
        <v>0</v>
      </c>
      <c r="AI118" s="124">
        <f t="shared" si="59"/>
        <v>0</v>
      </c>
      <c r="AJ118" s="124">
        <f t="shared" si="59"/>
        <v>0</v>
      </c>
      <c r="AK118" s="124">
        <f t="shared" si="59"/>
        <v>0</v>
      </c>
      <c r="AL118" s="124">
        <f t="shared" si="59"/>
        <v>0</v>
      </c>
      <c r="AM118" s="124">
        <f t="shared" si="59"/>
        <v>0</v>
      </c>
      <c r="AN118" s="124">
        <f t="shared" si="59"/>
        <v>0</v>
      </c>
      <c r="AO118" s="124">
        <f t="shared" si="59"/>
        <v>0</v>
      </c>
      <c r="AP118" s="124">
        <f t="shared" si="59"/>
        <v>0</v>
      </c>
      <c r="AQ118" s="124">
        <f t="shared" si="59"/>
        <v>0</v>
      </c>
      <c r="AR118" s="124">
        <f t="shared" si="59"/>
        <v>0</v>
      </c>
      <c r="AS118" s="124">
        <f t="shared" si="59"/>
        <v>0</v>
      </c>
      <c r="AT118" s="124">
        <f t="shared" si="59"/>
        <v>0</v>
      </c>
      <c r="AU118" s="124">
        <f t="shared" si="59"/>
        <v>0</v>
      </c>
      <c r="AV118" s="124">
        <f t="shared" si="59"/>
        <v>0</v>
      </c>
    </row>
    <row r="119" spans="2:48" ht="12.95" customHeight="1" x14ac:dyDescent="0.2">
      <c r="B119" s="14"/>
      <c r="C119" s="253" t="s">
        <v>884</v>
      </c>
      <c r="F119" s="253" t="s">
        <v>493</v>
      </c>
      <c r="G119" s="253" t="s">
        <v>432</v>
      </c>
      <c r="H119" s="277"/>
      <c r="I119" s="147"/>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f t="shared" ref="AI119:AV119" si="60">IF(AI78&gt;0,AH118,0)</f>
        <v>0</v>
      </c>
      <c r="AJ119" s="124">
        <f t="shared" si="60"/>
        <v>0</v>
      </c>
      <c r="AK119" s="124">
        <f t="shared" si="60"/>
        <v>0</v>
      </c>
      <c r="AL119" s="124">
        <f t="shared" si="60"/>
        <v>0</v>
      </c>
      <c r="AM119" s="124">
        <f t="shared" si="60"/>
        <v>0</v>
      </c>
      <c r="AN119" s="124">
        <f t="shared" si="60"/>
        <v>0</v>
      </c>
      <c r="AO119" s="124">
        <f t="shared" si="60"/>
        <v>0</v>
      </c>
      <c r="AP119" s="124">
        <f t="shared" si="60"/>
        <v>0</v>
      </c>
      <c r="AQ119" s="124">
        <f t="shared" si="60"/>
        <v>0</v>
      </c>
      <c r="AR119" s="124">
        <f t="shared" si="60"/>
        <v>0</v>
      </c>
      <c r="AS119" s="124">
        <f t="shared" si="60"/>
        <v>0</v>
      </c>
      <c r="AT119" s="124">
        <f t="shared" si="60"/>
        <v>0</v>
      </c>
      <c r="AU119" s="124">
        <f t="shared" si="60"/>
        <v>0</v>
      </c>
      <c r="AV119" s="124">
        <f t="shared" si="60"/>
        <v>0</v>
      </c>
    </row>
    <row r="120" spans="2:48" ht="12.95" customHeight="1" x14ac:dyDescent="0.2">
      <c r="B120" s="14"/>
      <c r="C120" s="253" t="s">
        <v>885</v>
      </c>
      <c r="F120" s="253" t="s">
        <v>493</v>
      </c>
      <c r="G120" s="253" t="s">
        <v>432</v>
      </c>
      <c r="H120" s="277"/>
      <c r="I120" s="147"/>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f t="shared" ref="AJ120:AV120" si="61">IF(AJ79&gt;0,AI119,0)</f>
        <v>0</v>
      </c>
      <c r="AK120" s="124">
        <f t="shared" si="61"/>
        <v>0</v>
      </c>
      <c r="AL120" s="124">
        <f t="shared" si="61"/>
        <v>0</v>
      </c>
      <c r="AM120" s="124">
        <f t="shared" si="61"/>
        <v>0</v>
      </c>
      <c r="AN120" s="124">
        <f t="shared" si="61"/>
        <v>0</v>
      </c>
      <c r="AO120" s="124">
        <f t="shared" si="61"/>
        <v>0</v>
      </c>
      <c r="AP120" s="124">
        <f t="shared" si="61"/>
        <v>0</v>
      </c>
      <c r="AQ120" s="124">
        <f t="shared" si="61"/>
        <v>0</v>
      </c>
      <c r="AR120" s="124">
        <f t="shared" si="61"/>
        <v>0</v>
      </c>
      <c r="AS120" s="124">
        <f t="shared" si="61"/>
        <v>0</v>
      </c>
      <c r="AT120" s="124">
        <f t="shared" si="61"/>
        <v>0</v>
      </c>
      <c r="AU120" s="124">
        <f t="shared" si="61"/>
        <v>0</v>
      </c>
      <c r="AV120" s="124">
        <f t="shared" si="61"/>
        <v>0</v>
      </c>
    </row>
    <row r="121" spans="2:48" ht="12.95" customHeight="1" x14ac:dyDescent="0.2">
      <c r="B121" s="14"/>
      <c r="C121" s="253" t="s">
        <v>886</v>
      </c>
      <c r="F121" s="253" t="s">
        <v>493</v>
      </c>
      <c r="G121" s="253" t="s">
        <v>432</v>
      </c>
      <c r="H121" s="277"/>
      <c r="I121" s="147"/>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f t="shared" ref="AK121:AV121" si="62">IF(AK80&gt;0,AJ120,0)</f>
        <v>0</v>
      </c>
      <c r="AL121" s="124">
        <f t="shared" si="62"/>
        <v>0</v>
      </c>
      <c r="AM121" s="124">
        <f t="shared" si="62"/>
        <v>0</v>
      </c>
      <c r="AN121" s="124">
        <f t="shared" si="62"/>
        <v>0</v>
      </c>
      <c r="AO121" s="124">
        <f t="shared" si="62"/>
        <v>0</v>
      </c>
      <c r="AP121" s="124">
        <f t="shared" si="62"/>
        <v>0</v>
      </c>
      <c r="AQ121" s="124">
        <f t="shared" si="62"/>
        <v>0</v>
      </c>
      <c r="AR121" s="124">
        <f t="shared" si="62"/>
        <v>0</v>
      </c>
      <c r="AS121" s="124">
        <f t="shared" si="62"/>
        <v>0</v>
      </c>
      <c r="AT121" s="124">
        <f t="shared" si="62"/>
        <v>0</v>
      </c>
      <c r="AU121" s="124">
        <f t="shared" si="62"/>
        <v>0</v>
      </c>
      <c r="AV121" s="124">
        <f t="shared" si="62"/>
        <v>0</v>
      </c>
    </row>
    <row r="122" spans="2:48" ht="12.95" customHeight="1" x14ac:dyDescent="0.2">
      <c r="B122" s="14"/>
      <c r="C122" s="253" t="s">
        <v>887</v>
      </c>
      <c r="F122" s="253" t="s">
        <v>493</v>
      </c>
      <c r="G122" s="253" t="s">
        <v>432</v>
      </c>
      <c r="H122" s="277"/>
      <c r="I122" s="147"/>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f t="shared" ref="AL122:AV122" si="63">IF(AL81&gt;0,AK121,0)</f>
        <v>0</v>
      </c>
      <c r="AM122" s="124">
        <f t="shared" si="63"/>
        <v>0</v>
      </c>
      <c r="AN122" s="124">
        <f t="shared" si="63"/>
        <v>0</v>
      </c>
      <c r="AO122" s="124">
        <f t="shared" si="63"/>
        <v>0</v>
      </c>
      <c r="AP122" s="124">
        <f t="shared" si="63"/>
        <v>0</v>
      </c>
      <c r="AQ122" s="124">
        <f t="shared" si="63"/>
        <v>0</v>
      </c>
      <c r="AR122" s="124">
        <f t="shared" si="63"/>
        <v>0</v>
      </c>
      <c r="AS122" s="124">
        <f t="shared" si="63"/>
        <v>0</v>
      </c>
      <c r="AT122" s="124">
        <f t="shared" si="63"/>
        <v>0</v>
      </c>
      <c r="AU122" s="124">
        <f t="shared" si="63"/>
        <v>0</v>
      </c>
      <c r="AV122" s="124">
        <f t="shared" si="63"/>
        <v>0</v>
      </c>
    </row>
    <row r="123" spans="2:48" ht="12.95" customHeight="1" x14ac:dyDescent="0.2">
      <c r="B123" s="14"/>
      <c r="C123" s="253" t="s">
        <v>888</v>
      </c>
      <c r="F123" s="253" t="s">
        <v>493</v>
      </c>
      <c r="G123" s="253" t="s">
        <v>432</v>
      </c>
      <c r="H123" s="277"/>
      <c r="I123" s="147"/>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f t="shared" ref="AM123:AV123" si="64">IF(AM82&gt;0,AL122,0)</f>
        <v>0</v>
      </c>
      <c r="AN123" s="124">
        <f t="shared" si="64"/>
        <v>0</v>
      </c>
      <c r="AO123" s="124">
        <f t="shared" si="64"/>
        <v>0</v>
      </c>
      <c r="AP123" s="124">
        <f t="shared" si="64"/>
        <v>0</v>
      </c>
      <c r="AQ123" s="124">
        <f t="shared" si="64"/>
        <v>0</v>
      </c>
      <c r="AR123" s="124">
        <f t="shared" si="64"/>
        <v>0</v>
      </c>
      <c r="AS123" s="124">
        <f t="shared" si="64"/>
        <v>0</v>
      </c>
      <c r="AT123" s="124">
        <f t="shared" si="64"/>
        <v>0</v>
      </c>
      <c r="AU123" s="124">
        <f t="shared" si="64"/>
        <v>0</v>
      </c>
      <c r="AV123" s="124">
        <f t="shared" si="64"/>
        <v>0</v>
      </c>
    </row>
    <row r="124" spans="2:48" ht="12.95" customHeight="1" x14ac:dyDescent="0.2">
      <c r="B124" s="14"/>
      <c r="C124" s="253" t="s">
        <v>889</v>
      </c>
      <c r="F124" s="253" t="s">
        <v>493</v>
      </c>
      <c r="G124" s="253" t="s">
        <v>432</v>
      </c>
      <c r="H124" s="277"/>
      <c r="I124" s="147"/>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f t="shared" ref="AN124:AV124" si="65">IF(AN83&gt;0,AM123,0)</f>
        <v>0</v>
      </c>
      <c r="AO124" s="124">
        <f t="shared" si="65"/>
        <v>0</v>
      </c>
      <c r="AP124" s="124">
        <f t="shared" si="65"/>
        <v>0</v>
      </c>
      <c r="AQ124" s="124">
        <f t="shared" si="65"/>
        <v>0</v>
      </c>
      <c r="AR124" s="124">
        <f t="shared" si="65"/>
        <v>0</v>
      </c>
      <c r="AS124" s="124">
        <f t="shared" si="65"/>
        <v>0</v>
      </c>
      <c r="AT124" s="124">
        <f t="shared" si="65"/>
        <v>0</v>
      </c>
      <c r="AU124" s="124">
        <f t="shared" si="65"/>
        <v>0</v>
      </c>
      <c r="AV124" s="124">
        <f t="shared" si="65"/>
        <v>0</v>
      </c>
    </row>
    <row r="125" spans="2:48" ht="12.95" customHeight="1" x14ac:dyDescent="0.2">
      <c r="B125" s="14"/>
      <c r="C125" s="253" t="s">
        <v>890</v>
      </c>
      <c r="F125" s="253" t="s">
        <v>493</v>
      </c>
      <c r="G125" s="253" t="s">
        <v>432</v>
      </c>
      <c r="H125" s="277"/>
      <c r="I125" s="147"/>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f t="shared" ref="AO125:AV125" si="66">IF(AO84&gt;0,AN124,0)</f>
        <v>0</v>
      </c>
      <c r="AP125" s="124">
        <f t="shared" si="66"/>
        <v>0</v>
      </c>
      <c r="AQ125" s="124">
        <f t="shared" si="66"/>
        <v>0</v>
      </c>
      <c r="AR125" s="124">
        <f t="shared" si="66"/>
        <v>0</v>
      </c>
      <c r="AS125" s="124">
        <f t="shared" si="66"/>
        <v>0</v>
      </c>
      <c r="AT125" s="124">
        <f t="shared" si="66"/>
        <v>0</v>
      </c>
      <c r="AU125" s="124">
        <f t="shared" si="66"/>
        <v>0</v>
      </c>
      <c r="AV125" s="124">
        <f t="shared" si="66"/>
        <v>0</v>
      </c>
    </row>
    <row r="126" spans="2:48" ht="12.95" customHeight="1" x14ac:dyDescent="0.2">
      <c r="B126" s="14"/>
      <c r="C126" s="253" t="s">
        <v>891</v>
      </c>
      <c r="F126" s="253" t="s">
        <v>493</v>
      </c>
      <c r="G126" s="253" t="s">
        <v>432</v>
      </c>
      <c r="H126" s="277"/>
      <c r="I126" s="147"/>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f t="shared" ref="AP126:AV126" si="67">IF(AP85&gt;0,AO125,0)</f>
        <v>0</v>
      </c>
      <c r="AQ126" s="124">
        <f t="shared" si="67"/>
        <v>0</v>
      </c>
      <c r="AR126" s="124">
        <f t="shared" si="67"/>
        <v>0</v>
      </c>
      <c r="AS126" s="124">
        <f t="shared" si="67"/>
        <v>0</v>
      </c>
      <c r="AT126" s="124">
        <f t="shared" si="67"/>
        <v>0</v>
      </c>
      <c r="AU126" s="124">
        <f t="shared" si="67"/>
        <v>0</v>
      </c>
      <c r="AV126" s="124">
        <f t="shared" si="67"/>
        <v>0</v>
      </c>
    </row>
    <row r="127" spans="2:48" ht="12.95" customHeight="1" x14ac:dyDescent="0.2">
      <c r="B127" s="14"/>
      <c r="C127" s="253" t="s">
        <v>892</v>
      </c>
      <c r="F127" s="253" t="s">
        <v>493</v>
      </c>
      <c r="G127" s="253" t="s">
        <v>432</v>
      </c>
      <c r="H127" s="277"/>
      <c r="I127" s="147"/>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f t="shared" ref="AQ127:AV127" si="68">IF(AQ86&gt;0,AP126,0)</f>
        <v>0</v>
      </c>
      <c r="AR127" s="124">
        <f t="shared" si="68"/>
        <v>0</v>
      </c>
      <c r="AS127" s="124">
        <f t="shared" si="68"/>
        <v>0</v>
      </c>
      <c r="AT127" s="124">
        <f t="shared" si="68"/>
        <v>0</v>
      </c>
      <c r="AU127" s="124">
        <f t="shared" si="68"/>
        <v>0</v>
      </c>
      <c r="AV127" s="124">
        <f t="shared" si="68"/>
        <v>0</v>
      </c>
    </row>
    <row r="128" spans="2:48" ht="12.95" customHeight="1" x14ac:dyDescent="0.2">
      <c r="B128" s="14"/>
      <c r="C128" s="253" t="s">
        <v>893</v>
      </c>
      <c r="F128" s="253" t="s">
        <v>493</v>
      </c>
      <c r="G128" s="253" t="s">
        <v>432</v>
      </c>
      <c r="H128" s="277"/>
      <c r="I128" s="147"/>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f>IF(AR87&gt;0,AQ127,0)</f>
        <v>0</v>
      </c>
      <c r="AS128" s="124">
        <f>IF(AS87&gt;0,AR127,0)</f>
        <v>0</v>
      </c>
      <c r="AT128" s="124">
        <f>IF(AT87&gt;0,AS127,0)</f>
        <v>0</v>
      </c>
      <c r="AU128" s="124">
        <f>IF(AU87&gt;0,AT127,0)</f>
        <v>0</v>
      </c>
      <c r="AV128" s="124">
        <f>IF(AV87&gt;0,AU127,0)</f>
        <v>0</v>
      </c>
    </row>
    <row r="129" spans="1:50" ht="12.95" customHeight="1" x14ac:dyDescent="0.2">
      <c r="B129" s="14"/>
      <c r="C129" s="253" t="s">
        <v>894</v>
      </c>
      <c r="F129" s="253" t="s">
        <v>493</v>
      </c>
      <c r="G129" s="253" t="s">
        <v>432</v>
      </c>
      <c r="H129" s="277"/>
      <c r="I129" s="147"/>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f>IF(AS88&gt;0,AR128,0)</f>
        <v>0</v>
      </c>
      <c r="AT129" s="124">
        <f>IF(AT88&gt;0,AS128,0)</f>
        <v>0</v>
      </c>
      <c r="AU129" s="124">
        <f>IF(AU88&gt;0,AT128,0)</f>
        <v>0</v>
      </c>
      <c r="AV129" s="124">
        <f>IF(AV88&gt;0,AU128,0)</f>
        <v>0</v>
      </c>
    </row>
    <row r="130" spans="1:50" ht="12.95" customHeight="1" x14ac:dyDescent="0.2">
      <c r="B130" s="14"/>
      <c r="C130" s="253" t="s">
        <v>895</v>
      </c>
      <c r="F130" s="253" t="s">
        <v>493</v>
      </c>
      <c r="G130" s="253" t="s">
        <v>432</v>
      </c>
      <c r="H130" s="277"/>
      <c r="I130" s="147"/>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f>IF(AT89&gt;0,AS129,0)</f>
        <v>0</v>
      </c>
      <c r="AU130" s="124">
        <f>IF(AU89&gt;0,AT129,0)</f>
        <v>0</v>
      </c>
      <c r="AV130" s="124">
        <f>IF(AV89&gt;0,AU129,0)</f>
        <v>0</v>
      </c>
    </row>
    <row r="131" spans="1:50" ht="12.95" customHeight="1" x14ac:dyDescent="0.2">
      <c r="B131" s="14"/>
      <c r="C131" s="253" t="s">
        <v>896</v>
      </c>
      <c r="F131" s="253" t="s">
        <v>493</v>
      </c>
      <c r="G131" s="253" t="s">
        <v>432</v>
      </c>
      <c r="H131" s="277"/>
      <c r="I131" s="147"/>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f>IF(AU90&gt;0,AT130,0)</f>
        <v>0</v>
      </c>
      <c r="AV131" s="124">
        <f>IF(AV90&gt;0,AU130,0)</f>
        <v>0</v>
      </c>
    </row>
    <row r="132" spans="1:50" ht="12.95" customHeight="1" x14ac:dyDescent="0.2">
      <c r="B132" s="14"/>
      <c r="C132" s="253" t="s">
        <v>897</v>
      </c>
      <c r="F132" s="253" t="s">
        <v>493</v>
      </c>
      <c r="G132" s="253" t="s">
        <v>432</v>
      </c>
      <c r="H132" s="277"/>
      <c r="I132" s="147"/>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f>IF(AV91&gt;0,AU131,0)</f>
        <v>0</v>
      </c>
    </row>
    <row r="133" spans="1:50" ht="12.95" customHeight="1" x14ac:dyDescent="0.2">
      <c r="C133" s="253" t="s">
        <v>972</v>
      </c>
      <c r="F133" s="253" t="s">
        <v>493</v>
      </c>
      <c r="G133" s="253" t="s">
        <v>432</v>
      </c>
      <c r="H133" s="124"/>
      <c r="I133" s="124">
        <f t="shared" ref="I133:AV133" si="69">SUM(I93:I132)</f>
        <v>0</v>
      </c>
      <c r="J133" s="124">
        <f t="shared" si="69"/>
        <v>0</v>
      </c>
      <c r="K133" s="124">
        <f t="shared" si="69"/>
        <v>0</v>
      </c>
      <c r="L133" s="124">
        <f t="shared" si="69"/>
        <v>0</v>
      </c>
      <c r="M133" s="124">
        <f t="shared" si="69"/>
        <v>0</v>
      </c>
      <c r="N133" s="124">
        <f t="shared" si="69"/>
        <v>0</v>
      </c>
      <c r="O133" s="124">
        <f t="shared" si="69"/>
        <v>0</v>
      </c>
      <c r="P133" s="124">
        <f t="shared" si="69"/>
        <v>0</v>
      </c>
      <c r="Q133" s="124">
        <f t="shared" si="69"/>
        <v>0</v>
      </c>
      <c r="R133" s="124">
        <f t="shared" si="69"/>
        <v>0</v>
      </c>
      <c r="S133" s="124">
        <f t="shared" si="69"/>
        <v>0</v>
      </c>
      <c r="T133" s="124">
        <f t="shared" si="69"/>
        <v>0</v>
      </c>
      <c r="U133" s="124">
        <f t="shared" si="69"/>
        <v>0</v>
      </c>
      <c r="V133" s="124">
        <f t="shared" si="69"/>
        <v>0</v>
      </c>
      <c r="W133" s="124">
        <f t="shared" si="69"/>
        <v>0</v>
      </c>
      <c r="X133" s="124">
        <f t="shared" si="69"/>
        <v>0</v>
      </c>
      <c r="Y133" s="124">
        <f t="shared" si="69"/>
        <v>0</v>
      </c>
      <c r="Z133" s="124">
        <f t="shared" si="69"/>
        <v>0</v>
      </c>
      <c r="AA133" s="124">
        <f t="shared" si="69"/>
        <v>0</v>
      </c>
      <c r="AB133" s="124">
        <f t="shared" si="69"/>
        <v>0</v>
      </c>
      <c r="AC133" s="124">
        <f t="shared" si="69"/>
        <v>0</v>
      </c>
      <c r="AD133" s="124">
        <f t="shared" si="69"/>
        <v>0</v>
      </c>
      <c r="AE133" s="124">
        <f t="shared" si="69"/>
        <v>0</v>
      </c>
      <c r="AF133" s="124">
        <f t="shared" si="69"/>
        <v>0</v>
      </c>
      <c r="AG133" s="124">
        <f t="shared" si="69"/>
        <v>0</v>
      </c>
      <c r="AH133" s="124">
        <f t="shared" si="69"/>
        <v>0</v>
      </c>
      <c r="AI133" s="124">
        <f t="shared" si="69"/>
        <v>0</v>
      </c>
      <c r="AJ133" s="124">
        <f t="shared" si="69"/>
        <v>0</v>
      </c>
      <c r="AK133" s="124">
        <f t="shared" si="69"/>
        <v>0</v>
      </c>
      <c r="AL133" s="124">
        <f t="shared" si="69"/>
        <v>0</v>
      </c>
      <c r="AM133" s="124">
        <f t="shared" si="69"/>
        <v>0</v>
      </c>
      <c r="AN133" s="124">
        <f t="shared" si="69"/>
        <v>0</v>
      </c>
      <c r="AO133" s="124">
        <f t="shared" si="69"/>
        <v>0</v>
      </c>
      <c r="AP133" s="124">
        <f t="shared" si="69"/>
        <v>0</v>
      </c>
      <c r="AQ133" s="124">
        <f t="shared" si="69"/>
        <v>0</v>
      </c>
      <c r="AR133" s="124">
        <f t="shared" si="69"/>
        <v>0</v>
      </c>
      <c r="AS133" s="124">
        <f t="shared" si="69"/>
        <v>0</v>
      </c>
      <c r="AT133" s="124">
        <f t="shared" si="69"/>
        <v>0</v>
      </c>
      <c r="AU133" s="124">
        <f t="shared" si="69"/>
        <v>0</v>
      </c>
      <c r="AV133" s="124">
        <f t="shared" si="69"/>
        <v>0</v>
      </c>
    </row>
    <row r="134" spans="1:50" ht="12.95" customHeight="1"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row>
    <row r="135" spans="1:50" ht="12.95" customHeight="1"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row>
    <row r="136" spans="1:50" ht="12.95" customHeight="1"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row>
    <row r="137" spans="1:50" ht="12.95" customHeight="1"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row>
    <row r="138" spans="1:50" ht="12.95" customHeight="1"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row>
    <row r="139" spans="1:50" ht="12.95" customHeight="1"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row>
    <row r="140" spans="1:50" ht="12.95" customHeight="1"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row>
    <row r="141" spans="1:50" ht="12.95" customHeight="1"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row>
    <row r="142" spans="1:50" ht="12.95" customHeight="1"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row>
    <row r="143" spans="1:50" ht="12.95" customHeight="1"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row>
    <row r="144" spans="1:50" ht="12.95" customHeight="1"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row>
    <row r="145" spans="1:50" ht="12.95" customHeight="1"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row>
    <row r="146" spans="1:50" ht="12.95" customHeight="1"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row>
    <row r="147" spans="1:50" ht="12.95" customHeight="1"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row>
    <row r="148" spans="1:50" ht="12.95" customHeight="1"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row>
    <row r="149" spans="1:50" ht="12.95" customHeight="1"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row>
    <row r="150" spans="1:50" ht="12.95" customHeight="1"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row>
    <row r="151" spans="1:50" ht="12.95" customHeight="1"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row>
    <row r="152" spans="1:50" ht="12.95" customHeight="1"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row>
    <row r="153" spans="1:50" ht="12.95" customHeight="1"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row>
    <row r="154" spans="1:50" ht="12.95" customHeight="1"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row>
    <row r="155" spans="1:50" ht="12.95" customHeight="1"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row>
    <row r="156" spans="1:50" ht="12.95" customHeight="1"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row>
    <row r="157" spans="1:50" ht="12.95" customHeight="1"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row>
    <row r="158" spans="1:50" ht="12.95" customHeight="1"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row>
    <row r="159" spans="1:50" ht="12.95" customHeight="1"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row>
    <row r="160" spans="1:50" ht="12.95" customHeight="1"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row>
    <row r="161" spans="1:50" ht="12.95" customHeight="1"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row>
    <row r="162" spans="1:50" ht="12.95" customHeight="1"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row>
    <row r="163" spans="1:50" ht="12.95" customHeight="1"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row>
    <row r="164" spans="1:50" ht="12.95" customHeight="1"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row>
    <row r="165" spans="1:50" ht="12.95" customHeight="1"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row>
    <row r="166" spans="1:50" ht="12.95" customHeight="1"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row>
    <row r="167" spans="1:50" ht="12.95" customHeight="1"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row>
    <row r="168" spans="1:50" ht="12.95" customHeight="1"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row>
    <row r="169" spans="1:50" ht="12.95" customHeight="1"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row>
    <row r="170" spans="1:50" ht="12.95" customHeight="1"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row>
    <row r="171" spans="1:50" ht="12.95" customHeight="1"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row>
    <row r="172" spans="1:50" ht="12.95" customHeight="1"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row>
    <row r="173" spans="1:50" ht="12.95" customHeight="1"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row>
    <row r="174" spans="1:50" ht="12.95" customHeight="1"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row>
    <row r="175" spans="1:50" ht="12.95" customHeight="1"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row>
    <row r="176" spans="1:50" ht="12.95" customHeight="1"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row>
    <row r="177" spans="1:50" ht="12.95" customHeight="1"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row>
    <row r="178" spans="1:50" ht="12.95" customHeight="1"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row>
    <row r="179" spans="1:50" ht="12.95" customHeight="1"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row>
    <row r="180" spans="1:50" ht="12.95" customHeight="1"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row>
    <row r="181" spans="1:50" ht="12.95" customHeight="1"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row>
    <row r="182" spans="1:50" ht="12.95" customHeight="1"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row>
    <row r="183" spans="1:50" ht="12.95" customHeight="1" x14ac:dyDescent="0.2">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row>
    <row r="184" spans="1:50" ht="12.95" customHeight="1" x14ac:dyDescent="0.2">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row>
    <row r="185" spans="1:50" ht="12.95" customHeight="1" x14ac:dyDescent="0.2">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row>
    <row r="186" spans="1:50" ht="12.95" customHeight="1" x14ac:dyDescent="0.2">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row>
    <row r="187" spans="1:50" ht="12.95" customHeight="1" x14ac:dyDescent="0.2">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row>
    <row r="188" spans="1:50" ht="12.95" customHeight="1" x14ac:dyDescent="0.2">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row>
    <row r="189" spans="1:50" ht="12.95" customHeight="1" x14ac:dyDescent="0.2">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row>
    <row r="190" spans="1:50" ht="12.95" customHeight="1" x14ac:dyDescent="0.2">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row>
    <row r="191" spans="1:50" ht="12.95" customHeight="1" x14ac:dyDescent="0.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row>
    <row r="192" spans="1:50" ht="12.95" customHeight="1" x14ac:dyDescent="0.2">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row>
    <row r="193" spans="1:50" ht="12.95" customHeight="1" x14ac:dyDescent="0.2">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row>
    <row r="194" spans="1:50" ht="12.95" customHeight="1" x14ac:dyDescent="0.2">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row>
    <row r="195" spans="1:50" ht="12.95" customHeight="1" x14ac:dyDescent="0.2">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row>
    <row r="196" spans="1:50" ht="12.95" customHeight="1" x14ac:dyDescent="0.2">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row>
    <row r="197" spans="1:50" ht="12.95" customHeight="1" x14ac:dyDescent="0.2">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row>
    <row r="198" spans="1:50" ht="12.95" customHeight="1" x14ac:dyDescent="0.2">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row>
    <row r="199" spans="1:50" ht="12.95" customHeight="1" x14ac:dyDescent="0.2">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row>
    <row r="200" spans="1:50" ht="12.95" customHeight="1" x14ac:dyDescent="0.2">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row>
    <row r="201" spans="1:50" ht="12.95" customHeight="1" x14ac:dyDescent="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row>
    <row r="202" spans="1:50" ht="12.95" customHeight="1" x14ac:dyDescent="0.2">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row>
    <row r="203" spans="1:50" ht="12.95" customHeight="1" x14ac:dyDescent="0.2">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row>
    <row r="204" spans="1:50" ht="12.95" customHeight="1" x14ac:dyDescent="0.2">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row>
    <row r="205" spans="1:50" ht="12.95" customHeight="1" x14ac:dyDescent="0.2">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row>
    <row r="206" spans="1:50" ht="12.95" customHeight="1" x14ac:dyDescent="0.2">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row>
    <row r="207" spans="1:50" ht="12.95" customHeight="1" x14ac:dyDescent="0.2">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row>
    <row r="208" spans="1:50" ht="12.95" customHeight="1" x14ac:dyDescent="0.2">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row>
    <row r="209" spans="1:50" ht="12.95" customHeight="1" x14ac:dyDescent="0.2">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row>
    <row r="210" spans="1:50" ht="12.95" customHeight="1" x14ac:dyDescent="0.2">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row>
    <row r="211" spans="1:50" ht="12.95" customHeight="1" x14ac:dyDescent="0.2">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row>
    <row r="212" spans="1:50" ht="12.95" customHeight="1" x14ac:dyDescent="0.2">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row>
    <row r="213" spans="1:50" ht="12.95" customHeight="1" x14ac:dyDescent="0.2">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row>
    <row r="214" spans="1:50" ht="12.95" customHeight="1" x14ac:dyDescent="0.2">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row>
    <row r="215" spans="1:50" ht="12.95" customHeight="1" x14ac:dyDescent="0.2">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row>
    <row r="216" spans="1:50" ht="12.95" customHeight="1" x14ac:dyDescent="0.2">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row>
    <row r="217" spans="1:50" ht="12.95" customHeight="1" x14ac:dyDescent="0.2">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row>
    <row r="218" spans="1:50" ht="12.95" customHeight="1" x14ac:dyDescent="0.2">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row>
    <row r="219" spans="1:50" ht="12.95" customHeight="1" x14ac:dyDescent="0.2">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row>
    <row r="220" spans="1:50" ht="12.95" customHeight="1" x14ac:dyDescent="0.2">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row>
    <row r="221" spans="1:50" ht="12.95" customHeight="1" x14ac:dyDescent="0.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row>
    <row r="222" spans="1:50" ht="12.95" customHeight="1" x14ac:dyDescent="0.2">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row>
    <row r="223" spans="1:50" ht="12.95" customHeight="1" x14ac:dyDescent="0.2">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row>
    <row r="224" spans="1:50" ht="12.95" customHeight="1" x14ac:dyDescent="0.2">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row>
    <row r="225" spans="1:50" ht="12.95" customHeight="1" x14ac:dyDescent="0.2">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row>
    <row r="226" spans="1:50" ht="12.95" customHeight="1" x14ac:dyDescent="0.2">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row>
    <row r="227" spans="1:50" ht="12.95" customHeight="1" x14ac:dyDescent="0.2">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row>
    <row r="228" spans="1:50" ht="12.95" customHeight="1" x14ac:dyDescent="0.2">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row>
    <row r="229" spans="1:50" ht="12.95" customHeight="1" x14ac:dyDescent="0.2">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row>
    <row r="230" spans="1:50" ht="12.95" customHeight="1" x14ac:dyDescent="0.2">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row>
    <row r="231" spans="1:50" ht="12.95" customHeight="1" x14ac:dyDescent="0.2">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row>
    <row r="232" spans="1:50" ht="12.95" customHeight="1" x14ac:dyDescent="0.2">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row>
    <row r="233" spans="1:50" ht="12.95" customHeight="1" x14ac:dyDescent="0.2">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row>
    <row r="234" spans="1:50" ht="12.95" customHeight="1" x14ac:dyDescent="0.2">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row>
    <row r="235" spans="1:50" ht="12.95" customHeight="1" x14ac:dyDescent="0.2">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row>
    <row r="236" spans="1:50" ht="12.95" customHeight="1" x14ac:dyDescent="0.2">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row>
    <row r="237" spans="1:50" ht="12.95" customHeight="1" x14ac:dyDescent="0.2">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row>
    <row r="238" spans="1:50" ht="12.95" customHeight="1" x14ac:dyDescent="0.2">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row>
    <row r="239" spans="1:50" ht="12.95" customHeight="1" x14ac:dyDescent="0.2">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row>
    <row r="240" spans="1:50" ht="12.95" customHeight="1" x14ac:dyDescent="0.2">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row>
    <row r="241" spans="1:50" ht="12.95" customHeight="1" x14ac:dyDescent="0.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row>
    <row r="242" spans="1:50" ht="12.95" customHeight="1" x14ac:dyDescent="0.2">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row>
    <row r="243" spans="1:50" ht="12.95" customHeight="1" x14ac:dyDescent="0.2">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row>
    <row r="244" spans="1:50" ht="12.95" customHeight="1" x14ac:dyDescent="0.2">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row>
    <row r="245" spans="1:50" ht="12.95" customHeight="1" x14ac:dyDescent="0.2">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row>
    <row r="246" spans="1:50" ht="12.95" customHeight="1" x14ac:dyDescent="0.2">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row>
    <row r="247" spans="1:50" ht="12.95" customHeight="1" x14ac:dyDescent="0.2">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row>
    <row r="248" spans="1:50" ht="12.95" customHeight="1" x14ac:dyDescent="0.2">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row>
    <row r="249" spans="1:50" ht="12.95" customHeight="1" x14ac:dyDescent="0.2">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row>
    <row r="250" spans="1:50" ht="12.95" customHeight="1" x14ac:dyDescent="0.2">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row>
    <row r="251" spans="1:50" ht="12.95" customHeight="1" x14ac:dyDescent="0.2">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row>
    <row r="252" spans="1:50" ht="12.95" customHeight="1" x14ac:dyDescent="0.2">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row>
    <row r="253" spans="1:50" ht="12.95" customHeight="1" x14ac:dyDescent="0.2">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row>
    <row r="254" spans="1:50" ht="12.95" customHeight="1" x14ac:dyDescent="0.2">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row>
    <row r="255" spans="1:50" ht="12.95" customHeight="1" x14ac:dyDescent="0.2">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row>
    <row r="256" spans="1:50" ht="12.95" customHeight="1" x14ac:dyDescent="0.2">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row>
    <row r="257" spans="1:50" ht="12.95" customHeight="1" x14ac:dyDescent="0.2">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row>
    <row r="258" spans="1:50" ht="12.95" customHeight="1" x14ac:dyDescent="0.2">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row>
    <row r="259" spans="1:50" ht="12.95" customHeight="1" x14ac:dyDescent="0.2">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row>
    <row r="260" spans="1:50" ht="12.95" customHeight="1" x14ac:dyDescent="0.2">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row>
    <row r="261" spans="1:50" ht="12.95" customHeight="1" x14ac:dyDescent="0.2">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row>
    <row r="262" spans="1:50" ht="12.95" customHeight="1" x14ac:dyDescent="0.2">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row>
    <row r="263" spans="1:50" ht="12.95" customHeight="1" x14ac:dyDescent="0.2">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row>
    <row r="264" spans="1:50" ht="12.95" customHeight="1" x14ac:dyDescent="0.2">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row>
    <row r="265" spans="1:50" ht="12.95" customHeight="1" x14ac:dyDescent="0.2">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row>
    <row r="266" spans="1:50" ht="12.95" customHeight="1" x14ac:dyDescent="0.2">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row>
    <row r="267" spans="1:50" ht="12.95" customHeight="1" x14ac:dyDescent="0.2">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row>
    <row r="268" spans="1:50" ht="12.95" customHeight="1" x14ac:dyDescent="0.2">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row>
    <row r="269" spans="1:50" ht="12.95" customHeight="1" x14ac:dyDescent="0.2">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row>
    <row r="270" spans="1:50" ht="12.95" customHeight="1" x14ac:dyDescent="0.2">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row>
    <row r="271" spans="1:50" ht="12.95" customHeight="1" x14ac:dyDescent="0.2">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row>
    <row r="272" spans="1:50" ht="12.95" customHeight="1" x14ac:dyDescent="0.2">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row>
    <row r="273" spans="1:50" ht="12.95" customHeight="1" x14ac:dyDescent="0.2">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row>
    <row r="274" spans="1:50" ht="12.95" customHeight="1" x14ac:dyDescent="0.2">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row>
    <row r="275" spans="1:50" ht="12.95" customHeight="1" x14ac:dyDescent="0.2">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row>
    <row r="276" spans="1:50" ht="12.95" customHeight="1" x14ac:dyDescent="0.2">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row>
    <row r="277" spans="1:50" ht="12.95" customHeight="1" x14ac:dyDescent="0.2">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row>
    <row r="278" spans="1:50" ht="12.95" customHeight="1" x14ac:dyDescent="0.2">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row>
    <row r="279" spans="1:50" ht="12.95" customHeight="1" x14ac:dyDescent="0.2">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row>
    <row r="280" spans="1:50" ht="12.95" customHeight="1" x14ac:dyDescent="0.2">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row>
    <row r="281" spans="1:50" ht="12.95" customHeight="1" x14ac:dyDescent="0.2">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row>
    <row r="282" spans="1:50" ht="12.95" customHeight="1" x14ac:dyDescent="0.2">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row>
    <row r="283" spans="1:50" ht="12.95" customHeight="1" x14ac:dyDescent="0.2">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row>
    <row r="284" spans="1:50" ht="12.95" customHeight="1" x14ac:dyDescent="0.2">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row>
    <row r="285" spans="1:50" ht="12.95" customHeight="1" x14ac:dyDescent="0.2">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row>
    <row r="286" spans="1:50" ht="12.95" customHeight="1" x14ac:dyDescent="0.2">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row>
    <row r="287" spans="1:50" ht="12.95" customHeight="1" x14ac:dyDescent="0.2">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row>
    <row r="288" spans="1:50" ht="12.95" customHeight="1" x14ac:dyDescent="0.2">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row>
    <row r="289" spans="1:50" ht="12.95" customHeight="1" x14ac:dyDescent="0.2">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row>
    <row r="290" spans="1:50" ht="12.95" customHeight="1" x14ac:dyDescent="0.2">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row>
    <row r="291" spans="1:50" ht="12.95" customHeight="1" x14ac:dyDescent="0.2">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row>
    <row r="292" spans="1:50" ht="12.95" customHeight="1" x14ac:dyDescent="0.2">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row>
    <row r="293" spans="1:50" ht="12.95" customHeight="1" x14ac:dyDescent="0.2">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row>
    <row r="294" spans="1:50" ht="12.95" customHeight="1" x14ac:dyDescent="0.2">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row>
    <row r="295" spans="1:50" ht="12.95" customHeight="1" x14ac:dyDescent="0.2">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row>
    <row r="296" spans="1:50" ht="12.95" customHeight="1" x14ac:dyDescent="0.2">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row>
    <row r="297" spans="1:50" ht="12.95" customHeight="1" x14ac:dyDescent="0.2">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row>
    <row r="298" spans="1:50" ht="12.95" customHeight="1" x14ac:dyDescent="0.2">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row>
    <row r="299" spans="1:50" ht="12.95" customHeight="1" x14ac:dyDescent="0.2">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row>
    <row r="300" spans="1:50" ht="12.95" customHeight="1" x14ac:dyDescent="0.2">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row>
    <row r="301" spans="1:50" ht="12.95" customHeight="1" x14ac:dyDescent="0.2">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row>
    <row r="302" spans="1:50" ht="12.95" customHeight="1" x14ac:dyDescent="0.2">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row>
    <row r="303" spans="1:50" ht="12.95" customHeight="1" x14ac:dyDescent="0.2">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row>
    <row r="304" spans="1:50" ht="12.95" customHeight="1" x14ac:dyDescent="0.2">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row>
    <row r="305" spans="1:50" ht="12.95" customHeight="1" x14ac:dyDescent="0.2">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row>
    <row r="306" spans="1:50" ht="12.95" customHeight="1" x14ac:dyDescent="0.2">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row>
    <row r="307" spans="1:50" ht="12.95" customHeight="1" x14ac:dyDescent="0.2">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row>
    <row r="308" spans="1:50" ht="12.95" customHeight="1" x14ac:dyDescent="0.2">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row>
    <row r="309" spans="1:50" ht="12.95" customHeight="1" x14ac:dyDescent="0.2">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row>
    <row r="310" spans="1:50" ht="12.95" customHeight="1" x14ac:dyDescent="0.2">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row>
    <row r="311" spans="1:50" ht="12.95" customHeight="1" x14ac:dyDescent="0.2">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row>
    <row r="312" spans="1:50" ht="12.95" customHeight="1" x14ac:dyDescent="0.2">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row>
    <row r="313" spans="1:50" ht="12.95" customHeight="1" x14ac:dyDescent="0.2">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row>
    <row r="314" spans="1:50" ht="12.95" customHeight="1" x14ac:dyDescent="0.2">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row>
    <row r="315" spans="1:50" ht="12.95" customHeight="1" x14ac:dyDescent="0.2">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row>
    <row r="316" spans="1:50" ht="12.95" customHeight="1" x14ac:dyDescent="0.2">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row>
    <row r="317" spans="1:50" ht="12.95" customHeight="1" x14ac:dyDescent="0.2">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row>
    <row r="318" spans="1:50" ht="12.95" customHeight="1" x14ac:dyDescent="0.2">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row>
    <row r="319" spans="1:50" ht="12.95" customHeight="1" x14ac:dyDescent="0.2">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row>
    <row r="320" spans="1:50" ht="12.95" customHeight="1" x14ac:dyDescent="0.2">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row>
    <row r="321" spans="1:50" ht="12.95" customHeight="1" x14ac:dyDescent="0.2">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row>
    <row r="322" spans="1:50" ht="12.95" customHeight="1" x14ac:dyDescent="0.2">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row>
    <row r="323" spans="1:50" ht="12.95" customHeight="1" x14ac:dyDescent="0.2">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row>
    <row r="324" spans="1:50" ht="12.95" customHeight="1" x14ac:dyDescent="0.2">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row>
    <row r="325" spans="1:50" ht="12.95" customHeight="1" x14ac:dyDescent="0.2">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row>
    <row r="326" spans="1:50" ht="12.95" customHeight="1" x14ac:dyDescent="0.2">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row>
    <row r="327" spans="1:50" ht="12.95" customHeight="1" x14ac:dyDescent="0.2">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row>
    <row r="328" spans="1:50" ht="12.95" customHeight="1" x14ac:dyDescent="0.2">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row>
    <row r="329" spans="1:50" ht="12.95" customHeight="1" x14ac:dyDescent="0.2">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row>
    <row r="330" spans="1:50" ht="12.95" customHeight="1" x14ac:dyDescent="0.2">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row>
    <row r="331" spans="1:50" ht="12.95" customHeight="1" x14ac:dyDescent="0.2">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row>
    <row r="332" spans="1:50" ht="12.95" customHeight="1" x14ac:dyDescent="0.2">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row>
    <row r="333" spans="1:50" ht="12.95" customHeight="1" x14ac:dyDescent="0.2">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row>
    <row r="334" spans="1:50" ht="12.95" customHeight="1" x14ac:dyDescent="0.2">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row>
    <row r="335" spans="1:50" ht="12.95" customHeight="1" x14ac:dyDescent="0.2">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row>
    <row r="336" spans="1:50" ht="12.95" customHeight="1" x14ac:dyDescent="0.2">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row>
    <row r="337" spans="1:50" ht="12.95" customHeight="1" x14ac:dyDescent="0.2">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row>
    <row r="338" spans="1:50" ht="12.95" customHeight="1" x14ac:dyDescent="0.2">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row>
    <row r="339" spans="1:50" ht="12.95" customHeight="1" x14ac:dyDescent="0.2">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row>
    <row r="340" spans="1:50" ht="12.95" customHeight="1" x14ac:dyDescent="0.2">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row>
    <row r="341" spans="1:50" ht="12.95" customHeight="1" x14ac:dyDescent="0.2">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row>
    <row r="342" spans="1:50" ht="12.95" customHeight="1" x14ac:dyDescent="0.2">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row>
    <row r="343" spans="1:50" ht="12.95" customHeight="1" x14ac:dyDescent="0.2">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row>
    <row r="344" spans="1:50" ht="12.95" customHeight="1" x14ac:dyDescent="0.2">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row>
    <row r="345" spans="1:50" ht="12.95" customHeight="1" x14ac:dyDescent="0.2">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row>
    <row r="346" spans="1:50" ht="12.95" customHeight="1" x14ac:dyDescent="0.2">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row>
    <row r="347" spans="1:50" ht="12.95" customHeight="1" x14ac:dyDescent="0.2">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row>
    <row r="348" spans="1:50" ht="12.95" customHeight="1" x14ac:dyDescent="0.2">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row>
    <row r="349" spans="1:50" ht="12.95" customHeight="1" x14ac:dyDescent="0.2">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row>
    <row r="350" spans="1:50" ht="12.95" customHeight="1" x14ac:dyDescent="0.2">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row>
    <row r="351" spans="1:50" ht="12.95" customHeight="1" x14ac:dyDescent="0.2">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row>
    <row r="352" spans="1:50" ht="12.95" customHeight="1" x14ac:dyDescent="0.2">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row>
    <row r="353" spans="1:50" ht="12.95" customHeight="1" x14ac:dyDescent="0.2">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row>
    <row r="354" spans="1:50" ht="12.95" customHeight="1" x14ac:dyDescent="0.2">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row>
    <row r="355" spans="1:50" ht="12.95" customHeight="1" x14ac:dyDescent="0.2">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row>
    <row r="356" spans="1:50" ht="12.95" customHeight="1" x14ac:dyDescent="0.2">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row>
    <row r="357" spans="1:50" ht="12.95" customHeight="1" x14ac:dyDescent="0.2">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row>
    <row r="358" spans="1:50" ht="12.95" customHeight="1" x14ac:dyDescent="0.2">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row>
    <row r="359" spans="1:50" ht="12.95" customHeight="1" x14ac:dyDescent="0.2">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row>
    <row r="360" spans="1:50" ht="12.95" customHeight="1" x14ac:dyDescent="0.2">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row>
    <row r="361" spans="1:50" ht="12.95" customHeight="1" x14ac:dyDescent="0.2">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row>
    <row r="362" spans="1:50" ht="12.95" customHeight="1" x14ac:dyDescent="0.2">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row>
    <row r="363" spans="1:50" ht="12.95" customHeight="1" x14ac:dyDescent="0.2">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row>
    <row r="364" spans="1:50" ht="12.95" customHeight="1" x14ac:dyDescent="0.2">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row>
    <row r="365" spans="1:50" ht="12.95" customHeight="1" x14ac:dyDescent="0.2">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row>
    <row r="366" spans="1:50" ht="12.95" customHeight="1" x14ac:dyDescent="0.2">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row>
    <row r="367" spans="1:50" ht="12.95" customHeight="1" x14ac:dyDescent="0.2">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row>
    <row r="368" spans="1:50" ht="12.95" customHeight="1" x14ac:dyDescent="0.2">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row>
    <row r="369" spans="1:50" ht="12.95" customHeight="1" x14ac:dyDescent="0.2">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row>
    <row r="370" spans="1:50" ht="12.95" customHeight="1" x14ac:dyDescent="0.2">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row>
    <row r="371" spans="1:50" ht="12.95" customHeight="1" x14ac:dyDescent="0.2">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row>
    <row r="372" spans="1:50" ht="12.95" customHeight="1" x14ac:dyDescent="0.2">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row>
    <row r="373" spans="1:50" ht="12.95" customHeight="1" x14ac:dyDescent="0.2">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row>
    <row r="374" spans="1:50" ht="12.95" customHeight="1" x14ac:dyDescent="0.2">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row>
    <row r="375" spans="1:50" ht="12.95" customHeight="1" x14ac:dyDescent="0.2">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row>
    <row r="376" spans="1:50" ht="12.95" customHeight="1" x14ac:dyDescent="0.2">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row>
    <row r="377" spans="1:50" ht="12.95" customHeight="1" x14ac:dyDescent="0.2">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row>
    <row r="378" spans="1:50" ht="12.95" customHeight="1" x14ac:dyDescent="0.2">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row>
    <row r="379" spans="1:50" ht="12.95" customHeight="1" x14ac:dyDescent="0.2">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row>
    <row r="380" spans="1:50" ht="12.95" customHeight="1" x14ac:dyDescent="0.2">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row>
    <row r="381" spans="1:50" ht="12.95" customHeight="1" x14ac:dyDescent="0.2">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row>
    <row r="382" spans="1:50" ht="12.95" customHeight="1" x14ac:dyDescent="0.2">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row>
    <row r="383" spans="1:50" ht="12.95" customHeight="1" x14ac:dyDescent="0.2">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row>
    <row r="384" spans="1:50" ht="12.95" customHeight="1" x14ac:dyDescent="0.2">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row>
    <row r="385" spans="1:50" ht="12.95" customHeight="1" x14ac:dyDescent="0.2">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row>
    <row r="386" spans="1:50" ht="12.95" customHeight="1" x14ac:dyDescent="0.2">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row>
    <row r="387" spans="1:50" ht="12.95" customHeight="1" x14ac:dyDescent="0.2">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row>
    <row r="388" spans="1:50" ht="12.95" customHeight="1" x14ac:dyDescent="0.2">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row>
    <row r="389" spans="1:50" ht="12.95" customHeight="1" x14ac:dyDescent="0.2">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row>
    <row r="390" spans="1:50" ht="12.95" customHeight="1" x14ac:dyDescent="0.2">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row>
    <row r="391" spans="1:50" ht="12.95" customHeight="1" x14ac:dyDescent="0.2">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row>
    <row r="392" spans="1:50" ht="12.95" customHeight="1" x14ac:dyDescent="0.2">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row>
    <row r="393" spans="1:50" ht="12.95" customHeight="1" x14ac:dyDescent="0.2">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row>
    <row r="394" spans="1:50" ht="12.95" customHeight="1" x14ac:dyDescent="0.2">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row>
    <row r="395" spans="1:50" ht="12.95" customHeight="1" x14ac:dyDescent="0.2">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row>
    <row r="396" spans="1:50" ht="12.95" customHeight="1" x14ac:dyDescent="0.2">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row>
    <row r="397" spans="1:50" ht="12.95" customHeight="1" x14ac:dyDescent="0.2">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row>
    <row r="398" spans="1:50" ht="12.95" customHeight="1" x14ac:dyDescent="0.2">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row>
    <row r="399" spans="1:50" ht="12.95" customHeight="1" x14ac:dyDescent="0.2">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row>
    <row r="400" spans="1:50" ht="12.95" customHeight="1" x14ac:dyDescent="0.2">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row>
    <row r="401" spans="1:50" ht="12.95" customHeight="1" x14ac:dyDescent="0.2">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row>
    <row r="402" spans="1:50" ht="12.95" customHeight="1" x14ac:dyDescent="0.2">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row>
    <row r="403" spans="1:50" ht="12.95" customHeight="1" x14ac:dyDescent="0.2">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row>
    <row r="404" spans="1:50" ht="12.95" customHeight="1" x14ac:dyDescent="0.2">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row>
    <row r="405" spans="1:50" ht="12.95" customHeight="1" x14ac:dyDescent="0.2">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row>
    <row r="406" spans="1:50" ht="12.95" customHeight="1" x14ac:dyDescent="0.2">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row>
    <row r="407" spans="1:50" ht="12.95" customHeight="1" x14ac:dyDescent="0.2">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row>
    <row r="408" spans="1:50" ht="12.95" customHeight="1" x14ac:dyDescent="0.2">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row>
    <row r="409" spans="1:50" ht="12.95" customHeight="1" x14ac:dyDescent="0.2">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row>
    <row r="410" spans="1:50" ht="12.95" customHeight="1" x14ac:dyDescent="0.2">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row>
    <row r="411" spans="1:50" ht="12.95" customHeight="1" x14ac:dyDescent="0.2">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row>
    <row r="412" spans="1:50" ht="12.95" customHeight="1" x14ac:dyDescent="0.2">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row>
    <row r="413" spans="1:50" ht="12.95" customHeight="1" x14ac:dyDescent="0.2">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row>
    <row r="414" spans="1:50" ht="12.95" customHeight="1" x14ac:dyDescent="0.2">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row>
    <row r="415" spans="1:50" ht="12.95" customHeight="1" x14ac:dyDescent="0.2">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row>
    <row r="416" spans="1:50" ht="12.95" customHeight="1" x14ac:dyDescent="0.2">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row>
    <row r="417" spans="1:50" ht="12.95" customHeight="1" x14ac:dyDescent="0.2">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row>
    <row r="418" spans="1:50" ht="12.95" customHeight="1" x14ac:dyDescent="0.2">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row>
    <row r="419" spans="1:50" ht="12.95" customHeight="1" x14ac:dyDescent="0.2">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row>
    <row r="420" spans="1:50" ht="12.95" customHeight="1" x14ac:dyDescent="0.2">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row>
    <row r="421" spans="1:50" ht="12.95" customHeight="1" x14ac:dyDescent="0.2">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row>
    <row r="422" spans="1:50" ht="12.95" customHeight="1" x14ac:dyDescent="0.2">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row>
    <row r="423" spans="1:50" ht="12.95" customHeight="1" x14ac:dyDescent="0.2">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row>
    <row r="424" spans="1:50" ht="12.95" customHeight="1" x14ac:dyDescent="0.2">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row>
    <row r="425" spans="1:50" ht="12.95" customHeight="1" x14ac:dyDescent="0.2">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row>
    <row r="426" spans="1:50" ht="12.95" customHeight="1" x14ac:dyDescent="0.2">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row>
    <row r="427" spans="1:50" ht="12.95" customHeight="1" x14ac:dyDescent="0.2">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row>
    <row r="428" spans="1:50" ht="12.95" customHeight="1" x14ac:dyDescent="0.2">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row>
    <row r="429" spans="1:50" ht="12.95" customHeight="1" x14ac:dyDescent="0.2">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row>
    <row r="430" spans="1:50" ht="12.95" customHeight="1" x14ac:dyDescent="0.2">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row>
    <row r="431" spans="1:50" ht="12.95" customHeight="1" x14ac:dyDescent="0.2">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row>
    <row r="432" spans="1:50" ht="12.95" customHeight="1" x14ac:dyDescent="0.2">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row>
    <row r="433" spans="1:50" ht="12.95" customHeight="1" x14ac:dyDescent="0.2">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row>
    <row r="434" spans="1:50" ht="12.95" customHeight="1" x14ac:dyDescent="0.2">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row>
    <row r="435" spans="1:50" ht="12.95" customHeight="1" x14ac:dyDescent="0.2">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row>
    <row r="436" spans="1:50" ht="12.95" customHeight="1" x14ac:dyDescent="0.2">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row>
    <row r="437" spans="1:50" ht="12.95" customHeight="1" x14ac:dyDescent="0.2">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row>
    <row r="438" spans="1:50" ht="12.95" customHeight="1" x14ac:dyDescent="0.2">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row>
    <row r="439" spans="1:50" ht="12.95" customHeight="1" x14ac:dyDescent="0.2">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row>
    <row r="440" spans="1:50" ht="12.95" customHeight="1" x14ac:dyDescent="0.2">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row>
    <row r="441" spans="1:50" ht="12.95" customHeight="1" x14ac:dyDescent="0.2">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row>
    <row r="442" spans="1:50" ht="12.95" customHeight="1" x14ac:dyDescent="0.2">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row>
    <row r="443" spans="1:50" ht="12.95" customHeight="1" x14ac:dyDescent="0.2">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row>
    <row r="444" spans="1:50" ht="12.95" customHeight="1" x14ac:dyDescent="0.2">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row>
    <row r="445" spans="1:50" ht="12.95" customHeight="1" x14ac:dyDescent="0.2">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row>
    <row r="446" spans="1:50" ht="12.95" customHeight="1" x14ac:dyDescent="0.2">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row>
    <row r="447" spans="1:50" ht="12.95" customHeight="1" x14ac:dyDescent="0.2">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row>
    <row r="448" spans="1:50" ht="12.95" customHeight="1" x14ac:dyDescent="0.2">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row>
    <row r="449" spans="1:50" ht="12.95" customHeight="1" x14ac:dyDescent="0.2">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row>
    <row r="450" spans="1:50" ht="12.95" customHeight="1" x14ac:dyDescent="0.2">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row>
    <row r="451" spans="1:50" ht="12.95" customHeight="1" x14ac:dyDescent="0.2">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row>
    <row r="452" spans="1:50" ht="12.95" customHeight="1" x14ac:dyDescent="0.2">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row>
    <row r="453" spans="1:50" ht="12.95" customHeight="1" x14ac:dyDescent="0.2">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row>
    <row r="454" spans="1:50" ht="12.95" customHeight="1" x14ac:dyDescent="0.2">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row>
    <row r="455" spans="1:50" ht="12.95" customHeight="1" x14ac:dyDescent="0.2">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row>
    <row r="456" spans="1:50" ht="12.95" customHeight="1" x14ac:dyDescent="0.2">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row>
    <row r="457" spans="1:50" ht="12.95" customHeight="1" x14ac:dyDescent="0.2">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row>
    <row r="458" spans="1:50" ht="12.95" customHeight="1" x14ac:dyDescent="0.2">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row>
    <row r="459" spans="1:50" ht="12.95" customHeight="1" x14ac:dyDescent="0.2">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row>
    <row r="460" spans="1:50" ht="12.95" customHeight="1" x14ac:dyDescent="0.2">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row>
    <row r="461" spans="1:50" ht="12.95" customHeight="1" x14ac:dyDescent="0.2">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row>
    <row r="462" spans="1:50" ht="12.95" customHeight="1" x14ac:dyDescent="0.2">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row>
    <row r="463" spans="1:50" ht="12.95" customHeight="1" x14ac:dyDescent="0.2">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row>
    <row r="464" spans="1:50" ht="12.95" customHeight="1" x14ac:dyDescent="0.2">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row>
    <row r="465" spans="1:50" ht="12.95" customHeight="1" x14ac:dyDescent="0.2">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row>
    <row r="466" spans="1:50" ht="12.95" customHeight="1" x14ac:dyDescent="0.2">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row>
    <row r="467" spans="1:50" ht="12.95" customHeight="1" x14ac:dyDescent="0.2">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row>
    <row r="468" spans="1:50" ht="12.95" customHeight="1" x14ac:dyDescent="0.2">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row>
    <row r="469" spans="1:50" ht="12.95" customHeight="1" x14ac:dyDescent="0.2">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row>
    <row r="470" spans="1:50" ht="12.95" customHeight="1" x14ac:dyDescent="0.2">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row>
    <row r="471" spans="1:50" ht="12.95" customHeight="1" x14ac:dyDescent="0.2">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row>
    <row r="472" spans="1:50" ht="12.95" customHeight="1" x14ac:dyDescent="0.2">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row>
    <row r="473" spans="1:50" ht="12.95" customHeight="1" x14ac:dyDescent="0.2">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row>
    <row r="474" spans="1:50" ht="12.95" customHeight="1" x14ac:dyDescent="0.2">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row>
    <row r="475" spans="1:50" ht="12.95" customHeight="1" x14ac:dyDescent="0.2">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row>
    <row r="476" spans="1:50" ht="12.95" customHeight="1" x14ac:dyDescent="0.2">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row>
    <row r="477" spans="1:50" ht="12.95" customHeight="1" x14ac:dyDescent="0.2">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row>
    <row r="478" spans="1:50" ht="12.95" customHeight="1" x14ac:dyDescent="0.2">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row>
    <row r="479" spans="1:50" ht="12.95" customHeight="1" x14ac:dyDescent="0.2">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row>
    <row r="480" spans="1:50" ht="12.95" customHeight="1" x14ac:dyDescent="0.2">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row>
    <row r="481" spans="1:50" ht="12.95" customHeight="1" x14ac:dyDescent="0.2">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row>
    <row r="482" spans="1:50" ht="12.95" customHeight="1" x14ac:dyDescent="0.2">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row>
    <row r="483" spans="1:50" ht="12.95" customHeight="1" x14ac:dyDescent="0.2">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row>
    <row r="484" spans="1:50" ht="12.95" customHeight="1" x14ac:dyDescent="0.2">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row>
    <row r="485" spans="1:50" ht="12.95" customHeight="1" x14ac:dyDescent="0.2">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row>
    <row r="486" spans="1:50" ht="12.95" customHeight="1" x14ac:dyDescent="0.2">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row>
    <row r="487" spans="1:50" ht="12.95" customHeight="1" x14ac:dyDescent="0.2">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row>
    <row r="488" spans="1:50" ht="12.95" customHeight="1" x14ac:dyDescent="0.2">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row>
    <row r="489" spans="1:50" ht="12.95" customHeight="1" x14ac:dyDescent="0.2">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row>
    <row r="490" spans="1:50" ht="12.95" customHeight="1" x14ac:dyDescent="0.2">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row>
    <row r="491" spans="1:50" ht="12.95" customHeight="1" x14ac:dyDescent="0.2">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row>
    <row r="492" spans="1:50" ht="12.95" customHeight="1" x14ac:dyDescent="0.2">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row>
    <row r="493" spans="1:50" ht="12.95" customHeight="1" x14ac:dyDescent="0.2">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row>
    <row r="494" spans="1:50" ht="12.95" customHeight="1" x14ac:dyDescent="0.2">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row>
    <row r="495" spans="1:50" ht="12.95" customHeight="1" x14ac:dyDescent="0.2">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row>
    <row r="496" spans="1:50" ht="12.95" customHeight="1" x14ac:dyDescent="0.2">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row>
    <row r="497" spans="1:50" ht="12.95" customHeight="1" x14ac:dyDescent="0.2">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row>
    <row r="498" spans="1:50" ht="12.95" customHeight="1" x14ac:dyDescent="0.2">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row>
    <row r="499" spans="1:50" ht="12.95" customHeight="1" x14ac:dyDescent="0.2">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row>
    <row r="500" spans="1:50" ht="12.95" customHeight="1" x14ac:dyDescent="0.2">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row>
    <row r="501" spans="1:50" ht="12.95" customHeight="1" x14ac:dyDescent="0.2">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row>
    <row r="502" spans="1:50" ht="12.95" customHeight="1" x14ac:dyDescent="0.2">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row>
    <row r="503" spans="1:50" ht="12.95" customHeight="1" x14ac:dyDescent="0.2">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row>
    <row r="504" spans="1:50" ht="12.95" customHeight="1" x14ac:dyDescent="0.2">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row>
    <row r="505" spans="1:50" ht="12.95" customHeight="1" x14ac:dyDescent="0.2">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row>
    <row r="506" spans="1:50" ht="12.95" customHeight="1" x14ac:dyDescent="0.2">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row>
    <row r="507" spans="1:50" ht="12.95" customHeight="1" x14ac:dyDescent="0.2">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row>
    <row r="508" spans="1:50" ht="12.95" customHeight="1" x14ac:dyDescent="0.2">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row>
    <row r="509" spans="1:50" ht="12.95" customHeight="1" x14ac:dyDescent="0.2">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row>
    <row r="510" spans="1:50" ht="12.95" customHeight="1" x14ac:dyDescent="0.2">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row>
    <row r="511" spans="1:50" ht="12.95" customHeight="1" x14ac:dyDescent="0.2">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row>
    <row r="512" spans="1:50" ht="12.95" customHeight="1" x14ac:dyDescent="0.2">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row>
    <row r="513" spans="1:50" ht="12.95" customHeight="1" x14ac:dyDescent="0.2">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row>
    <row r="514" spans="1:50" ht="12.95" customHeight="1" x14ac:dyDescent="0.2">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row>
    <row r="515" spans="1:50" ht="12.95" customHeight="1" x14ac:dyDescent="0.2">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row>
    <row r="516" spans="1:50" ht="12.95" customHeight="1" x14ac:dyDescent="0.2">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row>
    <row r="517" spans="1:50" ht="12.95" customHeight="1" x14ac:dyDescent="0.2">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row>
    <row r="518" spans="1:50" ht="12.95" customHeight="1" x14ac:dyDescent="0.2">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row>
    <row r="519" spans="1:50" ht="12.95" customHeight="1" x14ac:dyDescent="0.2">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row>
    <row r="520" spans="1:50" ht="12.95" customHeight="1" x14ac:dyDescent="0.2">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row>
    <row r="521" spans="1:50" ht="12.95" customHeight="1" x14ac:dyDescent="0.2">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row>
    <row r="522" spans="1:50" ht="12.95" customHeight="1" x14ac:dyDescent="0.2">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row>
    <row r="523" spans="1:50" ht="12.95" customHeight="1" x14ac:dyDescent="0.2">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row>
    <row r="524" spans="1:50" ht="12.95" customHeight="1" x14ac:dyDescent="0.2">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row>
    <row r="525" spans="1:50" ht="12.95" customHeight="1" x14ac:dyDescent="0.2">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row>
    <row r="526" spans="1:50" ht="12.95" customHeight="1" x14ac:dyDescent="0.2">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row>
    <row r="527" spans="1:50" ht="12.95" customHeight="1" x14ac:dyDescent="0.2">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row>
    <row r="528" spans="1:50" ht="12.95" customHeight="1" x14ac:dyDescent="0.2">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row>
    <row r="529" spans="1:50" ht="12.95" customHeight="1" x14ac:dyDescent="0.2">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row>
    <row r="530" spans="1:50" ht="12.95" customHeight="1" x14ac:dyDescent="0.2">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row>
    <row r="531" spans="1:50" ht="12.95" customHeight="1" x14ac:dyDescent="0.2">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row>
    <row r="532" spans="1:50" ht="12.95" customHeight="1" x14ac:dyDescent="0.2">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row>
    <row r="533" spans="1:50" ht="12.95" customHeight="1" x14ac:dyDescent="0.2">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row>
    <row r="534" spans="1:50" ht="12.95" customHeight="1" x14ac:dyDescent="0.2">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row>
    <row r="535" spans="1:50" ht="12.95" customHeight="1" x14ac:dyDescent="0.2">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row>
    <row r="536" spans="1:50" ht="12.95" customHeight="1" x14ac:dyDescent="0.2">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row>
    <row r="537" spans="1:50" ht="12.95" customHeight="1" x14ac:dyDescent="0.2">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row>
    <row r="538" spans="1:50" ht="12.95" customHeight="1" x14ac:dyDescent="0.2">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row>
    <row r="539" spans="1:50" ht="12.95" customHeight="1" x14ac:dyDescent="0.2">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row>
    <row r="540" spans="1:50" ht="12.95" customHeight="1" x14ac:dyDescent="0.2">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row>
    <row r="541" spans="1:50" ht="12.95" customHeight="1" x14ac:dyDescent="0.2">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row>
    <row r="542" spans="1:50" ht="12.95" customHeight="1" x14ac:dyDescent="0.2">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row>
    <row r="543" spans="1:50" ht="12.95" customHeight="1" x14ac:dyDescent="0.2">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row>
    <row r="544" spans="1:50" ht="12.95" customHeight="1" x14ac:dyDescent="0.2">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row>
    <row r="545" spans="1:50" ht="12.95" customHeight="1" x14ac:dyDescent="0.2">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row>
    <row r="546" spans="1:50" ht="12.95" customHeight="1" x14ac:dyDescent="0.2">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row>
    <row r="547" spans="1:50" ht="12.95" customHeight="1" x14ac:dyDescent="0.2">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row>
    <row r="548" spans="1:50" ht="12.95" customHeight="1" x14ac:dyDescent="0.2">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row>
    <row r="549" spans="1:50" ht="12.95" customHeight="1" x14ac:dyDescent="0.2">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row>
    <row r="550" spans="1:50" ht="12.95" customHeight="1" x14ac:dyDescent="0.2">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row>
    <row r="551" spans="1:50" ht="12.95" customHeight="1" x14ac:dyDescent="0.2">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row>
    <row r="552" spans="1:50" ht="12.95" customHeight="1" x14ac:dyDescent="0.2">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row>
    <row r="553" spans="1:50" ht="12.95" customHeight="1" x14ac:dyDescent="0.2">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row>
    <row r="554" spans="1:50" ht="12.95" customHeight="1" x14ac:dyDescent="0.2">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row>
    <row r="555" spans="1:50" ht="12.95" customHeight="1" x14ac:dyDescent="0.2">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row>
    <row r="556" spans="1:50" ht="12.95" customHeight="1" x14ac:dyDescent="0.2">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row>
    <row r="557" spans="1:50" ht="12.95" customHeight="1" x14ac:dyDescent="0.2">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row>
    <row r="558" spans="1:50" ht="12.95" customHeight="1" x14ac:dyDescent="0.2">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row>
    <row r="559" spans="1:50" ht="12.95" customHeight="1" x14ac:dyDescent="0.2">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row>
    <row r="560" spans="1:50" ht="12.95" customHeight="1" x14ac:dyDescent="0.2">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row>
    <row r="561" spans="1:50" ht="12.95" customHeight="1" x14ac:dyDescent="0.2">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row>
    <row r="562" spans="1:50" ht="12.95" customHeight="1" x14ac:dyDescent="0.2">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row>
    <row r="563" spans="1:50" ht="12.95" customHeight="1" x14ac:dyDescent="0.2">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row>
    <row r="564" spans="1:50" ht="12.95" customHeight="1" x14ac:dyDescent="0.2">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row>
    <row r="565" spans="1:50" ht="12.95" customHeight="1" x14ac:dyDescent="0.2">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row>
    <row r="566" spans="1:50" ht="12.95" customHeight="1" x14ac:dyDescent="0.2">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row>
    <row r="567" spans="1:50" ht="12.95" customHeight="1" x14ac:dyDescent="0.2">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row>
    <row r="568" spans="1:50" ht="12.95" customHeight="1" x14ac:dyDescent="0.2">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row>
    <row r="569" spans="1:50" ht="12.95" customHeight="1" x14ac:dyDescent="0.2">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row>
    <row r="570" spans="1:50" ht="12.95" customHeight="1" x14ac:dyDescent="0.2">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row>
    <row r="571" spans="1:50" ht="12.95" customHeight="1" x14ac:dyDescent="0.2">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row>
    <row r="572" spans="1:50" ht="12.95" customHeight="1" x14ac:dyDescent="0.2">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row>
    <row r="573" spans="1:50" ht="12.95" customHeight="1" x14ac:dyDescent="0.2">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row>
    <row r="574" spans="1:50" ht="12.95" customHeight="1" x14ac:dyDescent="0.2">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row>
    <row r="575" spans="1:50" ht="12.95" customHeight="1" x14ac:dyDescent="0.2">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row>
    <row r="576" spans="1:50" ht="12.95" customHeight="1" x14ac:dyDescent="0.2">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row>
    <row r="577" spans="1:50" ht="12.95" customHeight="1" x14ac:dyDescent="0.2">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row>
    <row r="578" spans="1:50" ht="12.95" customHeight="1" x14ac:dyDescent="0.2">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row>
    <row r="579" spans="1:50" ht="12.95" customHeight="1" x14ac:dyDescent="0.2">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row>
    <row r="580" spans="1:50" ht="12.95" customHeight="1" x14ac:dyDescent="0.2">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row>
    <row r="581" spans="1:50" ht="12.95" customHeight="1" x14ac:dyDescent="0.2">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row>
    <row r="582" spans="1:50" ht="12.95" customHeight="1" x14ac:dyDescent="0.2">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row>
    <row r="583" spans="1:50" ht="12.95" customHeight="1" x14ac:dyDescent="0.2">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row>
    <row r="584" spans="1:50" ht="12.95" customHeight="1" x14ac:dyDescent="0.2">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row>
    <row r="585" spans="1:50" ht="12.95" customHeight="1" x14ac:dyDescent="0.2">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row>
    <row r="586" spans="1:50" ht="12.95" customHeight="1" x14ac:dyDescent="0.2">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row>
    <row r="587" spans="1:50" ht="12.95" customHeight="1" x14ac:dyDescent="0.2">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row>
    <row r="588" spans="1:50" ht="12.95" customHeight="1" x14ac:dyDescent="0.2">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row>
    <row r="589" spans="1:50" ht="12.95" customHeight="1" x14ac:dyDescent="0.2">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row>
    <row r="590" spans="1:50" ht="12.95" customHeight="1" x14ac:dyDescent="0.2">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row>
    <row r="591" spans="1:50" ht="12.95" customHeight="1" x14ac:dyDescent="0.2">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row>
    <row r="592" spans="1:50" ht="12.95" customHeight="1" x14ac:dyDescent="0.2">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row>
    <row r="593" spans="1:50" ht="12.95" customHeight="1" x14ac:dyDescent="0.2">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row>
    <row r="594" spans="1:50" ht="12.95" customHeight="1" x14ac:dyDescent="0.2">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row>
    <row r="595" spans="1:50" ht="12.95" customHeight="1" x14ac:dyDescent="0.2">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row>
    <row r="596" spans="1:50" ht="12.95" customHeight="1" x14ac:dyDescent="0.2">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row>
    <row r="597" spans="1:50" ht="12.95" customHeight="1" x14ac:dyDescent="0.2">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row>
    <row r="598" spans="1:50" ht="12.95" customHeight="1" x14ac:dyDescent="0.2">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row>
    <row r="599" spans="1:50" ht="12.95" customHeight="1" x14ac:dyDescent="0.2">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row>
    <row r="600" spans="1:50" ht="12.95" customHeight="1" x14ac:dyDescent="0.2">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row>
    <row r="601" spans="1:50" ht="12.95" customHeight="1" x14ac:dyDescent="0.2">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row>
    <row r="602" spans="1:50" ht="12.95" customHeight="1" x14ac:dyDescent="0.2">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row>
    <row r="603" spans="1:50" ht="12.95" customHeight="1" x14ac:dyDescent="0.2">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row>
    <row r="604" spans="1:50" ht="12.95" customHeight="1" x14ac:dyDescent="0.2">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row>
    <row r="605" spans="1:50" ht="12.95" customHeight="1" x14ac:dyDescent="0.2">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row>
    <row r="606" spans="1:50" ht="12.95" customHeight="1" x14ac:dyDescent="0.2">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row>
    <row r="607" spans="1:50" ht="12.95" customHeight="1" x14ac:dyDescent="0.2">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row>
    <row r="608" spans="1:50" ht="12.95" customHeight="1" x14ac:dyDescent="0.2">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row>
    <row r="609" spans="1:50" ht="12.95" customHeight="1" x14ac:dyDescent="0.2">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row>
    <row r="610" spans="1:50" ht="12.95" customHeight="1" x14ac:dyDescent="0.2">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row>
    <row r="611" spans="1:50" ht="12.95" customHeight="1" x14ac:dyDescent="0.2">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row>
    <row r="612" spans="1:50" ht="12.95" customHeight="1" x14ac:dyDescent="0.2">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row>
    <row r="613" spans="1:50" ht="12.95" customHeight="1" x14ac:dyDescent="0.2">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row>
    <row r="614" spans="1:50" ht="12.95" customHeight="1" x14ac:dyDescent="0.2">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row>
    <row r="615" spans="1:50" ht="12.95" customHeight="1" x14ac:dyDescent="0.2">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row>
    <row r="616" spans="1:50" ht="12.95" customHeight="1" x14ac:dyDescent="0.2">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row>
    <row r="617" spans="1:50" ht="12.95" customHeight="1" x14ac:dyDescent="0.2">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row>
    <row r="618" spans="1:50" ht="12.95" customHeight="1" x14ac:dyDescent="0.2">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row>
    <row r="619" spans="1:50" ht="12.95" customHeight="1" x14ac:dyDescent="0.2">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row>
    <row r="620" spans="1:50" ht="12.95" customHeight="1" x14ac:dyDescent="0.2">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row>
    <row r="621" spans="1:50" ht="12.95" customHeight="1" x14ac:dyDescent="0.2">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row>
    <row r="622" spans="1:50" ht="12.95" customHeight="1" x14ac:dyDescent="0.2">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row>
    <row r="623" spans="1:50" ht="12.95" customHeight="1" x14ac:dyDescent="0.2">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row>
    <row r="624" spans="1:50" ht="12.95" customHeight="1" x14ac:dyDescent="0.2">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row>
    <row r="625" spans="1:50" ht="12.95" customHeight="1" x14ac:dyDescent="0.2">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row>
    <row r="626" spans="1:50" ht="12.95" customHeight="1" x14ac:dyDescent="0.2">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row>
    <row r="627" spans="1:50" ht="12.95" customHeight="1" x14ac:dyDescent="0.2">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row>
    <row r="628" spans="1:50" ht="12.95" customHeight="1" x14ac:dyDescent="0.2">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row>
    <row r="629" spans="1:50" ht="12.95" customHeight="1" x14ac:dyDescent="0.2">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row>
    <row r="630" spans="1:50" ht="12.95" customHeight="1" x14ac:dyDescent="0.2">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row>
    <row r="631" spans="1:50" ht="12.95" customHeight="1" x14ac:dyDescent="0.2">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row>
    <row r="632" spans="1:50" ht="12.95" customHeight="1" x14ac:dyDescent="0.2">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row>
    <row r="633" spans="1:50" ht="12.95" customHeight="1" x14ac:dyDescent="0.2">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row>
    <row r="634" spans="1:50" ht="12.95" customHeight="1" x14ac:dyDescent="0.2">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row>
    <row r="635" spans="1:50" ht="12.95" customHeight="1" x14ac:dyDescent="0.2">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row>
    <row r="636" spans="1:50" ht="12.95" customHeight="1" x14ac:dyDescent="0.2">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row>
    <row r="637" spans="1:50" ht="12.95" customHeight="1" x14ac:dyDescent="0.2">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row>
    <row r="638" spans="1:50" ht="12.95" customHeight="1" x14ac:dyDescent="0.2">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row>
    <row r="639" spans="1:50" ht="12.95" customHeight="1" x14ac:dyDescent="0.2">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row>
    <row r="640" spans="1:50" ht="12.95" customHeight="1" x14ac:dyDescent="0.2">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row>
    <row r="641" spans="1:50" ht="12.95" customHeight="1" x14ac:dyDescent="0.2">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row>
    <row r="642" spans="1:50" ht="12.95" customHeight="1" x14ac:dyDescent="0.2">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row>
    <row r="643" spans="1:50" ht="12.95" customHeight="1" x14ac:dyDescent="0.2">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row>
    <row r="644" spans="1:50" ht="12.95" customHeight="1" x14ac:dyDescent="0.2">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row>
    <row r="645" spans="1:50" ht="12.95" customHeight="1" x14ac:dyDescent="0.2">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row>
    <row r="646" spans="1:50" ht="12.95" customHeight="1" x14ac:dyDescent="0.2">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row>
    <row r="647" spans="1:50" ht="12.95" customHeight="1" x14ac:dyDescent="0.2">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row>
    <row r="648" spans="1:50" ht="12.95" customHeight="1" x14ac:dyDescent="0.2">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row>
    <row r="649" spans="1:50" ht="12.95" customHeight="1" x14ac:dyDescent="0.2">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row>
    <row r="650" spans="1:50" ht="12.95" customHeight="1" x14ac:dyDescent="0.2">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row>
    <row r="651" spans="1:50" ht="12.95" customHeight="1" x14ac:dyDescent="0.2">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row>
    <row r="652" spans="1:50" ht="12.95" customHeight="1" x14ac:dyDescent="0.2">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row>
    <row r="653" spans="1:50" ht="12.95" customHeight="1" x14ac:dyDescent="0.2">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row>
    <row r="654" spans="1:50" ht="12.95" customHeight="1" x14ac:dyDescent="0.2">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row>
    <row r="655" spans="1:50" ht="12.95" customHeight="1" x14ac:dyDescent="0.2">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row>
    <row r="656" spans="1:50" ht="12.95" customHeight="1" x14ac:dyDescent="0.2">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row>
    <row r="657" spans="1:50" ht="12.95" customHeight="1" x14ac:dyDescent="0.2">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row>
    <row r="658" spans="1:50" ht="12.95" customHeight="1" x14ac:dyDescent="0.2">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row>
    <row r="659" spans="1:50" ht="12.95" customHeight="1" x14ac:dyDescent="0.2">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row>
    <row r="660" spans="1:50" ht="12.95" customHeight="1" x14ac:dyDescent="0.2">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row>
    <row r="661" spans="1:50" ht="12.95" customHeight="1" x14ac:dyDescent="0.2">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row>
    <row r="662" spans="1:50" ht="12.95" customHeight="1" x14ac:dyDescent="0.2">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row>
    <row r="663" spans="1:50" ht="12.95" customHeight="1" x14ac:dyDescent="0.2">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row>
    <row r="664" spans="1:50" ht="12.95" customHeight="1" x14ac:dyDescent="0.2">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row>
    <row r="665" spans="1:50" ht="12.95" customHeight="1" x14ac:dyDescent="0.2">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row>
    <row r="666" spans="1:50" ht="12.95" customHeight="1" x14ac:dyDescent="0.2">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row>
    <row r="667" spans="1:50" ht="12.95" customHeight="1" x14ac:dyDescent="0.2">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row>
    <row r="668" spans="1:50" ht="12.95" customHeight="1" x14ac:dyDescent="0.2">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row>
    <row r="669" spans="1:50" ht="12.95" customHeight="1" x14ac:dyDescent="0.2">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row>
    <row r="670" spans="1:50" ht="12.95" customHeight="1" x14ac:dyDescent="0.2">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row>
    <row r="671" spans="1:50" ht="12.95" customHeight="1" x14ac:dyDescent="0.2">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row>
    <row r="672" spans="1:50" ht="12.95" customHeight="1" x14ac:dyDescent="0.2">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row>
    <row r="673" spans="1:50" ht="12.95" customHeight="1" x14ac:dyDescent="0.2">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row>
    <row r="674" spans="1:50" ht="12.95" customHeight="1" x14ac:dyDescent="0.2">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row>
    <row r="675" spans="1:50" ht="12.95" customHeight="1" x14ac:dyDescent="0.2">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row>
    <row r="676" spans="1:50" ht="12.95" customHeight="1" x14ac:dyDescent="0.2">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row>
    <row r="677" spans="1:50" ht="12.95" customHeight="1" x14ac:dyDescent="0.2">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row>
    <row r="678" spans="1:50" ht="12.95" customHeight="1" x14ac:dyDescent="0.2">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row>
    <row r="679" spans="1:50" ht="12.95" customHeight="1" x14ac:dyDescent="0.2">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row>
    <row r="680" spans="1:50" ht="12.95" customHeight="1" x14ac:dyDescent="0.2">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row>
    <row r="681" spans="1:50" ht="12.95" customHeight="1" x14ac:dyDescent="0.2">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row>
    <row r="682" spans="1:50" ht="12.95" customHeight="1" x14ac:dyDescent="0.2">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row>
    <row r="683" spans="1:50" ht="12.95" customHeight="1" x14ac:dyDescent="0.2">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row>
    <row r="684" spans="1:50" ht="12.95" customHeight="1" x14ac:dyDescent="0.2">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row>
    <row r="685" spans="1:50" ht="12.95" customHeight="1" x14ac:dyDescent="0.2">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row>
    <row r="686" spans="1:50" ht="12.95" customHeight="1" x14ac:dyDescent="0.2">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row>
    <row r="687" spans="1:50" ht="12.95" customHeight="1" x14ac:dyDescent="0.2">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row>
    <row r="688" spans="1:50" ht="12.95" customHeight="1" x14ac:dyDescent="0.2">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row>
    <row r="689" spans="1:50" ht="12.95" customHeight="1" x14ac:dyDescent="0.2">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row>
    <row r="690" spans="1:50" ht="12.95" customHeight="1" x14ac:dyDescent="0.2">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row>
    <row r="691" spans="1:50" ht="12.95" customHeight="1" x14ac:dyDescent="0.2">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row>
    <row r="692" spans="1:50" ht="12.95" customHeight="1" x14ac:dyDescent="0.2">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row>
    <row r="693" spans="1:50" ht="12.95" customHeight="1" x14ac:dyDescent="0.2">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row>
    <row r="694" spans="1:50" ht="12.95" customHeight="1" x14ac:dyDescent="0.2">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row>
    <row r="695" spans="1:50" ht="12.95" customHeight="1" x14ac:dyDescent="0.2">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row>
    <row r="696" spans="1:50" ht="12.95" customHeight="1" x14ac:dyDescent="0.2">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row>
    <row r="697" spans="1:50" ht="12.95" customHeight="1" x14ac:dyDescent="0.2">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row>
    <row r="698" spans="1:50" ht="12.95" customHeight="1" x14ac:dyDescent="0.2">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row>
    <row r="699" spans="1:50" ht="12.95" customHeight="1" x14ac:dyDescent="0.2">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row>
    <row r="700" spans="1:50" ht="12.95" customHeight="1" x14ac:dyDescent="0.2">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row>
    <row r="701" spans="1:50" ht="12.95" customHeight="1" x14ac:dyDescent="0.2">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row>
    <row r="702" spans="1:50" ht="12.95" customHeight="1" x14ac:dyDescent="0.2">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row>
    <row r="703" spans="1:50" ht="12.95" customHeight="1" x14ac:dyDescent="0.2">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row>
    <row r="704" spans="1:50" ht="12.95" customHeight="1" x14ac:dyDescent="0.2">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row>
    <row r="705" spans="1:50" ht="12.95" customHeight="1" x14ac:dyDescent="0.2">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row>
    <row r="706" spans="1:50" ht="12.95" customHeight="1" x14ac:dyDescent="0.2">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row>
    <row r="707" spans="1:50" ht="12.95" customHeight="1" x14ac:dyDescent="0.2">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row>
    <row r="708" spans="1:50" ht="12.95" customHeight="1" x14ac:dyDescent="0.2">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row>
    <row r="709" spans="1:50" ht="12.95" customHeight="1" x14ac:dyDescent="0.2">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row>
    <row r="710" spans="1:50" ht="12.95" customHeight="1" x14ac:dyDescent="0.2">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row>
    <row r="711" spans="1:50" ht="12.95" customHeight="1" x14ac:dyDescent="0.2">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row>
    <row r="712" spans="1:50" ht="12.95" customHeight="1" x14ac:dyDescent="0.2">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row>
    <row r="713" spans="1:50" ht="12.95" customHeight="1" x14ac:dyDescent="0.2">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row>
    <row r="714" spans="1:50" ht="12.95" customHeight="1" x14ac:dyDescent="0.2">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row>
    <row r="715" spans="1:50" ht="12.95" customHeight="1" x14ac:dyDescent="0.2">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row>
    <row r="716" spans="1:50" ht="12.95" customHeight="1" x14ac:dyDescent="0.2">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row>
    <row r="717" spans="1:50" ht="12.95" customHeight="1" x14ac:dyDescent="0.2">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row>
    <row r="718" spans="1:50" ht="12.95" customHeight="1" x14ac:dyDescent="0.2">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row>
    <row r="719" spans="1:50" ht="12.95" customHeight="1" x14ac:dyDescent="0.2">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row>
    <row r="720" spans="1:50" ht="12.95" customHeight="1" x14ac:dyDescent="0.2">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row>
    <row r="721" spans="1:50" ht="12.95" customHeight="1" x14ac:dyDescent="0.2">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row>
    <row r="722" spans="1:50" ht="12.95" customHeight="1" x14ac:dyDescent="0.2">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row>
    <row r="723" spans="1:50" ht="12.95" customHeight="1" x14ac:dyDescent="0.2">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row>
    <row r="724" spans="1:50" ht="12.95" customHeight="1" x14ac:dyDescent="0.2">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row>
    <row r="725" spans="1:50" ht="12.95" customHeight="1" x14ac:dyDescent="0.2">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row>
    <row r="726" spans="1:50" ht="12.95" customHeight="1" x14ac:dyDescent="0.2">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row>
    <row r="727" spans="1:50" ht="12.95" customHeight="1" x14ac:dyDescent="0.2">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row>
    <row r="728" spans="1:50" ht="12.95" customHeight="1" x14ac:dyDescent="0.2">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row>
    <row r="729" spans="1:50" ht="12.95" customHeight="1" x14ac:dyDescent="0.2">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row>
    <row r="730" spans="1:50" ht="12.95" customHeight="1" x14ac:dyDescent="0.2">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row>
    <row r="731" spans="1:50" ht="12.95" customHeight="1" x14ac:dyDescent="0.2">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row>
    <row r="732" spans="1:50" ht="12.95" customHeight="1" x14ac:dyDescent="0.2">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row>
    <row r="733" spans="1:50" ht="12.95" customHeight="1" x14ac:dyDescent="0.2">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row>
    <row r="734" spans="1:50" ht="12.95" customHeight="1" x14ac:dyDescent="0.2">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row>
    <row r="735" spans="1:50" ht="12.95" customHeight="1" x14ac:dyDescent="0.2">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row>
    <row r="736" spans="1:50" ht="12.95" customHeight="1" x14ac:dyDescent="0.2">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row>
    <row r="737" spans="1:50" ht="12.95" customHeight="1" x14ac:dyDescent="0.2">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row>
    <row r="738" spans="1:50" ht="12.95" customHeight="1" x14ac:dyDescent="0.2">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row>
    <row r="739" spans="1:50" ht="12.95" customHeight="1" x14ac:dyDescent="0.2">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row>
    <row r="740" spans="1:50" ht="12.95" customHeight="1" x14ac:dyDescent="0.2">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row>
    <row r="741" spans="1:50" ht="12.95" customHeight="1" x14ac:dyDescent="0.2">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row>
    <row r="742" spans="1:50" ht="12.95" customHeight="1" x14ac:dyDescent="0.2">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row>
    <row r="743" spans="1:50" ht="12.95" customHeight="1" x14ac:dyDescent="0.2">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row>
    <row r="744" spans="1:50" ht="12.95" customHeight="1" x14ac:dyDescent="0.2">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row>
    <row r="745" spans="1:50" ht="12.95" customHeight="1" x14ac:dyDescent="0.2">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row>
    <row r="746" spans="1:50" ht="12.95" customHeight="1" x14ac:dyDescent="0.2">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row>
    <row r="747" spans="1:50" ht="12.95" customHeight="1" x14ac:dyDescent="0.2">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row>
    <row r="748" spans="1:50" ht="12.95" customHeight="1" x14ac:dyDescent="0.2">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row>
    <row r="749" spans="1:50" ht="12.95" customHeight="1" x14ac:dyDescent="0.2">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row>
    <row r="750" spans="1:50" ht="12.95" customHeight="1" x14ac:dyDescent="0.2">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row>
    <row r="751" spans="1:50" ht="12.95" customHeight="1" x14ac:dyDescent="0.2">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row>
    <row r="752" spans="1:50" ht="12.95" customHeight="1" x14ac:dyDescent="0.2">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row>
    <row r="753" spans="1:50" ht="12.95" customHeight="1" x14ac:dyDescent="0.2">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row>
    <row r="754" spans="1:50" ht="12.95" customHeight="1" x14ac:dyDescent="0.2">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row>
    <row r="755" spans="1:50" ht="12.95" customHeight="1" x14ac:dyDescent="0.2">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row>
    <row r="756" spans="1:50" ht="12.95" customHeight="1" x14ac:dyDescent="0.2">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row>
    <row r="757" spans="1:50" ht="12.95" customHeight="1" x14ac:dyDescent="0.2">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row>
    <row r="758" spans="1:50" ht="12.95" customHeight="1" x14ac:dyDescent="0.2">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row>
    <row r="759" spans="1:50" ht="12.95" customHeight="1" x14ac:dyDescent="0.2">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row>
    <row r="760" spans="1:50" ht="12.95" customHeight="1" x14ac:dyDescent="0.2">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row>
    <row r="761" spans="1:50" ht="12.95" customHeight="1" x14ac:dyDescent="0.2">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row>
    <row r="762" spans="1:50" ht="12.95" customHeight="1" x14ac:dyDescent="0.2">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row>
    <row r="763" spans="1:50" ht="12.95" customHeight="1" x14ac:dyDescent="0.2">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row>
    <row r="764" spans="1:50" ht="12.95" customHeight="1" x14ac:dyDescent="0.2">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row>
    <row r="765" spans="1:50" ht="12.95" customHeight="1" x14ac:dyDescent="0.2">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row>
    <row r="766" spans="1:50" ht="12.95" customHeight="1" x14ac:dyDescent="0.2">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row>
    <row r="767" spans="1:50" ht="12.95" customHeight="1" x14ac:dyDescent="0.2">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row>
    <row r="768" spans="1:50" ht="12.95" customHeight="1" x14ac:dyDescent="0.2">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row>
    <row r="769" spans="1:50" ht="12.95" customHeight="1" x14ac:dyDescent="0.2">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row>
    <row r="770" spans="1:50" ht="12.95" customHeight="1" x14ac:dyDescent="0.2">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row>
    <row r="771" spans="1:50" ht="12.95" customHeight="1" x14ac:dyDescent="0.2">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row>
    <row r="772" spans="1:50" ht="12.95" customHeight="1" x14ac:dyDescent="0.2">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row>
    <row r="773" spans="1:50" ht="12.95" customHeight="1" x14ac:dyDescent="0.2">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row>
    <row r="774" spans="1:50" ht="12.95" customHeight="1" x14ac:dyDescent="0.2">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row>
    <row r="775" spans="1:50" ht="12.95" customHeight="1" x14ac:dyDescent="0.2">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row>
    <row r="776" spans="1:50" ht="12.95" customHeight="1" x14ac:dyDescent="0.2">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row>
    <row r="777" spans="1:50" ht="12.95" customHeight="1" x14ac:dyDescent="0.2">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row>
    <row r="778" spans="1:50" ht="12.95" customHeight="1" x14ac:dyDescent="0.2">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row>
    <row r="779" spans="1:50" ht="12.95" customHeight="1" x14ac:dyDescent="0.2">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row>
    <row r="780" spans="1:50" ht="12.95" customHeight="1" x14ac:dyDescent="0.2">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row>
    <row r="781" spans="1:50" ht="12.95" customHeight="1" x14ac:dyDescent="0.2">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row>
    <row r="782" spans="1:50" ht="12.95" customHeight="1" x14ac:dyDescent="0.2">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row>
    <row r="783" spans="1:50" ht="12.95" customHeight="1" x14ac:dyDescent="0.2">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row>
    <row r="784" spans="1:50" ht="12.95" customHeight="1" x14ac:dyDescent="0.2">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row>
    <row r="785" spans="1:50" ht="12.95" customHeight="1" x14ac:dyDescent="0.2">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row>
    <row r="786" spans="1:50" ht="12.95" customHeight="1" x14ac:dyDescent="0.2">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row>
    <row r="787" spans="1:50" ht="12.95" customHeight="1" x14ac:dyDescent="0.2">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row>
    <row r="788" spans="1:50" ht="12.95" customHeight="1" x14ac:dyDescent="0.2">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row>
    <row r="789" spans="1:50" ht="12.95" customHeight="1" x14ac:dyDescent="0.2">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row>
    <row r="790" spans="1:50" ht="12.95" customHeight="1" x14ac:dyDescent="0.2">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row>
    <row r="791" spans="1:50" ht="12.95" customHeight="1" x14ac:dyDescent="0.2">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row>
    <row r="792" spans="1:50" ht="12.95" customHeight="1" x14ac:dyDescent="0.2">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row>
    <row r="793" spans="1:50" ht="12.95" customHeight="1" x14ac:dyDescent="0.2">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row>
    <row r="794" spans="1:50" ht="12.95" customHeight="1" x14ac:dyDescent="0.2">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row>
    <row r="795" spans="1:50" ht="12.95" customHeight="1" x14ac:dyDescent="0.2">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row>
    <row r="796" spans="1:50" ht="12.95" customHeight="1" x14ac:dyDescent="0.2">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row>
    <row r="797" spans="1:50" ht="12.95" customHeight="1" x14ac:dyDescent="0.2">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row>
    <row r="798" spans="1:50" ht="12.95" customHeight="1" x14ac:dyDescent="0.2">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row>
    <row r="799" spans="1:50" ht="12.95" customHeight="1" x14ac:dyDescent="0.2">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row>
    <row r="800" spans="1:50" ht="12.95" customHeight="1" x14ac:dyDescent="0.2">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row>
    <row r="801" spans="1:50" ht="12.95" customHeight="1" x14ac:dyDescent="0.2">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row>
    <row r="802" spans="1:50" ht="12.95" customHeight="1" x14ac:dyDescent="0.2">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row>
    <row r="803" spans="1:50" ht="12.95" customHeight="1" x14ac:dyDescent="0.2">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row>
    <row r="804" spans="1:50" ht="12.95" customHeight="1" x14ac:dyDescent="0.2">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row>
    <row r="805" spans="1:50" ht="12.95" customHeight="1" x14ac:dyDescent="0.2">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row>
    <row r="806" spans="1:50" ht="12.95" customHeight="1" x14ac:dyDescent="0.2">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row>
    <row r="807" spans="1:50" ht="12.95" customHeight="1" x14ac:dyDescent="0.2">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row>
    <row r="808" spans="1:50" ht="12.95" customHeight="1" x14ac:dyDescent="0.2">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row>
    <row r="809" spans="1:50" ht="12.95" customHeight="1" x14ac:dyDescent="0.2">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row>
    <row r="810" spans="1:50" ht="12.95" customHeight="1" x14ac:dyDescent="0.2">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row>
    <row r="811" spans="1:50" ht="12.95" customHeight="1" x14ac:dyDescent="0.2">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row>
    <row r="812" spans="1:50" ht="12.95" customHeight="1" x14ac:dyDescent="0.2">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row>
    <row r="813" spans="1:50" ht="12.95" customHeight="1" x14ac:dyDescent="0.2">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row>
    <row r="814" spans="1:50" ht="12.95" customHeight="1" x14ac:dyDescent="0.2">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row>
    <row r="815" spans="1:50" ht="12.95" customHeight="1" x14ac:dyDescent="0.2">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row>
    <row r="816" spans="1:50" ht="12.95" customHeight="1" x14ac:dyDescent="0.2">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row>
    <row r="817" spans="1:50" ht="12.95" customHeight="1" x14ac:dyDescent="0.2">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row>
    <row r="818" spans="1:50" ht="12.95" customHeight="1" x14ac:dyDescent="0.2">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row>
    <row r="819" spans="1:50" ht="12.95" customHeight="1" x14ac:dyDescent="0.2">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row>
    <row r="820" spans="1:50" ht="12.95" customHeight="1" x14ac:dyDescent="0.2">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row>
    <row r="821" spans="1:50" ht="12.95" customHeight="1" x14ac:dyDescent="0.2">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row>
    <row r="822" spans="1:50" ht="12.95" customHeight="1" x14ac:dyDescent="0.2">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row>
    <row r="823" spans="1:50" ht="12.95" customHeight="1" x14ac:dyDescent="0.2">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row>
    <row r="824" spans="1:50" ht="12.95" customHeight="1" x14ac:dyDescent="0.2">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row>
    <row r="825" spans="1:50" ht="12.95" customHeight="1" x14ac:dyDescent="0.2">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row>
    <row r="826" spans="1:50" ht="12.95" customHeight="1" x14ac:dyDescent="0.2">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row>
    <row r="827" spans="1:50" ht="12.95" customHeight="1" x14ac:dyDescent="0.2">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row>
    <row r="828" spans="1:50" ht="12.95" customHeight="1" x14ac:dyDescent="0.2">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row>
    <row r="829" spans="1:50" ht="12.95" customHeight="1" x14ac:dyDescent="0.2">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row>
    <row r="830" spans="1:50" ht="12.95" customHeight="1" x14ac:dyDescent="0.2">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row>
    <row r="831" spans="1:50" ht="12.95" customHeight="1" x14ac:dyDescent="0.2">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row>
    <row r="832" spans="1:50" ht="12.95" customHeight="1" x14ac:dyDescent="0.2">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row>
    <row r="833" spans="1:50" ht="12.95" customHeight="1" x14ac:dyDescent="0.2">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row>
    <row r="834" spans="1:50" ht="12.95" customHeight="1" x14ac:dyDescent="0.2">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row>
    <row r="835" spans="1:50" ht="12.95" customHeight="1" x14ac:dyDescent="0.2">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row>
    <row r="836" spans="1:50" ht="12.95" customHeight="1" x14ac:dyDescent="0.2">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row>
    <row r="837" spans="1:50" ht="12.95" customHeight="1" x14ac:dyDescent="0.2">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row>
    <row r="838" spans="1:50" ht="12.95" customHeight="1" x14ac:dyDescent="0.2">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row>
    <row r="839" spans="1:50" ht="12.95" customHeight="1" x14ac:dyDescent="0.2">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row>
    <row r="840" spans="1:50" ht="12.95" customHeight="1" x14ac:dyDescent="0.2">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row>
    <row r="841" spans="1:50" ht="12.95" customHeight="1" x14ac:dyDescent="0.2">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row>
    <row r="842" spans="1:50" ht="12.95" customHeight="1" x14ac:dyDescent="0.2">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row>
    <row r="843" spans="1:50" ht="12.95" customHeight="1" x14ac:dyDescent="0.2">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row>
    <row r="844" spans="1:50" ht="12.95" customHeight="1" x14ac:dyDescent="0.2">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row>
    <row r="845" spans="1:50" ht="12.95" customHeight="1" x14ac:dyDescent="0.2">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row>
    <row r="846" spans="1:50" ht="12.95" customHeight="1" x14ac:dyDescent="0.2">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row>
    <row r="847" spans="1:50" ht="12.95" customHeight="1" x14ac:dyDescent="0.2">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row>
    <row r="848" spans="1:50" ht="12.95" customHeight="1" x14ac:dyDescent="0.2">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row>
    <row r="849" spans="1:50" ht="12.95" customHeight="1" x14ac:dyDescent="0.2">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row>
    <row r="850" spans="1:50" ht="12.95" customHeight="1" x14ac:dyDescent="0.2">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row>
    <row r="851" spans="1:50" ht="12.95" customHeight="1" x14ac:dyDescent="0.2">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row>
    <row r="852" spans="1:50" ht="12.95" customHeight="1" x14ac:dyDescent="0.2">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row>
    <row r="853" spans="1:50" ht="12.95" customHeight="1" x14ac:dyDescent="0.2">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row>
    <row r="854" spans="1:50" ht="12.95" customHeight="1" x14ac:dyDescent="0.2">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row>
    <row r="855" spans="1:50" ht="12.95" customHeight="1" x14ac:dyDescent="0.2">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row>
    <row r="856" spans="1:50" ht="12.95" customHeight="1" x14ac:dyDescent="0.2">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row>
    <row r="857" spans="1:50" ht="12.95" customHeight="1" x14ac:dyDescent="0.2">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row>
    <row r="858" spans="1:50" ht="12.95" customHeight="1" x14ac:dyDescent="0.2">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row>
    <row r="859" spans="1:50" ht="12.95" customHeight="1" x14ac:dyDescent="0.2">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row>
    <row r="860" spans="1:50" ht="12.95" customHeight="1" x14ac:dyDescent="0.2">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row>
    <row r="861" spans="1:50" ht="12.95" customHeight="1" x14ac:dyDescent="0.2">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row>
    <row r="862" spans="1:50" ht="12.95" customHeight="1" x14ac:dyDescent="0.2">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row>
    <row r="863" spans="1:50" ht="12.95" customHeight="1" x14ac:dyDescent="0.2">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row>
    <row r="864" spans="1:50" ht="12.95" customHeight="1" x14ac:dyDescent="0.2">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row>
    <row r="865" spans="1:50" ht="12.95" customHeight="1" x14ac:dyDescent="0.2">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row>
    <row r="866" spans="1:50" ht="12.95" customHeight="1" x14ac:dyDescent="0.2">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row>
    <row r="867" spans="1:50" ht="12.95" customHeight="1" x14ac:dyDescent="0.2">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row>
    <row r="868" spans="1:50" ht="12.95" customHeight="1" x14ac:dyDescent="0.2">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row>
    <row r="869" spans="1:50" ht="12.95" customHeight="1" x14ac:dyDescent="0.2">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row>
    <row r="870" spans="1:50" ht="12.95" customHeight="1" x14ac:dyDescent="0.2">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row>
    <row r="871" spans="1:50" ht="12.95" customHeight="1" x14ac:dyDescent="0.2">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row>
    <row r="872" spans="1:50" ht="12.95" customHeight="1" x14ac:dyDescent="0.2">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row>
    <row r="873" spans="1:50" ht="12.95" customHeight="1" x14ac:dyDescent="0.2">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row>
    <row r="874" spans="1:50" ht="12.95" customHeight="1" x14ac:dyDescent="0.2">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row>
    <row r="875" spans="1:50" ht="12.95" customHeight="1" x14ac:dyDescent="0.2">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row>
    <row r="876" spans="1:50" ht="12.95" customHeight="1" x14ac:dyDescent="0.2">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row>
    <row r="877" spans="1:50" ht="12.95" customHeight="1" x14ac:dyDescent="0.2">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row>
    <row r="878" spans="1:50" ht="12.95" customHeight="1" x14ac:dyDescent="0.2">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row>
    <row r="879" spans="1:50" ht="12.95" customHeight="1" x14ac:dyDescent="0.2">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row>
    <row r="880" spans="1:50" ht="12.95" customHeight="1" x14ac:dyDescent="0.2">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row>
    <row r="881" spans="1:50" ht="12.95" customHeight="1" x14ac:dyDescent="0.2">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row>
    <row r="882" spans="1:50" ht="12.95" customHeight="1" x14ac:dyDescent="0.2">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row>
    <row r="883" spans="1:50" ht="12.95" customHeight="1" x14ac:dyDescent="0.2">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row>
    <row r="884" spans="1:50" ht="12.95" customHeight="1" x14ac:dyDescent="0.2">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row>
    <row r="885" spans="1:50" ht="12.95" customHeight="1" x14ac:dyDescent="0.2">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row>
    <row r="886" spans="1:50" ht="12.95" customHeight="1" x14ac:dyDescent="0.2">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row>
    <row r="887" spans="1:50" ht="12.95" customHeight="1" x14ac:dyDescent="0.2">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row>
    <row r="888" spans="1:50" ht="12.95" customHeight="1" x14ac:dyDescent="0.2">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row>
    <row r="889" spans="1:50" ht="12.95" customHeight="1" x14ac:dyDescent="0.2">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row>
    <row r="890" spans="1:50" ht="12.95" customHeight="1" x14ac:dyDescent="0.2">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row>
    <row r="891" spans="1:50" ht="12.95" customHeight="1" x14ac:dyDescent="0.2">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row>
    <row r="892" spans="1:50" ht="12.95" customHeight="1" x14ac:dyDescent="0.2">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row>
    <row r="893" spans="1:50" ht="12.95" customHeight="1" x14ac:dyDescent="0.2">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row>
    <row r="894" spans="1:50" ht="12.95" customHeight="1" x14ac:dyDescent="0.2">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row>
    <row r="895" spans="1:50" ht="12.95" customHeight="1" x14ac:dyDescent="0.2">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row>
    <row r="896" spans="1:50" ht="12.95" customHeight="1" x14ac:dyDescent="0.2">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row>
    <row r="897" spans="1:50" ht="12.95" customHeight="1" x14ac:dyDescent="0.2">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row>
    <row r="898" spans="1:50" ht="12.95" customHeight="1" x14ac:dyDescent="0.2">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row>
    <row r="899" spans="1:50" ht="12.95" customHeight="1" x14ac:dyDescent="0.2">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row>
    <row r="900" spans="1:50" ht="12.95" customHeight="1" x14ac:dyDescent="0.2">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row>
    <row r="901" spans="1:50" ht="12.95" customHeight="1" x14ac:dyDescent="0.2">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row>
    <row r="902" spans="1:50" ht="12.95" customHeight="1" x14ac:dyDescent="0.2">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row>
    <row r="903" spans="1:50" ht="12.95" customHeight="1" x14ac:dyDescent="0.2">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row>
    <row r="904" spans="1:50" ht="12.95" customHeight="1" x14ac:dyDescent="0.2">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row>
    <row r="905" spans="1:50" ht="12.95" customHeight="1" x14ac:dyDescent="0.2">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row>
    <row r="906" spans="1:50" ht="12.95" customHeight="1" x14ac:dyDescent="0.2">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row>
    <row r="907" spans="1:50" ht="12.95" customHeight="1" x14ac:dyDescent="0.2">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row>
    <row r="908" spans="1:50" ht="12.95" customHeight="1" x14ac:dyDescent="0.2">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row>
    <row r="909" spans="1:50" ht="12.95" customHeight="1" x14ac:dyDescent="0.2">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row>
    <row r="910" spans="1:50" ht="12.95" customHeight="1" x14ac:dyDescent="0.2">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row>
    <row r="911" spans="1:50" ht="12.95" customHeight="1" x14ac:dyDescent="0.2">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row>
    <row r="912" spans="1:50" ht="12.95" customHeight="1" x14ac:dyDescent="0.2">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row>
    <row r="913" spans="1:50" ht="12.95" customHeight="1" x14ac:dyDescent="0.2">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row>
    <row r="914" spans="1:50" ht="12.95" customHeight="1" x14ac:dyDescent="0.2">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row>
    <row r="915" spans="1:50" ht="12.95" customHeight="1" x14ac:dyDescent="0.2">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row>
    <row r="916" spans="1:50" ht="12.95" customHeight="1" x14ac:dyDescent="0.2">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row>
    <row r="917" spans="1:50" ht="12.95" customHeight="1" x14ac:dyDescent="0.2">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row>
    <row r="918" spans="1:50" ht="12.95" customHeight="1" x14ac:dyDescent="0.2">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row>
    <row r="919" spans="1:50" ht="12.95" customHeight="1" x14ac:dyDescent="0.2">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row>
    <row r="920" spans="1:50" ht="12.95" customHeight="1" x14ac:dyDescent="0.2">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row>
    <row r="921" spans="1:50" ht="12.95" customHeight="1" x14ac:dyDescent="0.2">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row>
    <row r="922" spans="1:50" ht="12.95" customHeight="1" x14ac:dyDescent="0.2">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row>
    <row r="923" spans="1:50" ht="12.95" customHeight="1" x14ac:dyDescent="0.2">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row>
    <row r="924" spans="1:50" ht="12.95" customHeight="1" x14ac:dyDescent="0.2">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row>
    <row r="925" spans="1:50" ht="12.95" customHeight="1" x14ac:dyDescent="0.2">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row>
    <row r="926" spans="1:50" ht="12.95" customHeight="1" x14ac:dyDescent="0.2">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row>
    <row r="927" spans="1:50" ht="12.95" customHeight="1" x14ac:dyDescent="0.2">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row>
    <row r="928" spans="1:50" ht="12.95" customHeight="1" x14ac:dyDescent="0.2">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row>
    <row r="929" spans="1:50" ht="12.95" customHeight="1" x14ac:dyDescent="0.2">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row>
    <row r="930" spans="1:50" ht="12.95" customHeight="1" x14ac:dyDescent="0.2">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row>
    <row r="931" spans="1:50" ht="12.95" customHeight="1" x14ac:dyDescent="0.2">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row>
    <row r="932" spans="1:50" ht="12.95" customHeight="1" x14ac:dyDescent="0.2">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row>
    <row r="933" spans="1:50" ht="12.95" customHeight="1" x14ac:dyDescent="0.2">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row>
    <row r="934" spans="1:50" ht="12.95" customHeight="1" x14ac:dyDescent="0.2">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row>
    <row r="935" spans="1:50" ht="12.95" customHeight="1" x14ac:dyDescent="0.2">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row>
  </sheetData>
  <mergeCells count="40">
    <mergeCell ref="C58:E58"/>
    <mergeCell ref="C59:E59"/>
    <mergeCell ref="C60:E60"/>
    <mergeCell ref="C52:E52"/>
    <mergeCell ref="C53:E53"/>
    <mergeCell ref="C54:E54"/>
    <mergeCell ref="C55:E55"/>
    <mergeCell ref="C56:E56"/>
    <mergeCell ref="C57:E57"/>
    <mergeCell ref="C91:E91"/>
    <mergeCell ref="C85:E85"/>
    <mergeCell ref="C86:E86"/>
    <mergeCell ref="C87:E87"/>
    <mergeCell ref="C88:E88"/>
    <mergeCell ref="C89:E89"/>
    <mergeCell ref="C90:E90"/>
    <mergeCell ref="C84:E84"/>
    <mergeCell ref="C73:E73"/>
    <mergeCell ref="C74:E74"/>
    <mergeCell ref="C75:E75"/>
    <mergeCell ref="C76:E76"/>
    <mergeCell ref="C77:E77"/>
    <mergeCell ref="C78:E78"/>
    <mergeCell ref="C79:E79"/>
    <mergeCell ref="C80:E80"/>
    <mergeCell ref="C81:E81"/>
    <mergeCell ref="C82:E82"/>
    <mergeCell ref="C83:E83"/>
    <mergeCell ref="C72:E72"/>
    <mergeCell ref="C61:E61"/>
    <mergeCell ref="C62:E62"/>
    <mergeCell ref="C63:E63"/>
    <mergeCell ref="C64:E64"/>
    <mergeCell ref="C65:E65"/>
    <mergeCell ref="C66:E66"/>
    <mergeCell ref="C67:E67"/>
    <mergeCell ref="C68:E68"/>
    <mergeCell ref="C69:E69"/>
    <mergeCell ref="C70:E70"/>
    <mergeCell ref="C71:E71"/>
  </mergeCells>
  <hyperlinks>
    <hyperlink ref="B2" location="cover!B18" display="return to TOC" xr:uid="{7B755FD6-64EA-4FA1-A1DB-4921EDBE56C5}"/>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17E62-4169-4E96-8978-482EC8C584CB}">
  <sheetPr published="0" codeName="Sheet15">
    <tabColor rgb="FF2171B5"/>
  </sheetPr>
  <dimension ref="A1:AX109"/>
  <sheetViews>
    <sheetView workbookViewId="0"/>
  </sheetViews>
  <sheetFormatPr defaultColWidth="10.83203125" defaultRowHeight="12.95" customHeight="1" x14ac:dyDescent="0.2"/>
  <cols>
    <col min="1" max="1" width="1.83203125" customWidth="1"/>
    <col min="2" max="2" width="30.83203125" customWidth="1"/>
    <col min="3" max="3" width="6.83203125" style="253" customWidth="1"/>
    <col min="4" max="43" width="6.83203125" customWidth="1"/>
  </cols>
  <sheetData>
    <row r="1" spans="1:50" s="54" customFormat="1" ht="30" customHeight="1" x14ac:dyDescent="0.2">
      <c r="A1" s="85"/>
      <c r="B1" s="86" t="s">
        <v>985</v>
      </c>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row>
    <row r="2" spans="1:50" s="54" customFormat="1" ht="12.95" customHeight="1" x14ac:dyDescent="0.2">
      <c r="A2" s="85"/>
      <c r="B2" s="81" t="s">
        <v>349</v>
      </c>
      <c r="C2" s="253"/>
    </row>
    <row r="3" spans="1:50" s="54" customFormat="1" ht="12.95" customHeight="1" x14ac:dyDescent="0.2">
      <c r="A3" s="85"/>
      <c r="B3" s="155" t="s">
        <v>601</v>
      </c>
      <c r="C3" s="155"/>
      <c r="D3" s="155"/>
      <c r="E3" s="155"/>
      <c r="F3" s="156"/>
      <c r="G3" s="156"/>
      <c r="H3" s="156"/>
      <c r="I3" s="156"/>
      <c r="J3" s="156"/>
      <c r="K3" s="156"/>
      <c r="L3" s="156"/>
    </row>
    <row r="4" spans="1:50" s="253" customFormat="1" ht="12.95" customHeight="1" x14ac:dyDescent="0.2">
      <c r="B4" s="21"/>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row>
    <row r="5" spans="1:50" s="253" customFormat="1" ht="12.95" customHeight="1" x14ac:dyDescent="0.25">
      <c r="B5" s="105" t="s">
        <v>977</v>
      </c>
      <c r="C5" s="106"/>
      <c r="D5" s="106"/>
      <c r="E5" s="107"/>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row>
    <row r="6" spans="1:50" s="253" customFormat="1" ht="12.95" customHeight="1" x14ac:dyDescent="0.25">
      <c r="B6" s="19" t="s">
        <v>300</v>
      </c>
      <c r="C6" s="114"/>
      <c r="D6" s="114" t="s">
        <v>381</v>
      </c>
      <c r="E6" s="56" t="s">
        <v>382</v>
      </c>
      <c r="F6" s="56" t="s">
        <v>383</v>
      </c>
      <c r="G6" s="56" t="s">
        <v>384</v>
      </c>
      <c r="H6" s="56" t="s">
        <v>385</v>
      </c>
      <c r="I6" s="56" t="s">
        <v>386</v>
      </c>
      <c r="J6" s="56" t="s">
        <v>387</v>
      </c>
      <c r="K6" s="56" t="s">
        <v>388</v>
      </c>
      <c r="L6" s="56" t="s">
        <v>389</v>
      </c>
      <c r="M6" s="56" t="s">
        <v>390</v>
      </c>
      <c r="N6" s="56" t="s">
        <v>401</v>
      </c>
      <c r="O6" s="56" t="s">
        <v>402</v>
      </c>
      <c r="P6" s="56" t="s">
        <v>403</v>
      </c>
      <c r="Q6" s="56" t="s">
        <v>404</v>
      </c>
      <c r="R6" s="56" t="s">
        <v>405</v>
      </c>
      <c r="S6" s="56" t="s">
        <v>406</v>
      </c>
      <c r="T6" s="56" t="s">
        <v>407</v>
      </c>
      <c r="U6" s="56" t="s">
        <v>408</v>
      </c>
      <c r="V6" s="56" t="s">
        <v>409</v>
      </c>
      <c r="W6" s="56" t="s">
        <v>410</v>
      </c>
      <c r="X6" s="56" t="s">
        <v>411</v>
      </c>
      <c r="Y6" s="56" t="s">
        <v>412</v>
      </c>
      <c r="Z6" s="56" t="s">
        <v>413</v>
      </c>
      <c r="AA6" s="56" t="s">
        <v>414</v>
      </c>
      <c r="AB6" s="56" t="s">
        <v>415</v>
      </c>
      <c r="AC6" s="56" t="s">
        <v>416</v>
      </c>
      <c r="AD6" s="56" t="s">
        <v>417</v>
      </c>
      <c r="AE6" s="56" t="s">
        <v>418</v>
      </c>
      <c r="AF6" s="56" t="s">
        <v>419</v>
      </c>
      <c r="AG6" s="56" t="s">
        <v>420</v>
      </c>
      <c r="AH6" s="56" t="s">
        <v>421</v>
      </c>
      <c r="AI6" s="56" t="s">
        <v>422</v>
      </c>
      <c r="AJ6" s="56" t="s">
        <v>423</v>
      </c>
      <c r="AK6" s="56" t="s">
        <v>424</v>
      </c>
      <c r="AL6" s="56" t="s">
        <v>425</v>
      </c>
      <c r="AM6" s="56" t="s">
        <v>426</v>
      </c>
      <c r="AN6" s="56" t="s">
        <v>427</v>
      </c>
      <c r="AO6" s="56" t="s">
        <v>428</v>
      </c>
      <c r="AP6" s="56" t="s">
        <v>429</v>
      </c>
      <c r="AQ6" s="56" t="s">
        <v>430</v>
      </c>
      <c r="AX6" s="14"/>
    </row>
    <row r="7" spans="1:50" s="253" customFormat="1" ht="12.95" customHeight="1" x14ac:dyDescent="0.2"/>
    <row r="8" spans="1:50" s="121" customFormat="1" ht="12.95" customHeight="1" x14ac:dyDescent="0.3">
      <c r="B8" s="121" t="s">
        <v>1003</v>
      </c>
    </row>
    <row r="9" spans="1:50" s="253" customFormat="1" ht="12.95" customHeight="1" x14ac:dyDescent="0.2">
      <c r="B9" s="283" t="s">
        <v>1008</v>
      </c>
      <c r="C9" s="147"/>
      <c r="D9" s="147">
        <f>(tsHERB!I$7-HERB!$F$24)*c_CO2.C/10^6</f>
        <v>0</v>
      </c>
      <c r="E9" s="147">
        <f>(tsHERB!J$7-HERB!$F$24)*c_CO2.C/10^6</f>
        <v>0</v>
      </c>
      <c r="F9" s="147">
        <f>(tsHERB!K$7-HERB!$F$24)*c_CO2.C/10^6</f>
        <v>0</v>
      </c>
      <c r="G9" s="147">
        <f>(tsHERB!L$7-HERB!$F$24)*c_CO2.C/10^6</f>
        <v>0</v>
      </c>
      <c r="H9" s="147">
        <f>(tsHERB!M$7-HERB!$F$24)*c_CO2.C/10^6</f>
        <v>0</v>
      </c>
      <c r="I9" s="147">
        <f>(tsHERB!N$7-HERB!$F$24)*c_CO2.C/10^6</f>
        <v>0</v>
      </c>
      <c r="J9" s="147">
        <f>(tsHERB!O$7-HERB!$F$24)*c_CO2.C/10^6</f>
        <v>0</v>
      </c>
      <c r="K9" s="147">
        <f>(tsHERB!P$7-HERB!$F$24)*c_CO2.C/10^6</f>
        <v>0</v>
      </c>
      <c r="L9" s="147">
        <f>(tsHERB!Q$7-HERB!$F$24)*c_CO2.C/10^6</f>
        <v>0</v>
      </c>
      <c r="M9" s="147">
        <f>(tsHERB!R$7-HERB!$F$24)*c_CO2.C/10^6</f>
        <v>0</v>
      </c>
      <c r="N9" s="147">
        <f>(tsHERB!S$7-HERB!$F$24)*c_CO2.C/10^6</f>
        <v>0</v>
      </c>
      <c r="O9" s="147">
        <f>(tsHERB!T$7-HERB!$F$24)*c_CO2.C/10^6</f>
        <v>0</v>
      </c>
      <c r="P9" s="147">
        <f>(tsHERB!U$7-HERB!$F$24)*c_CO2.C/10^6</f>
        <v>0</v>
      </c>
      <c r="Q9" s="147">
        <f>(tsHERB!V$7-HERB!$F$24)*c_CO2.C/10^6</f>
        <v>0</v>
      </c>
      <c r="R9" s="147">
        <f>(tsHERB!W$7-HERB!$F$24)*c_CO2.C/10^6</f>
        <v>0</v>
      </c>
      <c r="S9" s="147">
        <f>(tsHERB!X$7-HERB!$F$24)*c_CO2.C/10^6</f>
        <v>0</v>
      </c>
      <c r="T9" s="147">
        <f>(tsHERB!Y$7-HERB!$F$24)*c_CO2.C/10^6</f>
        <v>0</v>
      </c>
      <c r="U9" s="147">
        <f>(tsHERB!Z$7-HERB!$F$24)*c_CO2.C/10^6</f>
        <v>0</v>
      </c>
      <c r="V9" s="147">
        <f>(tsHERB!AA$7-HERB!$F$24)*c_CO2.C/10^6</f>
        <v>0</v>
      </c>
      <c r="W9" s="147">
        <f>(tsHERB!AB$7-HERB!$F$24)*c_CO2.C/10^6</f>
        <v>0</v>
      </c>
      <c r="X9" s="147">
        <f>(tsHERB!AC$7-HERB!$F$24)*c_CO2.C/10^6</f>
        <v>0</v>
      </c>
      <c r="Y9" s="147">
        <f>(tsHERB!AD$7-HERB!$F$24)*c_CO2.C/10^6</f>
        <v>0</v>
      </c>
      <c r="Z9" s="147">
        <f>(tsHERB!AE$7-HERB!$F$24)*c_CO2.C/10^6</f>
        <v>0</v>
      </c>
      <c r="AA9" s="147">
        <f>(tsHERB!AF$7-HERB!$F$24)*c_CO2.C/10^6</f>
        <v>0</v>
      </c>
      <c r="AB9" s="147">
        <f>(tsHERB!AG$7-HERB!$F$24)*c_CO2.C/10^6</f>
        <v>0</v>
      </c>
      <c r="AC9" s="147">
        <f>(tsHERB!AH$7-HERB!$F$24)*c_CO2.C/10^6</f>
        <v>0</v>
      </c>
      <c r="AD9" s="147">
        <f>(tsHERB!AI$7-HERB!$F$24)*c_CO2.C/10^6</f>
        <v>0</v>
      </c>
      <c r="AE9" s="147">
        <f>(tsHERB!AJ$7-HERB!$F$24)*c_CO2.C/10^6</f>
        <v>0</v>
      </c>
      <c r="AF9" s="147">
        <f>(tsHERB!AK$7-HERB!$F$24)*c_CO2.C/10^6</f>
        <v>0</v>
      </c>
      <c r="AG9" s="147">
        <f>(tsHERB!AL$7-HERB!$F$24)*c_CO2.C/10^6</f>
        <v>0</v>
      </c>
      <c r="AH9" s="147">
        <f>(tsHERB!AM$7-HERB!$F$24)*c_CO2.C/10^6</f>
        <v>0</v>
      </c>
      <c r="AI9" s="147">
        <f>(tsHERB!AN$7-HERB!$F$24)*c_CO2.C/10^6</f>
        <v>0</v>
      </c>
      <c r="AJ9" s="147">
        <f>(tsHERB!AO$7-HERB!$F$24)*c_CO2.C/10^6</f>
        <v>0</v>
      </c>
      <c r="AK9" s="147">
        <f>(tsHERB!AP$7-HERB!$F$24)*c_CO2.C/10^6</f>
        <v>0</v>
      </c>
      <c r="AL9" s="147">
        <f>(tsHERB!AQ$7-HERB!$F$24)*c_CO2.C/10^6</f>
        <v>0</v>
      </c>
      <c r="AM9" s="147">
        <f>(tsHERB!AR$7-HERB!$F$24)*c_CO2.C/10^6</f>
        <v>0</v>
      </c>
      <c r="AN9" s="147">
        <f>(tsHERB!AS$7-HERB!$F$24)*c_CO2.C/10^6</f>
        <v>0</v>
      </c>
      <c r="AO9" s="147">
        <f>(tsHERB!AT$7-HERB!$F$24)*c_CO2.C/10^6</f>
        <v>0</v>
      </c>
      <c r="AP9" s="147">
        <f>(tsHERB!AU$7-HERB!$F$24)*c_CO2.C/10^6</f>
        <v>0</v>
      </c>
      <c r="AQ9" s="147">
        <f>(tsHERB!AV$7-HERB!$F$24)*c_CO2.C/10^6</f>
        <v>0</v>
      </c>
    </row>
    <row r="10" spans="1:50" s="253" customFormat="1" ht="12.95" customHeight="1" x14ac:dyDescent="0.2">
      <c r="B10" s="283" t="s">
        <v>446</v>
      </c>
      <c r="C10" s="147"/>
      <c r="D10" s="147">
        <f>(tsSRWC!I$39-tsSRWC!I$76)*c_CO2.C/10^6</f>
        <v>0</v>
      </c>
      <c r="E10" s="147">
        <f>(tsSRWC!J$39-tsSRWC!J$76)*c_CO2.C/10^6</f>
        <v>0</v>
      </c>
      <c r="F10" s="147">
        <f>(tsSRWC!K$39-tsSRWC!K$76)*c_CO2.C/10^6</f>
        <v>0</v>
      </c>
      <c r="G10" s="147">
        <f>(tsSRWC!L$39-tsSRWC!L$76)*c_CO2.C/10^6</f>
        <v>0</v>
      </c>
      <c r="H10" s="147">
        <f>(tsSRWC!M$39-tsSRWC!M$76)*c_CO2.C/10^6</f>
        <v>0</v>
      </c>
      <c r="I10" s="147">
        <f>(tsSRWC!N$39-tsSRWC!N$76)*c_CO2.C/10^6</f>
        <v>0</v>
      </c>
      <c r="J10" s="147">
        <f>(tsSRWC!O$39-tsSRWC!O$76)*c_CO2.C/10^6</f>
        <v>0</v>
      </c>
      <c r="K10" s="147">
        <f>(tsSRWC!P$39-tsSRWC!P$76)*c_CO2.C/10^6</f>
        <v>0</v>
      </c>
      <c r="L10" s="147">
        <f>(tsSRWC!Q$39-tsSRWC!Q$76)*c_CO2.C/10^6</f>
        <v>0</v>
      </c>
      <c r="M10" s="147">
        <f>(tsSRWC!R$39-tsSRWC!R$76)*c_CO2.C/10^6</f>
        <v>0</v>
      </c>
      <c r="N10" s="147">
        <f>(tsSRWC!S$39-tsSRWC!S$76)*c_CO2.C/10^6</f>
        <v>0</v>
      </c>
      <c r="O10" s="147">
        <f>(tsSRWC!T$39-tsSRWC!T$76)*c_CO2.C/10^6</f>
        <v>0</v>
      </c>
      <c r="P10" s="147">
        <f>(tsSRWC!U$39-tsSRWC!U$76)*c_CO2.C/10^6</f>
        <v>0</v>
      </c>
      <c r="Q10" s="147">
        <f>(tsSRWC!V$39-tsSRWC!V$76)*c_CO2.C/10^6</f>
        <v>0</v>
      </c>
      <c r="R10" s="147">
        <f>(tsSRWC!W$39-tsSRWC!W$76)*c_CO2.C/10^6</f>
        <v>0</v>
      </c>
      <c r="S10" s="147">
        <f>(tsSRWC!X$39-tsSRWC!X$76)*c_CO2.C/10^6</f>
        <v>0</v>
      </c>
      <c r="T10" s="147">
        <f>(tsSRWC!Y$39-tsSRWC!Y$76)*c_CO2.C/10^6</f>
        <v>0</v>
      </c>
      <c r="U10" s="147">
        <f>(tsSRWC!Z$39-tsSRWC!Z$76)*c_CO2.C/10^6</f>
        <v>0</v>
      </c>
      <c r="V10" s="147">
        <f>(tsSRWC!AA$39-tsSRWC!AA$76)*c_CO2.C/10^6</f>
        <v>0</v>
      </c>
      <c r="W10" s="147">
        <f>(tsSRWC!AB$39-tsSRWC!AB$76)*c_CO2.C/10^6</f>
        <v>0</v>
      </c>
      <c r="X10" s="147">
        <f>(tsSRWC!AC$39-tsSRWC!AC$76)*c_CO2.C/10^6</f>
        <v>0</v>
      </c>
      <c r="Y10" s="147">
        <f>(tsSRWC!AD$39-tsSRWC!AD$76)*c_CO2.C/10^6</f>
        <v>0</v>
      </c>
      <c r="Z10" s="147">
        <f>(tsSRWC!AE$39-tsSRWC!AE$76)*c_CO2.C/10^6</f>
        <v>0</v>
      </c>
      <c r="AA10" s="147">
        <f>(tsSRWC!AF$39-tsSRWC!AF$76)*c_CO2.C/10^6</f>
        <v>0</v>
      </c>
      <c r="AB10" s="147">
        <f>(tsSRWC!AG$39-tsSRWC!AG$76)*c_CO2.C/10^6</f>
        <v>0</v>
      </c>
      <c r="AC10" s="147">
        <f>(tsSRWC!AH$39-tsSRWC!AH$76)*c_CO2.C/10^6</f>
        <v>0</v>
      </c>
      <c r="AD10" s="147">
        <f>(tsSRWC!AI$39-tsSRWC!AI$76)*c_CO2.C/10^6</f>
        <v>0</v>
      </c>
      <c r="AE10" s="147">
        <f>(tsSRWC!AJ$39-tsSRWC!AJ$76)*c_CO2.C/10^6</f>
        <v>0</v>
      </c>
      <c r="AF10" s="147">
        <f>(tsSRWC!AK$39-tsSRWC!AK$76)*c_CO2.C/10^6</f>
        <v>0</v>
      </c>
      <c r="AG10" s="147">
        <f>(tsSRWC!AL$39-tsSRWC!AL$76)*c_CO2.C/10^6</f>
        <v>0</v>
      </c>
      <c r="AH10" s="147">
        <f>(tsSRWC!AM$39-tsSRWC!AM$76)*c_CO2.C/10^6</f>
        <v>0</v>
      </c>
      <c r="AI10" s="147">
        <f>(tsSRWC!AN$39-tsSRWC!AN$76)*c_CO2.C/10^6</f>
        <v>0</v>
      </c>
      <c r="AJ10" s="147">
        <f>(tsSRWC!AO$39-tsSRWC!AO$76)*c_CO2.C/10^6</f>
        <v>0</v>
      </c>
      <c r="AK10" s="147">
        <f>(tsSRWC!AP$39-tsSRWC!AP$76)*c_CO2.C/10^6</f>
        <v>0</v>
      </c>
      <c r="AL10" s="147">
        <f>(tsSRWC!AQ$39-tsSRWC!AQ$76)*c_CO2.C/10^6</f>
        <v>0</v>
      </c>
      <c r="AM10" s="147">
        <f>(tsSRWC!AR$39-tsSRWC!AR$76)*c_CO2.C/10^6</f>
        <v>0</v>
      </c>
      <c r="AN10" s="147">
        <f>(tsSRWC!AS$39-tsSRWC!AS$76)*c_CO2.C/10^6</f>
        <v>0</v>
      </c>
      <c r="AO10" s="147">
        <f>(tsSRWC!AT$39-tsSRWC!AT$76)*c_CO2.C/10^6</f>
        <v>0</v>
      </c>
      <c r="AP10" s="147">
        <f>(tsSRWC!AU$39-tsSRWC!AU$76)*c_CO2.C/10^6</f>
        <v>0</v>
      </c>
      <c r="AQ10" s="147">
        <f>(tsSRWC!AV$39-tsSRWC!AV$76)*c_CO2.C/10^6</f>
        <v>0</v>
      </c>
    </row>
    <row r="11" spans="1:50" s="253" customFormat="1" ht="12.95" customHeight="1" x14ac:dyDescent="0.2">
      <c r="B11" s="283" t="s">
        <v>1006</v>
      </c>
      <c r="C11" s="147"/>
      <c r="D11" s="147">
        <f>(tsLOG!I$129-tsLOG!I$256)*c_CO2.C/10^6</f>
        <v>0.38057100966284263</v>
      </c>
      <c r="E11" s="147">
        <f>(tsLOG!J$129-tsLOG!J$256)*c_CO2.C/10^6</f>
        <v>0.74515265637839889</v>
      </c>
      <c r="F11" s="147">
        <f>(tsLOG!K$129-tsLOG!K$256)*c_CO2.C/10^6</f>
        <v>1.0846643759185031</v>
      </c>
      <c r="G11" s="147">
        <f>(tsLOG!L$129-tsLOG!L$256)*c_CO2.C/10^6</f>
        <v>1.3927534440363467</v>
      </c>
      <c r="H11" s="147">
        <f>(tsLOG!M$129-tsLOG!M$256)*c_CO2.C/10^6</f>
        <v>1.6652561140395303</v>
      </c>
      <c r="I11" s="147">
        <f>(tsLOG!N$129-tsLOG!N$256)*c_CO2.C/10^6</f>
        <v>1.8997499910480826</v>
      </c>
      <c r="J11" s="147">
        <f>(tsLOG!O$129-tsLOG!O$256)*c_CO2.C/10^6</f>
        <v>2.0951833310818473</v>
      </c>
      <c r="K11" s="147">
        <f>(tsLOG!P$129-tsLOG!P$256)*c_CO2.C/10^6</f>
        <v>2.2515691039474439</v>
      </c>
      <c r="L11" s="147">
        <f>(tsLOG!Q$129-tsLOG!Q$256)*c_CO2.C/10^6</f>
        <v>2.3697334947133775</v>
      </c>
      <c r="M11" s="147">
        <f>(tsLOG!R$129-tsLOG!R$256)*c_CO2.C/10^6</f>
        <v>2.4511100847687874</v>
      </c>
      <c r="N11" s="147">
        <f>(tsLOG!S$129-tsLOG!S$256)*c_CO2.C/10^6</f>
        <v>2.497572288978315</v>
      </c>
      <c r="O11" s="147">
        <f>(tsLOG!T$129-tsLOG!T$256)*c_CO2.C/10^6</f>
        <v>2.5112977636370961</v>
      </c>
      <c r="P11" s="147">
        <f>(tsLOG!U$129-tsLOG!U$256)*c_CO2.C/10^6</f>
        <v>2.4946594693906974</v>
      </c>
      <c r="Q11" s="147">
        <f>(tsLOG!V$129-tsLOG!V$256)*c_CO2.C/10^6</f>
        <v>2.4501388985177961</v>
      </c>
      <c r="R11" s="147">
        <f>(tsLOG!W$129-tsLOG!W$256)*c_CO2.C/10^6</f>
        <v>2.3802576779680402</v>
      </c>
      <c r="S11" s="147">
        <f>(tsLOG!X$129-tsLOG!X$256)*c_CO2.C/10^6</f>
        <v>2.2875243562826162</v>
      </c>
      <c r="T11" s="147">
        <f>(tsLOG!Y$129-tsLOG!Y$256)*c_CO2.C/10^6</f>
        <v>2.1743936893934848</v>
      </c>
      <c r="U11" s="147">
        <f>(tsLOG!Z$129-tsLOG!Z$256)*c_CO2.C/10^6</f>
        <v>2.0432361704767645</v>
      </c>
      <c r="V11" s="147">
        <f>(tsLOG!AA$129-tsLOG!AA$256)*c_CO2.C/10^6</f>
        <v>1.8963159138032157</v>
      </c>
      <c r="W11" s="147">
        <f>(tsLOG!AB$129-tsLOG!AB$256)*c_CO2.C/10^6</f>
        <v>1.7357753115321246</v>
      </c>
      <c r="X11" s="147">
        <f>(tsLOG!AC$129-tsLOG!AC$256)*c_CO2.C/10^6</f>
        <v>1.5636251438851609</v>
      </c>
      <c r="Y11" s="147">
        <f>(tsLOG!AD$129-tsLOG!AD$256)*c_CO2.C/10^6</f>
        <v>1.3817390441688617</v>
      </c>
      <c r="Z11" s="147">
        <f>(tsLOG!AE$129-tsLOG!AE$256)*c_CO2.C/10^6</f>
        <v>1.191851406716941</v>
      </c>
      <c r="AA11" s="147">
        <f>(tsLOG!AF$129-tsLOG!AF$256)*c_CO2.C/10^6</f>
        <v>0.99555798314814858</v>
      </c>
      <c r="AB11" s="147">
        <f>(tsLOG!AG$129-tsLOG!AG$256)*c_CO2.C/10^6</f>
        <v>0.79431854477971853</v>
      </c>
      <c r="AC11" s="147">
        <f>(tsLOG!AH$129-tsLOG!AH$256)*c_CO2.C/10^6</f>
        <v>0.58946110035599653</v>
      </c>
      <c r="AD11" s="147">
        <f>(tsLOG!AI$129-tsLOG!AI$256)*c_CO2.C/10^6</f>
        <v>0.38218725164939893</v>
      </c>
      <c r="AE11" s="147">
        <f>(tsLOG!AJ$129-tsLOG!AJ$256)*c_CO2.C/10^6</f>
        <v>0.17357834769866276</v>
      </c>
      <c r="AF11" s="147">
        <f>(tsLOG!AK$129-tsLOG!AK$256)*c_CO2.C/10^6</f>
        <v>-3.5397836204618734E-2</v>
      </c>
      <c r="AG11" s="147">
        <f>(tsLOG!AL$129-tsLOG!AL$256)*c_CO2.C/10^6</f>
        <v>-0.24388011420256725</v>
      </c>
      <c r="AH11" s="147">
        <f>(tsLOG!AM$129-tsLOG!AM$256)*c_CO2.C/10^6</f>
        <v>-0.45110677437430469</v>
      </c>
      <c r="AI11" s="147">
        <f>(tsLOG!AN$129-tsLOG!AN$256)*c_CO2.C/10^6</f>
        <v>-0.65640846867573566</v>
      </c>
      <c r="AJ11" s="147">
        <f>(tsLOG!AO$129-tsLOG!AO$256)*c_CO2.C/10^6</f>
        <v>-0.85920121394437754</v>
      </c>
      <c r="AK11" s="147">
        <f>(tsLOG!AP$129-tsLOG!AP$256)*c_CO2.C/10^6</f>
        <v>-1.0589795841018026</v>
      </c>
      <c r="AL11" s="147">
        <f>(tsLOG!AQ$129-tsLOG!AQ$256)*c_CO2.C/10^6</f>
        <v>-1.2553101528056831</v>
      </c>
      <c r="AM11" s="147">
        <f>(tsLOG!AR$129-tsLOG!AR$256)*c_CO2.C/10^6</f>
        <v>-1.4478252287908571</v>
      </c>
      <c r="AN11" s="147">
        <f>(tsLOG!AS$129-tsLOG!AS$256)*c_CO2.C/10^6</f>
        <v>-1.636216912362686</v>
      </c>
      <c r="AO11" s="147">
        <f>(tsLOG!AT$129-tsLOG!AT$256)*c_CO2.C/10^6</f>
        <v>-1.8202314904300918</v>
      </c>
      <c r="AP11" s="147">
        <f>(tsLOG!AU$129-tsLOG!AU$256)*c_CO2.C/10^6</f>
        <v>-1.9996641786380682</v>
      </c>
      <c r="AQ11" s="147">
        <f>(tsLOG!AV$129-tsLOG!AV$256)*c_CO2.C/10^6</f>
        <v>-2.1743542121981307</v>
      </c>
    </row>
    <row r="12" spans="1:50" s="253" customFormat="1" ht="12.95" customHeight="1" x14ac:dyDescent="0.2">
      <c r="A12" s="203"/>
      <c r="B12" s="283" t="s">
        <v>1007</v>
      </c>
      <c r="C12" s="147"/>
      <c r="D12" s="147">
        <f ca="1">(tsTHIN!I$129-tsTHIN!I$339)*c_CO2.C/10^6</f>
        <v>3.4978502766227311</v>
      </c>
      <c r="E12" s="147">
        <f>(tsTHIN!J$129-tsTHIN!J$339)*c_CO2.C/10^6</f>
        <v>2.7538204718785231</v>
      </c>
      <c r="F12" s="147">
        <f>(tsTHIN!K$129-tsTHIN!K$339)*c_CO2.C/10^6</f>
        <v>2.7916013617094571</v>
      </c>
      <c r="G12" s="147">
        <f>(tsTHIN!L$129-tsTHIN!L$339)*c_CO2.C/10^6</f>
        <v>2.7498532370122772</v>
      </c>
      <c r="H12" s="147">
        <f>(tsTHIN!M$129-tsTHIN!M$339)*c_CO2.C/10^6</f>
        <v>2.6382316282396396</v>
      </c>
      <c r="I12" s="147">
        <f>(tsTHIN!N$129-tsTHIN!N$339)*c_CO2.C/10^6</f>
        <v>2.4664712913127476</v>
      </c>
      <c r="J12" s="147">
        <f>(tsTHIN!O$129-tsTHIN!O$339)*c_CO2.C/10^6</f>
        <v>2.244073269155519</v>
      </c>
      <c r="K12" s="147">
        <f>(tsTHIN!P$129-tsTHIN!P$339)*c_CO2.C/10^6</f>
        <v>1.9800779378811104</v>
      </c>
      <c r="L12" s="147">
        <f>(tsTHIN!Q$129-tsTHIN!Q$339)*c_CO2.C/10^6</f>
        <v>1.6829094379064868</v>
      </c>
      <c r="M12" s="147">
        <f>(tsTHIN!R$129-tsTHIN!R$339)*c_CO2.C/10^6</f>
        <v>1.3602780185890069</v>
      </c>
      <c r="N12" s="147">
        <f>(tsTHIN!S$129-tsTHIN!S$339)*c_CO2.C/10^6</f>
        <v>-2.7394555099500417</v>
      </c>
      <c r="O12" s="147">
        <f>(tsTHIN!T$129-tsTHIN!T$339)*c_CO2.C/10^6</f>
        <v>-2.6294113140083519</v>
      </c>
      <c r="P12" s="147">
        <f>(tsTHIN!U$129-tsTHIN!U$339)*c_CO2.C/10^6</f>
        <v>-2.438153265216557</v>
      </c>
      <c r="Q12" s="147">
        <f>(tsTHIN!V$129-tsTHIN!V$339)*c_CO2.C/10^6</f>
        <v>-2.1914921439290049</v>
      </c>
      <c r="R12" s="147">
        <f>(tsTHIN!W$129-tsTHIN!W$339)*c_CO2.C/10^6</f>
        <v>-1.9099962889482136</v>
      </c>
      <c r="S12" s="147">
        <f>(tsTHIN!X$129-tsTHIN!X$339)*c_CO2.C/10^6</f>
        <v>-1.6098926312146782</v>
      </c>
      <c r="T12" s="147">
        <f>(tsTHIN!Y$129-tsTHIN!Y$339)*c_CO2.C/10^6</f>
        <v>-1.303825155088604</v>
      </c>
      <c r="U12" s="147">
        <f>(tsTHIN!Z$129-tsTHIN!Z$339)*c_CO2.C/10^6</f>
        <v>-1.0014923264443039</v>
      </c>
      <c r="V12" s="147">
        <f>(tsTHIN!AA$129-tsTHIN!AA$339)*c_CO2.C/10^6</f>
        <v>-0.71018186176007914</v>
      </c>
      <c r="W12" s="147">
        <f>(tsTHIN!AB$129-tsTHIN!AB$339)*c_CO2.C/10^6</f>
        <v>-0.43521850443171906</v>
      </c>
      <c r="X12" s="147">
        <f>(tsTHIN!AC$129-tsTHIN!AC$339)*c_CO2.C/10^6</f>
        <v>-0.18033815838729478</v>
      </c>
      <c r="Y12" s="147">
        <f>(tsTHIN!AD$129-tsTHIN!AD$339)*c_CO2.C/10^6</f>
        <v>5.200025128668629E-2</v>
      </c>
      <c r="Z12" s="147">
        <f>(tsTHIN!AE$129-tsTHIN!AE$339)*c_CO2.C/10^6</f>
        <v>0.26035551365910137</v>
      </c>
      <c r="AA12" s="147">
        <f>(tsTHIN!AF$129-tsTHIN!AF$339)*c_CO2.C/10^6</f>
        <v>0.44408923235955611</v>
      </c>
      <c r="AB12" s="147">
        <f>(tsTHIN!AG$129-tsTHIN!AG$339)*c_CO2.C/10^6</f>
        <v>0.6031882953522073</v>
      </c>
      <c r="AC12" s="147">
        <f>(tsTHIN!AH$129-tsTHIN!AH$339)*c_CO2.C/10^6</f>
        <v>-2.7597315038671471</v>
      </c>
      <c r="AD12" s="147">
        <f>(tsTHIN!AI$129-tsTHIN!AI$339)*c_CO2.C/10^6</f>
        <v>-2.7597315038671471</v>
      </c>
      <c r="AE12" s="147">
        <f>(tsTHIN!AJ$129-tsTHIN!AJ$339)*c_CO2.C/10^6</f>
        <v>-2.7597315038671604</v>
      </c>
      <c r="AF12" s="147">
        <f>(tsTHIN!AK$129-tsTHIN!AK$339)*c_CO2.C/10^6</f>
        <v>-2.7597315038671471</v>
      </c>
      <c r="AG12" s="147">
        <f>(tsTHIN!AL$129-tsTHIN!AL$339)*c_CO2.C/10^6</f>
        <v>-2.7597315038671604</v>
      </c>
      <c r="AH12" s="147">
        <f>(tsTHIN!AM$129-tsTHIN!AM$339)*c_CO2.C/10^6</f>
        <v>-2.7597315038671746</v>
      </c>
      <c r="AI12" s="147">
        <f>(tsTHIN!AN$129-tsTHIN!AN$339)*c_CO2.C/10^6</f>
        <v>-2.7597315038671604</v>
      </c>
      <c r="AJ12" s="147">
        <f>(tsTHIN!AO$129-tsTHIN!AO$339)*c_CO2.C/10^6</f>
        <v>-2.7597315038671604</v>
      </c>
      <c r="AK12" s="147">
        <f>(tsTHIN!AP$129-tsTHIN!AP$339)*c_CO2.C/10^6</f>
        <v>-2.7597315038671604</v>
      </c>
      <c r="AL12" s="147">
        <f>(tsTHIN!AQ$129-tsTHIN!AQ$339)*c_CO2.C/10^6</f>
        <v>-2.7597315038671471</v>
      </c>
      <c r="AM12" s="147">
        <f>(tsTHIN!AR$129-tsTHIN!AR$339)*c_CO2.C/10^6</f>
        <v>-2.7597315038671471</v>
      </c>
      <c r="AN12" s="147">
        <f>(tsTHIN!AS$129-tsTHIN!AS$339)*c_CO2.C/10^6</f>
        <v>-2.7597315038671604</v>
      </c>
      <c r="AO12" s="147">
        <f>(tsTHIN!AT$129-tsTHIN!AT$339)*c_CO2.C/10^6</f>
        <v>-2.7597315038671471</v>
      </c>
      <c r="AP12" s="147">
        <f>(tsTHIN!AU$129-tsTHIN!AU$339)*c_CO2.C/10^6</f>
        <v>-2.7597315038671746</v>
      </c>
      <c r="AQ12" s="147">
        <f>(tsTHIN!AV$129-tsTHIN!AV$339)*c_CO2.C/10^6</f>
        <v>-2.7597315038671604</v>
      </c>
    </row>
    <row r="13" spans="1:50" s="253" customFormat="1" ht="12.95" customHeight="1" x14ac:dyDescent="0.2">
      <c r="B13" s="283"/>
      <c r="C13" s="147"/>
      <c r="D13" s="147"/>
      <c r="E13" s="147"/>
      <c r="F13" s="147"/>
      <c r="G13" s="147"/>
      <c r="H13" s="147"/>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row>
    <row r="14" spans="1:50" s="121" customFormat="1" ht="12.95" customHeight="1" x14ac:dyDescent="0.3">
      <c r="B14" s="121" t="s">
        <v>1004</v>
      </c>
    </row>
    <row r="15" spans="1:50" s="253" customFormat="1" ht="12.95" customHeight="1" x14ac:dyDescent="0.2">
      <c r="B15" s="283" t="s">
        <v>1008</v>
      </c>
      <c r="C15" s="147"/>
      <c r="D15" s="147">
        <f>HERB!$F$26*c_CO2.C/10^6</f>
        <v>0</v>
      </c>
      <c r="E15" s="147">
        <f t="shared" ref="E15:AQ15" si="0">$D$15</f>
        <v>0</v>
      </c>
      <c r="F15" s="147">
        <f t="shared" si="0"/>
        <v>0</v>
      </c>
      <c r="G15" s="147">
        <f t="shared" si="0"/>
        <v>0</v>
      </c>
      <c r="H15" s="147">
        <f t="shared" si="0"/>
        <v>0</v>
      </c>
      <c r="I15" s="147">
        <f t="shared" si="0"/>
        <v>0</v>
      </c>
      <c r="J15" s="147">
        <f t="shared" si="0"/>
        <v>0</v>
      </c>
      <c r="K15" s="147">
        <f t="shared" si="0"/>
        <v>0</v>
      </c>
      <c r="L15" s="147">
        <f t="shared" si="0"/>
        <v>0</v>
      </c>
      <c r="M15" s="147">
        <f t="shared" si="0"/>
        <v>0</v>
      </c>
      <c r="N15" s="147">
        <f t="shared" si="0"/>
        <v>0</v>
      </c>
      <c r="O15" s="147">
        <f t="shared" si="0"/>
        <v>0</v>
      </c>
      <c r="P15" s="147">
        <f t="shared" si="0"/>
        <v>0</v>
      </c>
      <c r="Q15" s="147">
        <f t="shared" si="0"/>
        <v>0</v>
      </c>
      <c r="R15" s="147">
        <f t="shared" si="0"/>
        <v>0</v>
      </c>
      <c r="S15" s="147">
        <f t="shared" si="0"/>
        <v>0</v>
      </c>
      <c r="T15" s="147">
        <f t="shared" si="0"/>
        <v>0</v>
      </c>
      <c r="U15" s="147">
        <f t="shared" si="0"/>
        <v>0</v>
      </c>
      <c r="V15" s="147">
        <f t="shared" si="0"/>
        <v>0</v>
      </c>
      <c r="W15" s="147">
        <f t="shared" si="0"/>
        <v>0</v>
      </c>
      <c r="X15" s="147">
        <f t="shared" si="0"/>
        <v>0</v>
      </c>
      <c r="Y15" s="147">
        <f t="shared" si="0"/>
        <v>0</v>
      </c>
      <c r="Z15" s="147">
        <f t="shared" si="0"/>
        <v>0</v>
      </c>
      <c r="AA15" s="147">
        <f t="shared" si="0"/>
        <v>0</v>
      </c>
      <c r="AB15" s="147">
        <f t="shared" si="0"/>
        <v>0</v>
      </c>
      <c r="AC15" s="147">
        <f t="shared" si="0"/>
        <v>0</v>
      </c>
      <c r="AD15" s="147">
        <f t="shared" si="0"/>
        <v>0</v>
      </c>
      <c r="AE15" s="147">
        <f t="shared" si="0"/>
        <v>0</v>
      </c>
      <c r="AF15" s="147">
        <f t="shared" si="0"/>
        <v>0</v>
      </c>
      <c r="AG15" s="147">
        <f t="shared" si="0"/>
        <v>0</v>
      </c>
      <c r="AH15" s="147">
        <f t="shared" si="0"/>
        <v>0</v>
      </c>
      <c r="AI15" s="147">
        <f t="shared" si="0"/>
        <v>0</v>
      </c>
      <c r="AJ15" s="147">
        <f t="shared" si="0"/>
        <v>0</v>
      </c>
      <c r="AK15" s="147">
        <f t="shared" si="0"/>
        <v>0</v>
      </c>
      <c r="AL15" s="147">
        <f t="shared" si="0"/>
        <v>0</v>
      </c>
      <c r="AM15" s="147">
        <f t="shared" si="0"/>
        <v>0</v>
      </c>
      <c r="AN15" s="147">
        <f t="shared" si="0"/>
        <v>0</v>
      </c>
      <c r="AO15" s="147">
        <f t="shared" si="0"/>
        <v>0</v>
      </c>
      <c r="AP15" s="147">
        <f t="shared" si="0"/>
        <v>0</v>
      </c>
      <c r="AQ15" s="147">
        <f t="shared" si="0"/>
        <v>0</v>
      </c>
    </row>
    <row r="16" spans="1:50" s="253" customFormat="1" ht="12.95" customHeight="1" x14ac:dyDescent="0.2">
      <c r="B16" s="283" t="s">
        <v>446</v>
      </c>
      <c r="C16" s="147"/>
      <c r="D16" s="147">
        <f>tsSRWC!I$91*c_CO2.C/10^6</f>
        <v>0</v>
      </c>
      <c r="E16" s="147">
        <f>tsSRWC!J$91*c_CO2.C/10^6</f>
        <v>0</v>
      </c>
      <c r="F16" s="147">
        <f>tsSRWC!K$91*c_CO2.C/10^6</f>
        <v>0</v>
      </c>
      <c r="G16" s="147">
        <f>tsSRWC!L$91*c_CO2.C/10^6</f>
        <v>0</v>
      </c>
      <c r="H16" s="147">
        <f>tsSRWC!M$91*c_CO2.C/10^6</f>
        <v>0</v>
      </c>
      <c r="I16" s="147">
        <f>tsSRWC!N$91*c_CO2.C/10^6</f>
        <v>0</v>
      </c>
      <c r="J16" s="147">
        <f>tsSRWC!O$91*c_CO2.C/10^6</f>
        <v>0</v>
      </c>
      <c r="K16" s="147">
        <f>tsSRWC!P$91*c_CO2.C/10^6</f>
        <v>0</v>
      </c>
      <c r="L16" s="147">
        <f>tsSRWC!Q$91*c_CO2.C/10^6</f>
        <v>0</v>
      </c>
      <c r="M16" s="147">
        <f>tsSRWC!R$91*c_CO2.C/10^6</f>
        <v>0</v>
      </c>
      <c r="N16" s="147">
        <f>tsSRWC!S$91*c_CO2.C/10^6</f>
        <v>0</v>
      </c>
      <c r="O16" s="147">
        <f>tsSRWC!T$91*c_CO2.C/10^6</f>
        <v>0</v>
      </c>
      <c r="P16" s="147">
        <f>tsSRWC!U$91*c_CO2.C/10^6</f>
        <v>0</v>
      </c>
      <c r="Q16" s="147">
        <f>tsSRWC!V$91*c_CO2.C/10^6</f>
        <v>0</v>
      </c>
      <c r="R16" s="147">
        <f>tsSRWC!W$91*c_CO2.C/10^6</f>
        <v>0</v>
      </c>
      <c r="S16" s="147">
        <f>tsSRWC!X$91*c_CO2.C/10^6</f>
        <v>0</v>
      </c>
      <c r="T16" s="147">
        <f>tsSRWC!Y$91*c_CO2.C/10^6</f>
        <v>0</v>
      </c>
      <c r="U16" s="147">
        <f>tsSRWC!Z$91*c_CO2.C/10^6</f>
        <v>0</v>
      </c>
      <c r="V16" s="147">
        <f>tsSRWC!AA$91*c_CO2.C/10^6</f>
        <v>0</v>
      </c>
      <c r="W16" s="147">
        <f>tsSRWC!AB$91*c_CO2.C/10^6</f>
        <v>0</v>
      </c>
      <c r="X16" s="147">
        <f>tsSRWC!AC$91*c_CO2.C/10^6</f>
        <v>0</v>
      </c>
      <c r="Y16" s="147">
        <f>tsSRWC!AD$91*c_CO2.C/10^6</f>
        <v>0</v>
      </c>
      <c r="Z16" s="147">
        <f>tsSRWC!AE$91*c_CO2.C/10^6</f>
        <v>0</v>
      </c>
      <c r="AA16" s="147">
        <f>tsSRWC!AF$91*c_CO2.C/10^6</f>
        <v>0</v>
      </c>
      <c r="AB16" s="147">
        <f>tsSRWC!AG$91*c_CO2.C/10^6</f>
        <v>0</v>
      </c>
      <c r="AC16" s="147">
        <f>tsSRWC!AH$91*c_CO2.C/10^6</f>
        <v>0</v>
      </c>
      <c r="AD16" s="147">
        <f>tsSRWC!AI$91*c_CO2.C/10^6</f>
        <v>0</v>
      </c>
      <c r="AE16" s="147">
        <f>tsSRWC!AJ$91*c_CO2.C/10^6</f>
        <v>0</v>
      </c>
      <c r="AF16" s="147">
        <f>tsSRWC!AK$91*c_CO2.C/10^6</f>
        <v>0</v>
      </c>
      <c r="AG16" s="147">
        <f>tsSRWC!AL$91*c_CO2.C/10^6</f>
        <v>0</v>
      </c>
      <c r="AH16" s="147">
        <f>tsSRWC!AM$91*c_CO2.C/10^6</f>
        <v>0</v>
      </c>
      <c r="AI16" s="147">
        <f>tsSRWC!AN$91*c_CO2.C/10^6</f>
        <v>0</v>
      </c>
      <c r="AJ16" s="147">
        <f>tsSRWC!AO$91*c_CO2.C/10^6</f>
        <v>0</v>
      </c>
      <c r="AK16" s="147">
        <f>tsSRWC!AP$91*c_CO2.C/10^6</f>
        <v>0</v>
      </c>
      <c r="AL16" s="147">
        <f>tsSRWC!AQ$91*c_CO2.C/10^6</f>
        <v>0</v>
      </c>
      <c r="AM16" s="147">
        <f>tsSRWC!AR$91*c_CO2.C/10^6</f>
        <v>0</v>
      </c>
      <c r="AN16" s="147">
        <f>tsSRWC!AS$91*c_CO2.C/10^6</f>
        <v>0</v>
      </c>
      <c r="AO16" s="147">
        <f>tsSRWC!AT$91*c_CO2.C/10^6</f>
        <v>0</v>
      </c>
      <c r="AP16" s="147">
        <f>tsSRWC!AU$91*c_CO2.C/10^6</f>
        <v>0</v>
      </c>
      <c r="AQ16" s="147">
        <f>tsSRWC!AV$91*c_CO2.C/10^6</f>
        <v>0</v>
      </c>
    </row>
    <row r="17" spans="1:50" s="253" customFormat="1" ht="12.95" customHeight="1" x14ac:dyDescent="0.2">
      <c r="B17" s="283" t="s">
        <v>1006</v>
      </c>
      <c r="C17" s="147"/>
      <c r="D17" s="147">
        <f>tsLOG!I$301*c_CO2.C/10^6</f>
        <v>0.25606148691286251</v>
      </c>
      <c r="E17" s="147">
        <f>tsLOG!J$301*c_CO2.C/10^6</f>
        <v>0.4096983790605801</v>
      </c>
      <c r="F17" s="147">
        <f>tsLOG!K$301*c_CO2.C/10^6</f>
        <v>0.54028973738614006</v>
      </c>
      <c r="G17" s="147">
        <f>tsLOG!L$301*c_CO2.C/10^6</f>
        <v>0.65129239196286592</v>
      </c>
      <c r="H17" s="147">
        <f>tsLOG!M$301*c_CO2.C/10^6</f>
        <v>0.74564464835308297</v>
      </c>
      <c r="I17" s="147">
        <f>tsLOG!N$301*c_CO2.C/10^6</f>
        <v>0.82584406628476759</v>
      </c>
      <c r="J17" s="147">
        <f>tsLOG!O$301*c_CO2.C/10^6</f>
        <v>0.89401357152669936</v>
      </c>
      <c r="K17" s="147">
        <f>tsLOG!P$301*c_CO2.C/10^6</f>
        <v>0.95195765098234142</v>
      </c>
      <c r="L17" s="147">
        <f>tsLOG!Q$301*c_CO2.C/10^6</f>
        <v>1.0012101185196369</v>
      </c>
      <c r="M17" s="147">
        <f>tsLOG!R$301*c_CO2.C/10^6</f>
        <v>1.0430747159263385</v>
      </c>
      <c r="N17" s="147">
        <f>tsLOG!S$301*c_CO2.C/10^6</f>
        <v>1.0786596237220347</v>
      </c>
      <c r="O17" s="147">
        <f>tsLOG!T$301*c_CO2.C/10^6</f>
        <v>1.1089067953483762</v>
      </c>
      <c r="P17" s="147">
        <f>tsLOG!U$301*c_CO2.C/10^6</f>
        <v>1.1346168912307668</v>
      </c>
      <c r="Q17" s="147">
        <f>tsLOG!V$301*c_CO2.C/10^6</f>
        <v>1.1564704727307988</v>
      </c>
      <c r="R17" s="147">
        <f>tsLOG!W$301*c_CO2.C/10^6</f>
        <v>1.1750460170058259</v>
      </c>
      <c r="S17" s="147">
        <f>tsLOG!X$301*c_CO2.C/10^6</f>
        <v>1.1908352296395988</v>
      </c>
      <c r="T17" s="147">
        <f>tsLOG!Y$301*c_CO2.C/10^6</f>
        <v>1.2042560603783061</v>
      </c>
      <c r="U17" s="147">
        <f>tsLOG!Z$301*c_CO2.C/10^6</f>
        <v>1.2156637665062071</v>
      </c>
      <c r="V17" s="147">
        <f>tsLOG!AA$301*c_CO2.C/10^6</f>
        <v>1.2253603167149232</v>
      </c>
      <c r="W17" s="147">
        <f>tsLOG!AB$301*c_CO2.C/10^6</f>
        <v>1.2336023843923316</v>
      </c>
      <c r="X17" s="147">
        <f>tsLOG!AC$301*c_CO2.C/10^6</f>
        <v>1.2406081419181287</v>
      </c>
      <c r="Y17" s="147">
        <f>tsLOG!AD$301*c_CO2.C/10^6</f>
        <v>1.2465630358150563</v>
      </c>
      <c r="Z17" s="147">
        <f>tsLOG!AE$301*c_CO2.C/10^6</f>
        <v>1.2516246956274448</v>
      </c>
      <c r="AA17" s="147">
        <f>tsLOG!AF$301*c_CO2.C/10^6</f>
        <v>1.2559271064679751</v>
      </c>
      <c r="AB17" s="147">
        <f>tsLOG!AG$301*c_CO2.C/10^6</f>
        <v>1.2595841556824257</v>
      </c>
      <c r="AC17" s="147">
        <f>tsLOG!AH$301*c_CO2.C/10^6</f>
        <v>1.2595841556824257</v>
      </c>
      <c r="AD17" s="147">
        <f>tsLOG!AI$301*c_CO2.C/10^6</f>
        <v>1.2595841556824259</v>
      </c>
      <c r="AE17" s="147">
        <f>tsLOG!AJ$301*c_CO2.C/10^6</f>
        <v>1.2595841556824259</v>
      </c>
      <c r="AF17" s="147">
        <f>tsLOG!AK$301*c_CO2.C/10^6</f>
        <v>1.2595841556824259</v>
      </c>
      <c r="AG17" s="147">
        <f>tsLOG!AL$301*c_CO2.C/10^6</f>
        <v>1.2595841556824259</v>
      </c>
      <c r="AH17" s="147">
        <f>tsLOG!AM$301*c_CO2.C/10^6</f>
        <v>1.2595841556824259</v>
      </c>
      <c r="AI17" s="147">
        <f>tsLOG!AN$301*c_CO2.C/10^6</f>
        <v>1.2595841556824259</v>
      </c>
      <c r="AJ17" s="147">
        <f>tsLOG!AO$301*c_CO2.C/10^6</f>
        <v>1.2595841556824261</v>
      </c>
      <c r="AK17" s="147">
        <f>tsLOG!AP$301*c_CO2.C/10^6</f>
        <v>1.2595841556824259</v>
      </c>
      <c r="AL17" s="147">
        <f>tsLOG!AQ$301*c_CO2.C/10^6</f>
        <v>1.2595841556824259</v>
      </c>
      <c r="AM17" s="147">
        <f>tsLOG!AR$301*c_CO2.C/10^6</f>
        <v>1.2595841556824259</v>
      </c>
      <c r="AN17" s="147">
        <f>tsLOG!AS$301*c_CO2.C/10^6</f>
        <v>1.2595841556824259</v>
      </c>
      <c r="AO17" s="147">
        <f>tsLOG!AT$301*c_CO2.C/10^6</f>
        <v>1.2595841556824259</v>
      </c>
      <c r="AP17" s="147">
        <f>tsLOG!AU$301*c_CO2.C/10^6</f>
        <v>1.2595841556824259</v>
      </c>
      <c r="AQ17" s="147">
        <f>tsLOG!AV$301*c_CO2.C/10^6</f>
        <v>1.2595841556824259</v>
      </c>
    </row>
    <row r="18" spans="1:50" s="253" customFormat="1" ht="12.95" customHeight="1" x14ac:dyDescent="0.2">
      <c r="B18" s="283" t="s">
        <v>1007</v>
      </c>
      <c r="C18" s="147"/>
      <c r="D18" s="147">
        <f>tsTHIN!I$389*c_CO2.C/10^6</f>
        <v>0.25606148691286251</v>
      </c>
      <c r="E18" s="147">
        <f>tsTHIN!J$389*c_CO2.C/10^6</f>
        <v>0.4096983790605801</v>
      </c>
      <c r="F18" s="147">
        <f>tsTHIN!K$389*c_CO2.C/10^6</f>
        <v>0.54028973738614006</v>
      </c>
      <c r="G18" s="147">
        <f>tsTHIN!L$389*c_CO2.C/10^6</f>
        <v>0.65129239196286592</v>
      </c>
      <c r="H18" s="147">
        <f>tsTHIN!M$389*c_CO2.C/10^6</f>
        <v>0.74564464835308297</v>
      </c>
      <c r="I18" s="147">
        <f>tsTHIN!N$389*c_CO2.C/10^6</f>
        <v>0.82584406628476759</v>
      </c>
      <c r="J18" s="147">
        <f>tsTHIN!O$389*c_CO2.C/10^6</f>
        <v>0.89401357152669936</v>
      </c>
      <c r="K18" s="147">
        <f>tsTHIN!P$389*c_CO2.C/10^6</f>
        <v>0.95195765098234142</v>
      </c>
      <c r="L18" s="147">
        <f>tsTHIN!Q$389*c_CO2.C/10^6</f>
        <v>1.0012101185196369</v>
      </c>
      <c r="M18" s="147">
        <f>tsTHIN!R$389*c_CO2.C/10^6</f>
        <v>1.0430747159263385</v>
      </c>
      <c r="N18" s="147">
        <f>tsTHIN!S$389*c_CO2.C/10^6</f>
        <v>1.0786596237220347</v>
      </c>
      <c r="O18" s="147">
        <f>tsTHIN!T$389*c_CO2.C/10^6</f>
        <v>1.0786596237220347</v>
      </c>
      <c r="P18" s="147">
        <f>tsTHIN!U$389*c_CO2.C/10^6</f>
        <v>1.0786596237220347</v>
      </c>
      <c r="Q18" s="147">
        <f>tsTHIN!V$389*c_CO2.C/10^6</f>
        <v>1.0786596237220347</v>
      </c>
      <c r="R18" s="147">
        <f>tsTHIN!W$389*c_CO2.C/10^6</f>
        <v>1.0786596237220347</v>
      </c>
      <c r="S18" s="147">
        <f>tsTHIN!X$389*c_CO2.C/10^6</f>
        <v>1.0786596237220347</v>
      </c>
      <c r="T18" s="147">
        <f>tsTHIN!Y$389*c_CO2.C/10^6</f>
        <v>1.0786596237220347</v>
      </c>
      <c r="U18" s="147">
        <f>tsTHIN!Z$389*c_CO2.C/10^6</f>
        <v>1.0786596237220347</v>
      </c>
      <c r="V18" s="147">
        <f>tsTHIN!AA$389*c_CO2.C/10^6</f>
        <v>1.0786596237220347</v>
      </c>
      <c r="W18" s="147">
        <f>tsTHIN!AB$389*c_CO2.C/10^6</f>
        <v>1.0786596237220347</v>
      </c>
      <c r="X18" s="147">
        <f>tsTHIN!AC$389*c_CO2.C/10^6</f>
        <v>1.0786596237220347</v>
      </c>
      <c r="Y18" s="147">
        <f>tsTHIN!AD$389*c_CO2.C/10^6</f>
        <v>1.0786596237220347</v>
      </c>
      <c r="Z18" s="147">
        <f>tsTHIN!AE$389*c_CO2.C/10^6</f>
        <v>1.0786596237220347</v>
      </c>
      <c r="AA18" s="147">
        <f>tsTHIN!AF$389*c_CO2.C/10^6</f>
        <v>1.0786596237220347</v>
      </c>
      <c r="AB18" s="147">
        <f>tsTHIN!AG$389*c_CO2.C/10^6</f>
        <v>1.0786596237220347</v>
      </c>
      <c r="AC18" s="147">
        <f>tsTHIN!AH$389*c_CO2.C/10^6</f>
        <v>1.0786596237220347</v>
      </c>
      <c r="AD18" s="147">
        <f>tsTHIN!AI$389*c_CO2.C/10^6</f>
        <v>1.0786596237220345</v>
      </c>
      <c r="AE18" s="147">
        <f>tsTHIN!AJ$389*c_CO2.C/10^6</f>
        <v>1.0786596237220345</v>
      </c>
      <c r="AF18" s="147">
        <f>tsTHIN!AK$389*c_CO2.C/10^6</f>
        <v>1.0786596237220345</v>
      </c>
      <c r="AG18" s="147">
        <f>tsTHIN!AL$389*c_CO2.C/10^6</f>
        <v>1.0786596237220347</v>
      </c>
      <c r="AH18" s="147">
        <f>tsTHIN!AM$389*c_CO2.C/10^6</f>
        <v>1.0786596237220347</v>
      </c>
      <c r="AI18" s="147">
        <f>tsTHIN!AN$389*c_CO2.C/10^6</f>
        <v>1.0786596237220347</v>
      </c>
      <c r="AJ18" s="147">
        <f>tsTHIN!AO$389*c_CO2.C/10^6</f>
        <v>1.0786596237220347</v>
      </c>
      <c r="AK18" s="147">
        <f>tsTHIN!AP$389*c_CO2.C/10^6</f>
        <v>1.0786596237220349</v>
      </c>
      <c r="AL18" s="147">
        <f>tsTHIN!AQ$389*c_CO2.C/10^6</f>
        <v>1.0786596237220347</v>
      </c>
      <c r="AM18" s="147">
        <f>tsTHIN!AR$389*c_CO2.C/10^6</f>
        <v>1.0786596237220347</v>
      </c>
      <c r="AN18" s="147">
        <f>tsTHIN!AS$389*c_CO2.C/10^6</f>
        <v>1.0786596237220347</v>
      </c>
      <c r="AO18" s="147">
        <f>tsTHIN!AT$389*c_CO2.C/10^6</f>
        <v>1.0786596237220347</v>
      </c>
      <c r="AP18" s="147">
        <f>tsTHIN!AU$389*c_CO2.C/10^6</f>
        <v>1.0786596237220347</v>
      </c>
      <c r="AQ18" s="147">
        <f>tsTHIN!AV$389*c_CO2.C/10^6</f>
        <v>1.0786596237220347</v>
      </c>
    </row>
    <row r="19" spans="1:50" s="253" customFormat="1" ht="12.95" customHeight="1" x14ac:dyDescent="0.2">
      <c r="B19" s="283" t="s">
        <v>1025</v>
      </c>
      <c r="C19" s="147"/>
      <c r="D19" s="147">
        <f>(tsSLASH!I$133-tsSLASH!I$47)*c_CO2.C/10^6</f>
        <v>0</v>
      </c>
      <c r="E19" s="147">
        <f>(tsSLASH!J$133-tsSLASH!J$47)*c_CO2.C/10^6</f>
        <v>0</v>
      </c>
      <c r="F19" s="147">
        <f>(tsSLASH!K$133-tsSLASH!K$47)*c_CO2.C/10^6</f>
        <v>0</v>
      </c>
      <c r="G19" s="147">
        <f>(tsSLASH!L$133-tsSLASH!L$47)*c_CO2.C/10^6</f>
        <v>0</v>
      </c>
      <c r="H19" s="147">
        <f>(tsSLASH!M$133-tsSLASH!M$47)*c_CO2.C/10^6</f>
        <v>0</v>
      </c>
      <c r="I19" s="147">
        <f>(tsSLASH!N$133-tsSLASH!N$47)*c_CO2.C/10^6</f>
        <v>0</v>
      </c>
      <c r="J19" s="147">
        <f>(tsSLASH!O$133-tsSLASH!O$47)*c_CO2.C/10^6</f>
        <v>0</v>
      </c>
      <c r="K19" s="147">
        <f>(tsSLASH!P$133-tsSLASH!P$47)*c_CO2.C/10^6</f>
        <v>0</v>
      </c>
      <c r="L19" s="147">
        <f>(tsSLASH!Q$133-tsSLASH!Q$47)*c_CO2.C/10^6</f>
        <v>0</v>
      </c>
      <c r="M19" s="147">
        <f>(tsSLASH!R$133-tsSLASH!R$47)*c_CO2.C/10^6</f>
        <v>0</v>
      </c>
      <c r="N19" s="147">
        <f>(tsSLASH!S$133-tsSLASH!S$47)*c_CO2.C/10^6</f>
        <v>0</v>
      </c>
      <c r="O19" s="147">
        <f>(tsSLASH!T$133-tsSLASH!T$47)*c_CO2.C/10^6</f>
        <v>0</v>
      </c>
      <c r="P19" s="147">
        <f>(tsSLASH!U$133-tsSLASH!U$47)*c_CO2.C/10^6</f>
        <v>0</v>
      </c>
      <c r="Q19" s="147">
        <f>(tsSLASH!V$133-tsSLASH!V$47)*c_CO2.C/10^6</f>
        <v>0</v>
      </c>
      <c r="R19" s="147">
        <f>(tsSLASH!W$133-tsSLASH!W$47)*c_CO2.C/10^6</f>
        <v>0</v>
      </c>
      <c r="S19" s="147">
        <f>(tsSLASH!X$133-tsSLASH!X$47)*c_CO2.C/10^6</f>
        <v>0</v>
      </c>
      <c r="T19" s="147">
        <f>(tsSLASH!Y$133-tsSLASH!Y$47)*c_CO2.C/10^6</f>
        <v>0</v>
      </c>
      <c r="U19" s="147">
        <f>(tsSLASH!Z$133-tsSLASH!Z$47)*c_CO2.C/10^6</f>
        <v>0</v>
      </c>
      <c r="V19" s="147">
        <f>(tsSLASH!AA$133-tsSLASH!AA$47)*c_CO2.C/10^6</f>
        <v>0</v>
      </c>
      <c r="W19" s="147">
        <f>(tsSLASH!AB$133-tsSLASH!AB$47)*c_CO2.C/10^6</f>
        <v>0</v>
      </c>
      <c r="X19" s="147">
        <f>(tsSLASH!AC$133-tsSLASH!AC$47)*c_CO2.C/10^6</f>
        <v>0</v>
      </c>
      <c r="Y19" s="147">
        <f>(tsSLASH!AD$133-tsSLASH!AD$47)*c_CO2.C/10^6</f>
        <v>0</v>
      </c>
      <c r="Z19" s="147">
        <f>(tsSLASH!AE$133-tsSLASH!AE$47)*c_CO2.C/10^6</f>
        <v>0</v>
      </c>
      <c r="AA19" s="147">
        <f>(tsSLASH!AF$133-tsSLASH!AF$47)*c_CO2.C/10^6</f>
        <v>0</v>
      </c>
      <c r="AB19" s="147">
        <f>(tsSLASH!AG$133-tsSLASH!AG$47)*c_CO2.C/10^6</f>
        <v>0</v>
      </c>
      <c r="AC19" s="147">
        <f>(tsSLASH!AH$133-tsSLASH!AH$47)*c_CO2.C/10^6</f>
        <v>0</v>
      </c>
      <c r="AD19" s="147">
        <f>(tsSLASH!AI$133-tsSLASH!AI$47)*c_CO2.C/10^6</f>
        <v>0</v>
      </c>
      <c r="AE19" s="147">
        <f>(tsSLASH!AJ$133-tsSLASH!AJ$47)*c_CO2.C/10^6</f>
        <v>0</v>
      </c>
      <c r="AF19" s="147">
        <f>(tsSLASH!AK$133-tsSLASH!AK$47)*c_CO2.C/10^6</f>
        <v>0</v>
      </c>
      <c r="AG19" s="147">
        <f>(tsSLASH!AL$133-tsSLASH!AL$47)*c_CO2.C/10^6</f>
        <v>0</v>
      </c>
      <c r="AH19" s="147">
        <f>(tsSLASH!AM$133-tsSLASH!AM$47)*c_CO2.C/10^6</f>
        <v>0</v>
      </c>
      <c r="AI19" s="147">
        <f>(tsSLASH!AN$133-tsSLASH!AN$47)*c_CO2.C/10^6</f>
        <v>0</v>
      </c>
      <c r="AJ19" s="147">
        <f>(tsSLASH!AO$133-tsSLASH!AO$47)*c_CO2.C/10^6</f>
        <v>0</v>
      </c>
      <c r="AK19" s="147">
        <f>(tsSLASH!AP$133-tsSLASH!AP$47)*c_CO2.C/10^6</f>
        <v>0</v>
      </c>
      <c r="AL19" s="147">
        <f>(tsSLASH!AQ$133-tsSLASH!AQ$47)*c_CO2.C/10^6</f>
        <v>0</v>
      </c>
      <c r="AM19" s="147">
        <f>(tsSLASH!AR$133-tsSLASH!AR$47)*c_CO2.C/10^6</f>
        <v>0</v>
      </c>
      <c r="AN19" s="147">
        <f>(tsSLASH!AS$133-tsSLASH!AS$47)*c_CO2.C/10^6</f>
        <v>0</v>
      </c>
      <c r="AO19" s="147">
        <f>(tsSLASH!AT$133-tsSLASH!AT$47)*c_CO2.C/10^6</f>
        <v>0</v>
      </c>
      <c r="AP19" s="147">
        <f>(tsSLASH!AU$133-tsSLASH!AU$47)*c_CO2.C/10^6</f>
        <v>0</v>
      </c>
      <c r="AQ19" s="147">
        <f>(tsSLASH!AV$133-tsSLASH!AV$47)*c_CO2.C/10^6</f>
        <v>0</v>
      </c>
    </row>
    <row r="20" spans="1:50" s="253" customFormat="1" ht="12.95" customHeight="1" x14ac:dyDescent="0.2">
      <c r="B20" s="283" t="s">
        <v>1009</v>
      </c>
      <c r="C20" s="147"/>
      <c r="D20" s="147">
        <f>(AG!$F$28-AG!$F$29)*c_CO2.C/10^6</f>
        <v>0</v>
      </c>
      <c r="E20" s="147">
        <f>$D$20</f>
        <v>0</v>
      </c>
      <c r="F20" s="147">
        <f t="shared" ref="F20:AQ20" si="1">$D$20</f>
        <v>0</v>
      </c>
      <c r="G20" s="147">
        <f t="shared" si="1"/>
        <v>0</v>
      </c>
      <c r="H20" s="147">
        <f t="shared" si="1"/>
        <v>0</v>
      </c>
      <c r="I20" s="147">
        <f t="shared" si="1"/>
        <v>0</v>
      </c>
      <c r="J20" s="147">
        <f t="shared" si="1"/>
        <v>0</v>
      </c>
      <c r="K20" s="147">
        <f t="shared" si="1"/>
        <v>0</v>
      </c>
      <c r="L20" s="147">
        <f t="shared" si="1"/>
        <v>0</v>
      </c>
      <c r="M20" s="147">
        <f t="shared" si="1"/>
        <v>0</v>
      </c>
      <c r="N20" s="147">
        <f t="shared" si="1"/>
        <v>0</v>
      </c>
      <c r="O20" s="147">
        <f t="shared" si="1"/>
        <v>0</v>
      </c>
      <c r="P20" s="147">
        <f t="shared" si="1"/>
        <v>0</v>
      </c>
      <c r="Q20" s="147">
        <f t="shared" si="1"/>
        <v>0</v>
      </c>
      <c r="R20" s="147">
        <f t="shared" si="1"/>
        <v>0</v>
      </c>
      <c r="S20" s="147">
        <f t="shared" si="1"/>
        <v>0</v>
      </c>
      <c r="T20" s="147">
        <f t="shared" si="1"/>
        <v>0</v>
      </c>
      <c r="U20" s="147">
        <f t="shared" si="1"/>
        <v>0</v>
      </c>
      <c r="V20" s="147">
        <f t="shared" si="1"/>
        <v>0</v>
      </c>
      <c r="W20" s="147">
        <f t="shared" si="1"/>
        <v>0</v>
      </c>
      <c r="X20" s="147">
        <f t="shared" si="1"/>
        <v>0</v>
      </c>
      <c r="Y20" s="147">
        <f t="shared" si="1"/>
        <v>0</v>
      </c>
      <c r="Z20" s="147">
        <f t="shared" si="1"/>
        <v>0</v>
      </c>
      <c r="AA20" s="147">
        <f t="shared" si="1"/>
        <v>0</v>
      </c>
      <c r="AB20" s="147">
        <f t="shared" si="1"/>
        <v>0</v>
      </c>
      <c r="AC20" s="147">
        <f t="shared" si="1"/>
        <v>0</v>
      </c>
      <c r="AD20" s="147">
        <f t="shared" si="1"/>
        <v>0</v>
      </c>
      <c r="AE20" s="147">
        <f t="shared" si="1"/>
        <v>0</v>
      </c>
      <c r="AF20" s="147">
        <f t="shared" si="1"/>
        <v>0</v>
      </c>
      <c r="AG20" s="147">
        <f t="shared" si="1"/>
        <v>0</v>
      </c>
      <c r="AH20" s="147">
        <f t="shared" si="1"/>
        <v>0</v>
      </c>
      <c r="AI20" s="147">
        <f t="shared" si="1"/>
        <v>0</v>
      </c>
      <c r="AJ20" s="147">
        <f t="shared" si="1"/>
        <v>0</v>
      </c>
      <c r="AK20" s="147">
        <f t="shared" si="1"/>
        <v>0</v>
      </c>
      <c r="AL20" s="147">
        <f t="shared" si="1"/>
        <v>0</v>
      </c>
      <c r="AM20" s="147">
        <f t="shared" si="1"/>
        <v>0</v>
      </c>
      <c r="AN20" s="147">
        <f t="shared" si="1"/>
        <v>0</v>
      </c>
      <c r="AO20" s="147">
        <f t="shared" si="1"/>
        <v>0</v>
      </c>
      <c r="AP20" s="147">
        <f t="shared" si="1"/>
        <v>0</v>
      </c>
      <c r="AQ20" s="147">
        <f t="shared" si="1"/>
        <v>0</v>
      </c>
    </row>
    <row r="21" spans="1:50" s="253" customFormat="1" ht="12.95" customHeight="1" x14ac:dyDescent="0.2">
      <c r="B21" s="21"/>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row>
    <row r="22" spans="1:50" s="253" customFormat="1" ht="12.95" customHeight="1" x14ac:dyDescent="0.25">
      <c r="B22" s="105" t="s">
        <v>978</v>
      </c>
      <c r="C22" s="106"/>
      <c r="D22" s="106"/>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row>
    <row r="23" spans="1:50" s="253" customFormat="1" ht="12.95" customHeight="1" x14ac:dyDescent="0.25">
      <c r="B23" s="19" t="s">
        <v>300</v>
      </c>
      <c r="C23" s="114"/>
      <c r="D23" s="114" t="s">
        <v>381</v>
      </c>
      <c r="E23" s="56" t="s">
        <v>382</v>
      </c>
      <c r="F23" s="56" t="s">
        <v>383</v>
      </c>
      <c r="G23" s="56" t="s">
        <v>384</v>
      </c>
      <c r="H23" s="56" t="s">
        <v>385</v>
      </c>
      <c r="I23" s="56" t="s">
        <v>386</v>
      </c>
      <c r="J23" s="56" t="s">
        <v>387</v>
      </c>
      <c r="K23" s="56" t="s">
        <v>388</v>
      </c>
      <c r="L23" s="56" t="s">
        <v>389</v>
      </c>
      <c r="M23" s="56" t="s">
        <v>390</v>
      </c>
      <c r="N23" s="56" t="s">
        <v>401</v>
      </c>
      <c r="O23" s="56" t="s">
        <v>402</v>
      </c>
      <c r="P23" s="56" t="s">
        <v>403</v>
      </c>
      <c r="Q23" s="56" t="s">
        <v>404</v>
      </c>
      <c r="R23" s="56" t="s">
        <v>405</v>
      </c>
      <c r="S23" s="56" t="s">
        <v>406</v>
      </c>
      <c r="T23" s="56" t="s">
        <v>407</v>
      </c>
      <c r="U23" s="56" t="s">
        <v>408</v>
      </c>
      <c r="V23" s="56" t="s">
        <v>409</v>
      </c>
      <c r="W23" s="56" t="s">
        <v>410</v>
      </c>
      <c r="X23" s="56" t="s">
        <v>411</v>
      </c>
      <c r="Y23" s="56" t="s">
        <v>412</v>
      </c>
      <c r="Z23" s="56" t="s">
        <v>413</v>
      </c>
      <c r="AA23" s="56" t="s">
        <v>414</v>
      </c>
      <c r="AB23" s="56" t="s">
        <v>415</v>
      </c>
      <c r="AC23" s="56" t="s">
        <v>416</v>
      </c>
      <c r="AD23" s="56" t="s">
        <v>417</v>
      </c>
      <c r="AE23" s="56" t="s">
        <v>418</v>
      </c>
      <c r="AF23" s="56" t="s">
        <v>419</v>
      </c>
      <c r="AG23" s="56" t="s">
        <v>420</v>
      </c>
      <c r="AH23" s="56" t="s">
        <v>421</v>
      </c>
      <c r="AI23" s="56" t="s">
        <v>422</v>
      </c>
      <c r="AJ23" s="56" t="s">
        <v>423</v>
      </c>
      <c r="AK23" s="56" t="s">
        <v>424</v>
      </c>
      <c r="AL23" s="56" t="s">
        <v>425</v>
      </c>
      <c r="AM23" s="56" t="s">
        <v>426</v>
      </c>
      <c r="AN23" s="56" t="s">
        <v>427</v>
      </c>
      <c r="AO23" s="56" t="s">
        <v>428</v>
      </c>
      <c r="AP23" s="56" t="s">
        <v>429</v>
      </c>
      <c r="AQ23" s="56" t="s">
        <v>430</v>
      </c>
      <c r="AX23" s="14"/>
    </row>
    <row r="24" spans="1:50" s="253" customFormat="1" ht="12.95" customHeight="1" x14ac:dyDescent="0.2"/>
    <row r="25" spans="1:50" s="121" customFormat="1" ht="12.95" customHeight="1" x14ac:dyDescent="0.3">
      <c r="B25" s="121" t="s">
        <v>1003</v>
      </c>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c r="AF25" s="303"/>
      <c r="AG25" s="303"/>
      <c r="AH25" s="303"/>
      <c r="AI25" s="303"/>
      <c r="AJ25" s="303"/>
      <c r="AK25" s="303"/>
      <c r="AL25" s="303"/>
      <c r="AM25" s="303"/>
      <c r="AN25" s="303"/>
      <c r="AO25" s="303"/>
      <c r="AP25" s="303"/>
      <c r="AQ25" s="303"/>
    </row>
    <row r="26" spans="1:50" s="253" customFormat="1" ht="12.95" customHeight="1" x14ac:dyDescent="0.2">
      <c r="B26" s="283" t="s">
        <v>1008</v>
      </c>
      <c r="C26" s="146"/>
      <c r="D26" s="146">
        <f>D9</f>
        <v>0</v>
      </c>
      <c r="E26" s="146">
        <f t="shared" ref="E26:AQ26" si="2">D26+E9</f>
        <v>0</v>
      </c>
      <c r="F26" s="146">
        <f t="shared" si="2"/>
        <v>0</v>
      </c>
      <c r="G26" s="146">
        <f t="shared" si="2"/>
        <v>0</v>
      </c>
      <c r="H26" s="146">
        <f t="shared" si="2"/>
        <v>0</v>
      </c>
      <c r="I26" s="146">
        <f t="shared" si="2"/>
        <v>0</v>
      </c>
      <c r="J26" s="146">
        <f t="shared" si="2"/>
        <v>0</v>
      </c>
      <c r="K26" s="146">
        <f t="shared" si="2"/>
        <v>0</v>
      </c>
      <c r="L26" s="146">
        <f t="shared" si="2"/>
        <v>0</v>
      </c>
      <c r="M26" s="146">
        <f t="shared" si="2"/>
        <v>0</v>
      </c>
      <c r="N26" s="146">
        <f t="shared" si="2"/>
        <v>0</v>
      </c>
      <c r="O26" s="146">
        <f t="shared" si="2"/>
        <v>0</v>
      </c>
      <c r="P26" s="146">
        <f t="shared" si="2"/>
        <v>0</v>
      </c>
      <c r="Q26" s="146">
        <f t="shared" si="2"/>
        <v>0</v>
      </c>
      <c r="R26" s="146">
        <f t="shared" si="2"/>
        <v>0</v>
      </c>
      <c r="S26" s="146">
        <f t="shared" si="2"/>
        <v>0</v>
      </c>
      <c r="T26" s="146">
        <f t="shared" si="2"/>
        <v>0</v>
      </c>
      <c r="U26" s="146">
        <f t="shared" si="2"/>
        <v>0</v>
      </c>
      <c r="V26" s="146">
        <f t="shared" si="2"/>
        <v>0</v>
      </c>
      <c r="W26" s="146">
        <f t="shared" si="2"/>
        <v>0</v>
      </c>
      <c r="X26" s="146">
        <f t="shared" si="2"/>
        <v>0</v>
      </c>
      <c r="Y26" s="146">
        <f t="shared" si="2"/>
        <v>0</v>
      </c>
      <c r="Z26" s="146">
        <f t="shared" si="2"/>
        <v>0</v>
      </c>
      <c r="AA26" s="146">
        <f t="shared" si="2"/>
        <v>0</v>
      </c>
      <c r="AB26" s="146">
        <f t="shared" si="2"/>
        <v>0</v>
      </c>
      <c r="AC26" s="146">
        <f t="shared" si="2"/>
        <v>0</v>
      </c>
      <c r="AD26" s="146">
        <f t="shared" si="2"/>
        <v>0</v>
      </c>
      <c r="AE26" s="146">
        <f t="shared" si="2"/>
        <v>0</v>
      </c>
      <c r="AF26" s="146">
        <f t="shared" si="2"/>
        <v>0</v>
      </c>
      <c r="AG26" s="146">
        <f t="shared" si="2"/>
        <v>0</v>
      </c>
      <c r="AH26" s="146">
        <f t="shared" si="2"/>
        <v>0</v>
      </c>
      <c r="AI26" s="146">
        <f t="shared" si="2"/>
        <v>0</v>
      </c>
      <c r="AJ26" s="146">
        <f t="shared" si="2"/>
        <v>0</v>
      </c>
      <c r="AK26" s="146">
        <f t="shared" si="2"/>
        <v>0</v>
      </c>
      <c r="AL26" s="146">
        <f t="shared" si="2"/>
        <v>0</v>
      </c>
      <c r="AM26" s="146">
        <f t="shared" si="2"/>
        <v>0</v>
      </c>
      <c r="AN26" s="146">
        <f t="shared" si="2"/>
        <v>0</v>
      </c>
      <c r="AO26" s="146">
        <f t="shared" si="2"/>
        <v>0</v>
      </c>
      <c r="AP26" s="146">
        <f t="shared" si="2"/>
        <v>0</v>
      </c>
      <c r="AQ26" s="146">
        <f t="shared" si="2"/>
        <v>0</v>
      </c>
    </row>
    <row r="27" spans="1:50" s="253" customFormat="1" ht="12.95" customHeight="1" x14ac:dyDescent="0.2">
      <c r="B27" s="283" t="s">
        <v>446</v>
      </c>
      <c r="C27" s="146"/>
      <c r="D27" s="146">
        <f>D10</f>
        <v>0</v>
      </c>
      <c r="E27" s="146">
        <f t="shared" ref="E27:AQ27" si="3">D27+E10</f>
        <v>0</v>
      </c>
      <c r="F27" s="146">
        <f t="shared" si="3"/>
        <v>0</v>
      </c>
      <c r="G27" s="146">
        <f t="shared" si="3"/>
        <v>0</v>
      </c>
      <c r="H27" s="146">
        <f t="shared" si="3"/>
        <v>0</v>
      </c>
      <c r="I27" s="146">
        <f t="shared" si="3"/>
        <v>0</v>
      </c>
      <c r="J27" s="146">
        <f t="shared" si="3"/>
        <v>0</v>
      </c>
      <c r="K27" s="146">
        <f t="shared" si="3"/>
        <v>0</v>
      </c>
      <c r="L27" s="146">
        <f t="shared" si="3"/>
        <v>0</v>
      </c>
      <c r="M27" s="146">
        <f t="shared" si="3"/>
        <v>0</v>
      </c>
      <c r="N27" s="146">
        <f t="shared" si="3"/>
        <v>0</v>
      </c>
      <c r="O27" s="146">
        <f t="shared" si="3"/>
        <v>0</v>
      </c>
      <c r="P27" s="146">
        <f t="shared" si="3"/>
        <v>0</v>
      </c>
      <c r="Q27" s="146">
        <f t="shared" si="3"/>
        <v>0</v>
      </c>
      <c r="R27" s="146">
        <f t="shared" si="3"/>
        <v>0</v>
      </c>
      <c r="S27" s="146">
        <f t="shared" si="3"/>
        <v>0</v>
      </c>
      <c r="T27" s="146">
        <f t="shared" si="3"/>
        <v>0</v>
      </c>
      <c r="U27" s="146">
        <f t="shared" si="3"/>
        <v>0</v>
      </c>
      <c r="V27" s="146">
        <f t="shared" si="3"/>
        <v>0</v>
      </c>
      <c r="W27" s="146">
        <f t="shared" si="3"/>
        <v>0</v>
      </c>
      <c r="X27" s="146">
        <f t="shared" si="3"/>
        <v>0</v>
      </c>
      <c r="Y27" s="146">
        <f t="shared" si="3"/>
        <v>0</v>
      </c>
      <c r="Z27" s="146">
        <f t="shared" si="3"/>
        <v>0</v>
      </c>
      <c r="AA27" s="146">
        <f t="shared" si="3"/>
        <v>0</v>
      </c>
      <c r="AB27" s="146">
        <f t="shared" si="3"/>
        <v>0</v>
      </c>
      <c r="AC27" s="146">
        <f t="shared" si="3"/>
        <v>0</v>
      </c>
      <c r="AD27" s="146">
        <f t="shared" si="3"/>
        <v>0</v>
      </c>
      <c r="AE27" s="146">
        <f t="shared" si="3"/>
        <v>0</v>
      </c>
      <c r="AF27" s="146">
        <f t="shared" si="3"/>
        <v>0</v>
      </c>
      <c r="AG27" s="146">
        <f t="shared" si="3"/>
        <v>0</v>
      </c>
      <c r="AH27" s="146">
        <f t="shared" si="3"/>
        <v>0</v>
      </c>
      <c r="AI27" s="146">
        <f t="shared" si="3"/>
        <v>0</v>
      </c>
      <c r="AJ27" s="146">
        <f t="shared" si="3"/>
        <v>0</v>
      </c>
      <c r="AK27" s="146">
        <f t="shared" si="3"/>
        <v>0</v>
      </c>
      <c r="AL27" s="146">
        <f t="shared" si="3"/>
        <v>0</v>
      </c>
      <c r="AM27" s="146">
        <f t="shared" si="3"/>
        <v>0</v>
      </c>
      <c r="AN27" s="146">
        <f t="shared" si="3"/>
        <v>0</v>
      </c>
      <c r="AO27" s="146">
        <f t="shared" si="3"/>
        <v>0</v>
      </c>
      <c r="AP27" s="146">
        <f t="shared" si="3"/>
        <v>0</v>
      </c>
      <c r="AQ27" s="146">
        <f t="shared" si="3"/>
        <v>0</v>
      </c>
    </row>
    <row r="28" spans="1:50" s="253" customFormat="1" ht="12.95" customHeight="1" x14ac:dyDescent="0.2">
      <c r="B28" s="283" t="s">
        <v>1006</v>
      </c>
      <c r="C28" s="146"/>
      <c r="D28" s="146">
        <f>D11</f>
        <v>0.38057100966284263</v>
      </c>
      <c r="E28" s="146">
        <f t="shared" ref="E28:AQ28" si="4">D28+E11</f>
        <v>1.1257236660412415</v>
      </c>
      <c r="F28" s="146">
        <f t="shared" si="4"/>
        <v>2.2103880419597446</v>
      </c>
      <c r="G28" s="146">
        <f t="shared" si="4"/>
        <v>3.6031414859960913</v>
      </c>
      <c r="H28" s="146">
        <f t="shared" si="4"/>
        <v>5.2683976000356214</v>
      </c>
      <c r="I28" s="146">
        <f t="shared" si="4"/>
        <v>7.168147591083704</v>
      </c>
      <c r="J28" s="146">
        <f t="shared" si="4"/>
        <v>9.2633309221655509</v>
      </c>
      <c r="K28" s="146">
        <f t="shared" si="4"/>
        <v>11.514900026112995</v>
      </c>
      <c r="L28" s="146">
        <f t="shared" si="4"/>
        <v>13.884633520826373</v>
      </c>
      <c r="M28" s="146">
        <f t="shared" si="4"/>
        <v>16.335743605595162</v>
      </c>
      <c r="N28" s="146">
        <f t="shared" si="4"/>
        <v>18.833315894573477</v>
      </c>
      <c r="O28" s="146">
        <f t="shared" si="4"/>
        <v>21.344613658210573</v>
      </c>
      <c r="P28" s="146">
        <f t="shared" si="4"/>
        <v>23.83927312760127</v>
      </c>
      <c r="Q28" s="146">
        <f t="shared" si="4"/>
        <v>26.289412026119066</v>
      </c>
      <c r="R28" s="146">
        <f t="shared" si="4"/>
        <v>28.669669704087106</v>
      </c>
      <c r="S28" s="146">
        <f t="shared" si="4"/>
        <v>30.957194060369723</v>
      </c>
      <c r="T28" s="146">
        <f t="shared" si="4"/>
        <v>33.131587749763206</v>
      </c>
      <c r="U28" s="146">
        <f t="shared" si="4"/>
        <v>35.174823920239973</v>
      </c>
      <c r="V28" s="146">
        <f t="shared" si="4"/>
        <v>37.071139834043187</v>
      </c>
      <c r="W28" s="146">
        <f t="shared" si="4"/>
        <v>38.80691514557531</v>
      </c>
      <c r="X28" s="146">
        <f t="shared" si="4"/>
        <v>40.370540289460472</v>
      </c>
      <c r="Y28" s="146">
        <f t="shared" si="4"/>
        <v>41.752279333629332</v>
      </c>
      <c r="Z28" s="146">
        <f t="shared" si="4"/>
        <v>42.944130740346274</v>
      </c>
      <c r="AA28" s="146">
        <f t="shared" si="4"/>
        <v>43.93968872349442</v>
      </c>
      <c r="AB28" s="146">
        <f t="shared" si="4"/>
        <v>44.734007268274141</v>
      </c>
      <c r="AC28" s="146">
        <f t="shared" si="4"/>
        <v>45.323468368630138</v>
      </c>
      <c r="AD28" s="146">
        <f t="shared" si="4"/>
        <v>45.705655620279536</v>
      </c>
      <c r="AE28" s="146">
        <f t="shared" si="4"/>
        <v>45.879233967978202</v>
      </c>
      <c r="AF28" s="146">
        <f t="shared" si="4"/>
        <v>45.843836131773585</v>
      </c>
      <c r="AG28" s="146">
        <f t="shared" si="4"/>
        <v>45.599956017571017</v>
      </c>
      <c r="AH28" s="146">
        <f t="shared" si="4"/>
        <v>45.148849243196715</v>
      </c>
      <c r="AI28" s="146">
        <f t="shared" si="4"/>
        <v>44.492440774520979</v>
      </c>
      <c r="AJ28" s="146">
        <f t="shared" si="4"/>
        <v>43.633239560576598</v>
      </c>
      <c r="AK28" s="146">
        <f t="shared" si="4"/>
        <v>42.574259976474792</v>
      </c>
      <c r="AL28" s="146">
        <f t="shared" si="4"/>
        <v>41.318949823669108</v>
      </c>
      <c r="AM28" s="146">
        <f t="shared" si="4"/>
        <v>39.871124594878253</v>
      </c>
      <c r="AN28" s="146">
        <f t="shared" si="4"/>
        <v>38.234907682515569</v>
      </c>
      <c r="AO28" s="146">
        <f t="shared" si="4"/>
        <v>36.41467619208548</v>
      </c>
      <c r="AP28" s="146">
        <f t="shared" si="4"/>
        <v>34.415012013447409</v>
      </c>
      <c r="AQ28" s="146">
        <f t="shared" si="4"/>
        <v>32.240657801249277</v>
      </c>
    </row>
    <row r="29" spans="1:50" s="253" customFormat="1" ht="12.95" customHeight="1" x14ac:dyDescent="0.2">
      <c r="A29" s="203"/>
      <c r="B29" s="283" t="s">
        <v>1007</v>
      </c>
      <c r="C29" s="146"/>
      <c r="D29" s="146">
        <f ca="1">D12</f>
        <v>3.4978502766227311</v>
      </c>
      <c r="E29" s="146">
        <f t="shared" ref="E29:AQ29" ca="1" si="5">D29+E12</f>
        <v>6.2516707485012546</v>
      </c>
      <c r="F29" s="146">
        <f t="shared" ca="1" si="5"/>
        <v>9.0432721102107116</v>
      </c>
      <c r="G29" s="146">
        <f t="shared" ca="1" si="5"/>
        <v>11.79312534722299</v>
      </c>
      <c r="H29" s="146">
        <f t="shared" ca="1" si="5"/>
        <v>14.431356975462629</v>
      </c>
      <c r="I29" s="146">
        <f t="shared" ca="1" si="5"/>
        <v>16.897828266775377</v>
      </c>
      <c r="J29" s="146">
        <f t="shared" ca="1" si="5"/>
        <v>19.141901535930895</v>
      </c>
      <c r="K29" s="146">
        <f t="shared" ca="1" si="5"/>
        <v>21.121979473812004</v>
      </c>
      <c r="L29" s="146">
        <f t="shared" ca="1" si="5"/>
        <v>22.804888911718493</v>
      </c>
      <c r="M29" s="146">
        <f t="shared" ca="1" si="5"/>
        <v>24.1651669303075</v>
      </c>
      <c r="N29" s="146">
        <f t="shared" ca="1" si="5"/>
        <v>21.425711420357459</v>
      </c>
      <c r="O29" s="146">
        <f t="shared" ca="1" si="5"/>
        <v>18.796300106349108</v>
      </c>
      <c r="P29" s="146">
        <f t="shared" ca="1" si="5"/>
        <v>16.358146841132552</v>
      </c>
      <c r="Q29" s="146">
        <f t="shared" ca="1" si="5"/>
        <v>14.166654697203548</v>
      </c>
      <c r="R29" s="146">
        <f t="shared" ca="1" si="5"/>
        <v>12.256658408255333</v>
      </c>
      <c r="S29" s="146">
        <f t="shared" ca="1" si="5"/>
        <v>10.646765777040656</v>
      </c>
      <c r="T29" s="146">
        <f t="shared" ca="1" si="5"/>
        <v>9.342940621952053</v>
      </c>
      <c r="U29" s="146">
        <f t="shared" ca="1" si="5"/>
        <v>8.3414482955077496</v>
      </c>
      <c r="V29" s="146">
        <f t="shared" ca="1" si="5"/>
        <v>7.6312664337476708</v>
      </c>
      <c r="W29" s="146">
        <f t="shared" ca="1" si="5"/>
        <v>7.1960479293159514</v>
      </c>
      <c r="X29" s="146">
        <f t="shared" ca="1" si="5"/>
        <v>7.0157097709286562</v>
      </c>
      <c r="Y29" s="146">
        <f t="shared" ca="1" si="5"/>
        <v>7.0677100222153424</v>
      </c>
      <c r="Z29" s="146">
        <f t="shared" ca="1" si="5"/>
        <v>7.328065535874444</v>
      </c>
      <c r="AA29" s="146">
        <f t="shared" ca="1" si="5"/>
        <v>7.7721547682340004</v>
      </c>
      <c r="AB29" s="146">
        <f t="shared" ca="1" si="5"/>
        <v>8.3753430635862074</v>
      </c>
      <c r="AC29" s="146">
        <f t="shared" ca="1" si="5"/>
        <v>5.6156115597190599</v>
      </c>
      <c r="AD29" s="146">
        <f t="shared" ca="1" si="5"/>
        <v>2.8558800558519128</v>
      </c>
      <c r="AE29" s="146">
        <f t="shared" ca="1" si="5"/>
        <v>9.6148551984752473E-2</v>
      </c>
      <c r="AF29" s="146">
        <f t="shared" ca="1" si="5"/>
        <v>-2.6635829518823946</v>
      </c>
      <c r="AG29" s="146">
        <f t="shared" ca="1" si="5"/>
        <v>-5.423314455749555</v>
      </c>
      <c r="AH29" s="146">
        <f t="shared" ca="1" si="5"/>
        <v>-8.1830459596167291</v>
      </c>
      <c r="AI29" s="146">
        <f t="shared" ca="1" si="5"/>
        <v>-10.942777463483889</v>
      </c>
      <c r="AJ29" s="146">
        <f t="shared" ca="1" si="5"/>
        <v>-13.702508967351049</v>
      </c>
      <c r="AK29" s="146">
        <f t="shared" ca="1" si="5"/>
        <v>-16.462240471218209</v>
      </c>
      <c r="AL29" s="146">
        <f t="shared" ca="1" si="5"/>
        <v>-19.221971975085356</v>
      </c>
      <c r="AM29" s="146">
        <f t="shared" ca="1" si="5"/>
        <v>-21.981703478952504</v>
      </c>
      <c r="AN29" s="146">
        <f t="shared" ca="1" si="5"/>
        <v>-24.741434982819666</v>
      </c>
      <c r="AO29" s="146">
        <f t="shared" ca="1" si="5"/>
        <v>-27.501166486686813</v>
      </c>
      <c r="AP29" s="146">
        <f t="shared" ca="1" si="5"/>
        <v>-30.260897990553989</v>
      </c>
      <c r="AQ29" s="146">
        <f t="shared" ca="1" si="5"/>
        <v>-33.020629494421151</v>
      </c>
    </row>
    <row r="30" spans="1:50" s="253" customFormat="1" ht="12.95" customHeight="1" x14ac:dyDescent="0.2">
      <c r="B30" s="305" t="s">
        <v>1016</v>
      </c>
      <c r="C30" s="306"/>
      <c r="D30" s="306">
        <f ca="1">SUM(D26:D29)</f>
        <v>3.8784212862855738</v>
      </c>
      <c r="E30" s="306">
        <f t="shared" ref="E30:AQ30" ca="1" si="6">SUM(E26:E29)</f>
        <v>7.3773944145424961</v>
      </c>
      <c r="F30" s="306">
        <f t="shared" ca="1" si="6"/>
        <v>11.253660152170456</v>
      </c>
      <c r="G30" s="306">
        <f t="shared" ca="1" si="6"/>
        <v>15.39626683321908</v>
      </c>
      <c r="H30" s="306">
        <f t="shared" ca="1" si="6"/>
        <v>19.69975457549825</v>
      </c>
      <c r="I30" s="306">
        <f t="shared" ca="1" si="6"/>
        <v>24.06597585785908</v>
      </c>
      <c r="J30" s="306">
        <f t="shared" ca="1" si="6"/>
        <v>28.405232458096446</v>
      </c>
      <c r="K30" s="306">
        <f t="shared" ca="1" si="6"/>
        <v>32.636879499925001</v>
      </c>
      <c r="L30" s="306">
        <f t="shared" ca="1" si="6"/>
        <v>36.689522432544862</v>
      </c>
      <c r="M30" s="306">
        <f t="shared" ca="1" si="6"/>
        <v>40.500910535902662</v>
      </c>
      <c r="N30" s="306">
        <f t="shared" ca="1" si="6"/>
        <v>40.259027314930933</v>
      </c>
      <c r="O30" s="306">
        <f t="shared" ca="1" si="6"/>
        <v>40.140913764559684</v>
      </c>
      <c r="P30" s="306">
        <f t="shared" ca="1" si="6"/>
        <v>40.197419968733826</v>
      </c>
      <c r="Q30" s="306">
        <f t="shared" ca="1" si="6"/>
        <v>40.456066723322614</v>
      </c>
      <c r="R30" s="306">
        <f t="shared" ca="1" si="6"/>
        <v>40.926328112342439</v>
      </c>
      <c r="S30" s="306">
        <f t="shared" ca="1" si="6"/>
        <v>41.603959837410379</v>
      </c>
      <c r="T30" s="306">
        <f t="shared" ca="1" si="6"/>
        <v>42.474528371715259</v>
      </c>
      <c r="U30" s="306">
        <f t="shared" ca="1" si="6"/>
        <v>43.516272215747719</v>
      </c>
      <c r="V30" s="306">
        <f t="shared" ca="1" si="6"/>
        <v>44.702406267790856</v>
      </c>
      <c r="W30" s="306">
        <f t="shared" ca="1" si="6"/>
        <v>46.002963074891262</v>
      </c>
      <c r="X30" s="306">
        <f t="shared" ca="1" si="6"/>
        <v>47.386250060389131</v>
      </c>
      <c r="Y30" s="306">
        <f t="shared" ca="1" si="6"/>
        <v>48.819989355844676</v>
      </c>
      <c r="Z30" s="306">
        <f t="shared" ca="1" si="6"/>
        <v>50.272196276220718</v>
      </c>
      <c r="AA30" s="306">
        <f t="shared" ca="1" si="6"/>
        <v>51.711843491728423</v>
      </c>
      <c r="AB30" s="306">
        <f t="shared" ca="1" si="6"/>
        <v>53.109350331860348</v>
      </c>
      <c r="AC30" s="306">
        <f t="shared" ca="1" si="6"/>
        <v>50.939079928349202</v>
      </c>
      <c r="AD30" s="306">
        <f t="shared" ca="1" si="6"/>
        <v>48.561535676131449</v>
      </c>
      <c r="AE30" s="306">
        <f t="shared" ca="1" si="6"/>
        <v>45.975382519962956</v>
      </c>
      <c r="AF30" s="306">
        <f t="shared" ca="1" si="6"/>
        <v>43.180253179891189</v>
      </c>
      <c r="AG30" s="306">
        <f t="shared" ca="1" si="6"/>
        <v>40.176641561821462</v>
      </c>
      <c r="AH30" s="306">
        <f t="shared" ca="1" si="6"/>
        <v>36.965803283579987</v>
      </c>
      <c r="AI30" s="306">
        <f t="shared" ca="1" si="6"/>
        <v>33.549663311037094</v>
      </c>
      <c r="AJ30" s="306">
        <f t="shared" ca="1" si="6"/>
        <v>29.930730593225547</v>
      </c>
      <c r="AK30" s="306">
        <f t="shared" ca="1" si="6"/>
        <v>26.112019505256583</v>
      </c>
      <c r="AL30" s="306">
        <f t="shared" ca="1" si="6"/>
        <v>22.096977848583752</v>
      </c>
      <c r="AM30" s="306">
        <f t="shared" ca="1" si="6"/>
        <v>17.889421115925749</v>
      </c>
      <c r="AN30" s="306">
        <f t="shared" ca="1" si="6"/>
        <v>13.493472699695904</v>
      </c>
      <c r="AO30" s="306">
        <f t="shared" ca="1" si="6"/>
        <v>8.9135097053986669</v>
      </c>
      <c r="AP30" s="306">
        <f t="shared" ca="1" si="6"/>
        <v>4.1541140228934204</v>
      </c>
      <c r="AQ30" s="306">
        <f t="shared" ca="1" si="6"/>
        <v>-0.77997169317187343</v>
      </c>
    </row>
    <row r="31" spans="1:50" s="253" customFormat="1" ht="12.95" customHeight="1" x14ac:dyDescent="0.2">
      <c r="B31" s="81"/>
      <c r="C31" s="304"/>
      <c r="D31" s="304"/>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row>
    <row r="32" spans="1:50" s="121" customFormat="1" ht="12.95" customHeight="1" x14ac:dyDescent="0.3">
      <c r="B32" s="121" t="s">
        <v>1004</v>
      </c>
      <c r="C32" s="303"/>
      <c r="D32" s="303"/>
      <c r="E32" s="303"/>
      <c r="F32" s="303"/>
      <c r="G32" s="170"/>
      <c r="H32" s="170"/>
      <c r="I32" s="170"/>
      <c r="J32" s="170"/>
      <c r="K32" s="170"/>
      <c r="L32" s="170"/>
      <c r="M32" s="170"/>
      <c r="N32" s="170"/>
      <c r="O32" s="170"/>
      <c r="P32" s="303"/>
      <c r="Q32" s="303"/>
      <c r="R32" s="303"/>
      <c r="S32" s="303"/>
      <c r="T32" s="303"/>
      <c r="U32" s="303"/>
      <c r="V32" s="303"/>
      <c r="W32" s="303"/>
      <c r="X32" s="303"/>
      <c r="Y32" s="303"/>
      <c r="Z32" s="303"/>
      <c r="AA32" s="303"/>
      <c r="AB32" s="303"/>
      <c r="AC32" s="303"/>
      <c r="AD32" s="303"/>
      <c r="AE32" s="303"/>
      <c r="AF32" s="303"/>
      <c r="AG32" s="303"/>
      <c r="AH32" s="303"/>
      <c r="AI32" s="303"/>
      <c r="AJ32" s="303"/>
      <c r="AK32" s="303"/>
      <c r="AL32" s="303"/>
      <c r="AM32" s="303"/>
      <c r="AN32" s="303"/>
      <c r="AO32" s="303"/>
      <c r="AP32" s="303"/>
      <c r="AQ32" s="303"/>
    </row>
    <row r="33" spans="2:43" s="253" customFormat="1" ht="12.95" customHeight="1" x14ac:dyDescent="0.2">
      <c r="B33" s="283" t="s">
        <v>1008</v>
      </c>
      <c r="C33" s="146"/>
      <c r="D33" s="146">
        <f t="shared" ref="D33:D38" si="7">D15</f>
        <v>0</v>
      </c>
      <c r="E33" s="146">
        <f t="shared" ref="E33:AQ33" si="8">D33+E15</f>
        <v>0</v>
      </c>
      <c r="F33" s="146">
        <f t="shared" si="8"/>
        <v>0</v>
      </c>
      <c r="G33" s="146">
        <f t="shared" si="8"/>
        <v>0</v>
      </c>
      <c r="H33" s="146">
        <f t="shared" si="8"/>
        <v>0</v>
      </c>
      <c r="I33" s="146">
        <f t="shared" si="8"/>
        <v>0</v>
      </c>
      <c r="J33" s="146">
        <f t="shared" si="8"/>
        <v>0</v>
      </c>
      <c r="K33" s="146">
        <f t="shared" si="8"/>
        <v>0</v>
      </c>
      <c r="L33" s="146">
        <f t="shared" si="8"/>
        <v>0</v>
      </c>
      <c r="M33" s="146">
        <f t="shared" si="8"/>
        <v>0</v>
      </c>
      <c r="N33" s="146">
        <f t="shared" si="8"/>
        <v>0</v>
      </c>
      <c r="O33" s="146">
        <f t="shared" si="8"/>
        <v>0</v>
      </c>
      <c r="P33" s="146">
        <f t="shared" si="8"/>
        <v>0</v>
      </c>
      <c r="Q33" s="146">
        <f t="shared" si="8"/>
        <v>0</v>
      </c>
      <c r="R33" s="146">
        <f t="shared" si="8"/>
        <v>0</v>
      </c>
      <c r="S33" s="146">
        <f t="shared" si="8"/>
        <v>0</v>
      </c>
      <c r="T33" s="146">
        <f t="shared" si="8"/>
        <v>0</v>
      </c>
      <c r="U33" s="146">
        <f t="shared" si="8"/>
        <v>0</v>
      </c>
      <c r="V33" s="146">
        <f t="shared" si="8"/>
        <v>0</v>
      </c>
      <c r="W33" s="146">
        <f t="shared" si="8"/>
        <v>0</v>
      </c>
      <c r="X33" s="146">
        <f t="shared" si="8"/>
        <v>0</v>
      </c>
      <c r="Y33" s="146">
        <f t="shared" si="8"/>
        <v>0</v>
      </c>
      <c r="Z33" s="146">
        <f t="shared" si="8"/>
        <v>0</v>
      </c>
      <c r="AA33" s="146">
        <f t="shared" si="8"/>
        <v>0</v>
      </c>
      <c r="AB33" s="146">
        <f t="shared" si="8"/>
        <v>0</v>
      </c>
      <c r="AC33" s="146">
        <f t="shared" si="8"/>
        <v>0</v>
      </c>
      <c r="AD33" s="146">
        <f t="shared" si="8"/>
        <v>0</v>
      </c>
      <c r="AE33" s="146">
        <f t="shared" si="8"/>
        <v>0</v>
      </c>
      <c r="AF33" s="146">
        <f t="shared" si="8"/>
        <v>0</v>
      </c>
      <c r="AG33" s="146">
        <f t="shared" si="8"/>
        <v>0</v>
      </c>
      <c r="AH33" s="146">
        <f t="shared" si="8"/>
        <v>0</v>
      </c>
      <c r="AI33" s="146">
        <f t="shared" si="8"/>
        <v>0</v>
      </c>
      <c r="AJ33" s="146">
        <f t="shared" si="8"/>
        <v>0</v>
      </c>
      <c r="AK33" s="146">
        <f t="shared" si="8"/>
        <v>0</v>
      </c>
      <c r="AL33" s="146">
        <f t="shared" si="8"/>
        <v>0</v>
      </c>
      <c r="AM33" s="146">
        <f t="shared" si="8"/>
        <v>0</v>
      </c>
      <c r="AN33" s="146">
        <f t="shared" si="8"/>
        <v>0</v>
      </c>
      <c r="AO33" s="146">
        <f t="shared" si="8"/>
        <v>0</v>
      </c>
      <c r="AP33" s="146">
        <f t="shared" si="8"/>
        <v>0</v>
      </c>
      <c r="AQ33" s="146">
        <f t="shared" si="8"/>
        <v>0</v>
      </c>
    </row>
    <row r="34" spans="2:43" s="253" customFormat="1" ht="12.95" customHeight="1" x14ac:dyDescent="0.2">
      <c r="B34" s="283" t="s">
        <v>446</v>
      </c>
      <c r="C34" s="146"/>
      <c r="D34" s="146">
        <f t="shared" si="7"/>
        <v>0</v>
      </c>
      <c r="E34" s="146">
        <f t="shared" ref="E34:AQ34" si="9">D34+E16</f>
        <v>0</v>
      </c>
      <c r="F34" s="146">
        <f t="shared" si="9"/>
        <v>0</v>
      </c>
      <c r="G34" s="146">
        <f t="shared" si="9"/>
        <v>0</v>
      </c>
      <c r="H34" s="146">
        <f t="shared" si="9"/>
        <v>0</v>
      </c>
      <c r="I34" s="146">
        <f t="shared" si="9"/>
        <v>0</v>
      </c>
      <c r="J34" s="146">
        <f t="shared" si="9"/>
        <v>0</v>
      </c>
      <c r="K34" s="146">
        <f t="shared" si="9"/>
        <v>0</v>
      </c>
      <c r="L34" s="146">
        <f t="shared" si="9"/>
        <v>0</v>
      </c>
      <c r="M34" s="146">
        <f t="shared" si="9"/>
        <v>0</v>
      </c>
      <c r="N34" s="146">
        <f t="shared" si="9"/>
        <v>0</v>
      </c>
      <c r="O34" s="146">
        <f t="shared" si="9"/>
        <v>0</v>
      </c>
      <c r="P34" s="146">
        <f t="shared" si="9"/>
        <v>0</v>
      </c>
      <c r="Q34" s="146">
        <f t="shared" si="9"/>
        <v>0</v>
      </c>
      <c r="R34" s="146">
        <f t="shared" si="9"/>
        <v>0</v>
      </c>
      <c r="S34" s="146">
        <f t="shared" si="9"/>
        <v>0</v>
      </c>
      <c r="T34" s="146">
        <f t="shared" si="9"/>
        <v>0</v>
      </c>
      <c r="U34" s="146">
        <f t="shared" si="9"/>
        <v>0</v>
      </c>
      <c r="V34" s="146">
        <f t="shared" si="9"/>
        <v>0</v>
      </c>
      <c r="W34" s="146">
        <f t="shared" si="9"/>
        <v>0</v>
      </c>
      <c r="X34" s="146">
        <f t="shared" si="9"/>
        <v>0</v>
      </c>
      <c r="Y34" s="146">
        <f t="shared" si="9"/>
        <v>0</v>
      </c>
      <c r="Z34" s="146">
        <f t="shared" si="9"/>
        <v>0</v>
      </c>
      <c r="AA34" s="146">
        <f t="shared" si="9"/>
        <v>0</v>
      </c>
      <c r="AB34" s="146">
        <f t="shared" si="9"/>
        <v>0</v>
      </c>
      <c r="AC34" s="146">
        <f t="shared" si="9"/>
        <v>0</v>
      </c>
      <c r="AD34" s="146">
        <f t="shared" si="9"/>
        <v>0</v>
      </c>
      <c r="AE34" s="146">
        <f t="shared" si="9"/>
        <v>0</v>
      </c>
      <c r="AF34" s="146">
        <f t="shared" si="9"/>
        <v>0</v>
      </c>
      <c r="AG34" s="146">
        <f t="shared" si="9"/>
        <v>0</v>
      </c>
      <c r="AH34" s="146">
        <f t="shared" si="9"/>
        <v>0</v>
      </c>
      <c r="AI34" s="146">
        <f t="shared" si="9"/>
        <v>0</v>
      </c>
      <c r="AJ34" s="146">
        <f t="shared" si="9"/>
        <v>0</v>
      </c>
      <c r="AK34" s="146">
        <f t="shared" si="9"/>
        <v>0</v>
      </c>
      <c r="AL34" s="146">
        <f t="shared" si="9"/>
        <v>0</v>
      </c>
      <c r="AM34" s="146">
        <f t="shared" si="9"/>
        <v>0</v>
      </c>
      <c r="AN34" s="146">
        <f t="shared" si="9"/>
        <v>0</v>
      </c>
      <c r="AO34" s="146">
        <f t="shared" si="9"/>
        <v>0</v>
      </c>
      <c r="AP34" s="146">
        <f t="shared" si="9"/>
        <v>0</v>
      </c>
      <c r="AQ34" s="146">
        <f t="shared" si="9"/>
        <v>0</v>
      </c>
    </row>
    <row r="35" spans="2:43" s="253" customFormat="1" ht="12.95" customHeight="1" x14ac:dyDescent="0.2">
      <c r="B35" s="283" t="s">
        <v>1006</v>
      </c>
      <c r="C35" s="146"/>
      <c r="D35" s="146">
        <f t="shared" si="7"/>
        <v>0.25606148691286251</v>
      </c>
      <c r="E35" s="146">
        <f t="shared" ref="E35:AQ35" si="10">D35+E17</f>
        <v>0.66575986597344261</v>
      </c>
      <c r="F35" s="146">
        <f t="shared" si="10"/>
        <v>1.2060496033595827</v>
      </c>
      <c r="G35" s="146">
        <f t="shared" si="10"/>
        <v>1.8573419953224486</v>
      </c>
      <c r="H35" s="146">
        <f t="shared" si="10"/>
        <v>2.6029866436755316</v>
      </c>
      <c r="I35" s="146">
        <f t="shared" si="10"/>
        <v>3.428830709960299</v>
      </c>
      <c r="J35" s="146">
        <f t="shared" si="10"/>
        <v>4.3228442814869981</v>
      </c>
      <c r="K35" s="146">
        <f t="shared" si="10"/>
        <v>5.2748019324693391</v>
      </c>
      <c r="L35" s="146">
        <f t="shared" si="10"/>
        <v>6.2760120509889763</v>
      </c>
      <c r="M35" s="146">
        <f t="shared" si="10"/>
        <v>7.3190867669153148</v>
      </c>
      <c r="N35" s="146">
        <f t="shared" si="10"/>
        <v>8.3977463906373497</v>
      </c>
      <c r="O35" s="146">
        <f t="shared" si="10"/>
        <v>9.5066531859857264</v>
      </c>
      <c r="P35" s="146">
        <f t="shared" si="10"/>
        <v>10.641270077216493</v>
      </c>
      <c r="Q35" s="146">
        <f t="shared" si="10"/>
        <v>11.797740549947292</v>
      </c>
      <c r="R35" s="146">
        <f t="shared" si="10"/>
        <v>12.972786566953118</v>
      </c>
      <c r="S35" s="146">
        <f t="shared" si="10"/>
        <v>14.163621796592718</v>
      </c>
      <c r="T35" s="146">
        <f t="shared" si="10"/>
        <v>15.367877856971024</v>
      </c>
      <c r="U35" s="146">
        <f t="shared" si="10"/>
        <v>16.583541623477231</v>
      </c>
      <c r="V35" s="146">
        <f t="shared" si="10"/>
        <v>17.808901940192154</v>
      </c>
      <c r="W35" s="146">
        <f t="shared" si="10"/>
        <v>19.042504324584485</v>
      </c>
      <c r="X35" s="146">
        <f t="shared" si="10"/>
        <v>20.283112466502615</v>
      </c>
      <c r="Y35" s="146">
        <f t="shared" si="10"/>
        <v>21.529675502317673</v>
      </c>
      <c r="Z35" s="146">
        <f t="shared" si="10"/>
        <v>22.781300197945118</v>
      </c>
      <c r="AA35" s="146">
        <f t="shared" si="10"/>
        <v>24.037227304413094</v>
      </c>
      <c r="AB35" s="146">
        <f t="shared" si="10"/>
        <v>25.296811460095519</v>
      </c>
      <c r="AC35" s="146">
        <f t="shared" si="10"/>
        <v>26.556395615777944</v>
      </c>
      <c r="AD35" s="146">
        <f t="shared" si="10"/>
        <v>27.81597977146037</v>
      </c>
      <c r="AE35" s="146">
        <f t="shared" si="10"/>
        <v>29.075563927142795</v>
      </c>
      <c r="AF35" s="146">
        <f t="shared" si="10"/>
        <v>30.335148082825221</v>
      </c>
      <c r="AG35" s="146">
        <f t="shared" si="10"/>
        <v>31.594732238507646</v>
      </c>
      <c r="AH35" s="146">
        <f t="shared" si="10"/>
        <v>32.854316394190072</v>
      </c>
      <c r="AI35" s="146">
        <f t="shared" si="10"/>
        <v>34.113900549872497</v>
      </c>
      <c r="AJ35" s="146">
        <f t="shared" si="10"/>
        <v>35.373484705554922</v>
      </c>
      <c r="AK35" s="146">
        <f t="shared" si="10"/>
        <v>36.633068861237348</v>
      </c>
      <c r="AL35" s="146">
        <f t="shared" si="10"/>
        <v>37.892653016919773</v>
      </c>
      <c r="AM35" s="146">
        <f t="shared" si="10"/>
        <v>39.152237172602199</v>
      </c>
      <c r="AN35" s="146">
        <f t="shared" si="10"/>
        <v>40.411821328284624</v>
      </c>
      <c r="AO35" s="146">
        <f t="shared" si="10"/>
        <v>41.67140548396705</v>
      </c>
      <c r="AP35" s="146">
        <f t="shared" si="10"/>
        <v>42.930989639649475</v>
      </c>
      <c r="AQ35" s="146">
        <f t="shared" si="10"/>
        <v>44.1905737953319</v>
      </c>
    </row>
    <row r="36" spans="2:43" s="253" customFormat="1" ht="12.95" customHeight="1" x14ac:dyDescent="0.2">
      <c r="B36" s="283" t="s">
        <v>1007</v>
      </c>
      <c r="C36" s="146"/>
      <c r="D36" s="146">
        <f t="shared" si="7"/>
        <v>0.25606148691286251</v>
      </c>
      <c r="E36" s="146">
        <f t="shared" ref="E36:AQ36" si="11">D36+E18</f>
        <v>0.66575986597344261</v>
      </c>
      <c r="F36" s="146">
        <f t="shared" si="11"/>
        <v>1.2060496033595827</v>
      </c>
      <c r="G36" s="146">
        <f t="shared" si="11"/>
        <v>1.8573419953224486</v>
      </c>
      <c r="H36" s="146">
        <f t="shared" si="11"/>
        <v>2.6029866436755316</v>
      </c>
      <c r="I36" s="146">
        <f t="shared" si="11"/>
        <v>3.428830709960299</v>
      </c>
      <c r="J36" s="146">
        <f t="shared" si="11"/>
        <v>4.3228442814869981</v>
      </c>
      <c r="K36" s="146">
        <f t="shared" si="11"/>
        <v>5.2748019324693391</v>
      </c>
      <c r="L36" s="146">
        <f t="shared" si="11"/>
        <v>6.2760120509889763</v>
      </c>
      <c r="M36" s="146">
        <f t="shared" si="11"/>
        <v>7.3190867669153148</v>
      </c>
      <c r="N36" s="146">
        <f t="shared" si="11"/>
        <v>8.3977463906373497</v>
      </c>
      <c r="O36" s="146">
        <f t="shared" si="11"/>
        <v>9.4764060143593838</v>
      </c>
      <c r="P36" s="146">
        <f t="shared" si="11"/>
        <v>10.555065638081418</v>
      </c>
      <c r="Q36" s="146">
        <f t="shared" si="11"/>
        <v>11.633725261803452</v>
      </c>
      <c r="R36" s="146">
        <f t="shared" si="11"/>
        <v>12.712384885525486</v>
      </c>
      <c r="S36" s="146">
        <f t="shared" si="11"/>
        <v>13.79104450924752</v>
      </c>
      <c r="T36" s="146">
        <f t="shared" si="11"/>
        <v>14.869704132969554</v>
      </c>
      <c r="U36" s="146">
        <f t="shared" si="11"/>
        <v>15.948363756691588</v>
      </c>
      <c r="V36" s="146">
        <f t="shared" si="11"/>
        <v>17.027023380413624</v>
      </c>
      <c r="W36" s="146">
        <f t="shared" si="11"/>
        <v>18.10568300413566</v>
      </c>
      <c r="X36" s="146">
        <f t="shared" si="11"/>
        <v>19.184342627857696</v>
      </c>
      <c r="Y36" s="146">
        <f t="shared" si="11"/>
        <v>20.263002251579731</v>
      </c>
      <c r="Z36" s="146">
        <f t="shared" si="11"/>
        <v>21.341661875301767</v>
      </c>
      <c r="AA36" s="146">
        <f t="shared" si="11"/>
        <v>22.420321499023803</v>
      </c>
      <c r="AB36" s="146">
        <f t="shared" si="11"/>
        <v>23.498981122745839</v>
      </c>
      <c r="AC36" s="146">
        <f t="shared" si="11"/>
        <v>24.577640746467875</v>
      </c>
      <c r="AD36" s="146">
        <f t="shared" si="11"/>
        <v>25.656300370189911</v>
      </c>
      <c r="AE36" s="146">
        <f t="shared" si="11"/>
        <v>26.734959993911946</v>
      </c>
      <c r="AF36" s="146">
        <f t="shared" si="11"/>
        <v>27.813619617633982</v>
      </c>
      <c r="AG36" s="146">
        <f t="shared" si="11"/>
        <v>28.892279241356018</v>
      </c>
      <c r="AH36" s="146">
        <f t="shared" si="11"/>
        <v>29.970938865078054</v>
      </c>
      <c r="AI36" s="146">
        <f t="shared" si="11"/>
        <v>31.04959848880009</v>
      </c>
      <c r="AJ36" s="146">
        <f t="shared" si="11"/>
        <v>32.128258112522126</v>
      </c>
      <c r="AK36" s="146">
        <f t="shared" si="11"/>
        <v>33.206917736244158</v>
      </c>
      <c r="AL36" s="146">
        <f t="shared" si="11"/>
        <v>34.28557735996619</v>
      </c>
      <c r="AM36" s="146">
        <f t="shared" si="11"/>
        <v>35.364236983688222</v>
      </c>
      <c r="AN36" s="146">
        <f t="shared" si="11"/>
        <v>36.442896607410255</v>
      </c>
      <c r="AO36" s="146">
        <f t="shared" si="11"/>
        <v>37.521556231132287</v>
      </c>
      <c r="AP36" s="146">
        <f t="shared" si="11"/>
        <v>38.600215854854319</v>
      </c>
      <c r="AQ36" s="146">
        <f t="shared" si="11"/>
        <v>39.678875478576352</v>
      </c>
    </row>
    <row r="37" spans="2:43" s="253" customFormat="1" ht="12.95" customHeight="1" x14ac:dyDescent="0.2">
      <c r="B37" s="283" t="s">
        <v>1025</v>
      </c>
      <c r="C37" s="146"/>
      <c r="D37" s="146">
        <f t="shared" si="7"/>
        <v>0</v>
      </c>
      <c r="E37" s="146">
        <f t="shared" ref="E37:AQ37" si="12">D37+E19</f>
        <v>0</v>
      </c>
      <c r="F37" s="146">
        <f t="shared" si="12"/>
        <v>0</v>
      </c>
      <c r="G37" s="146">
        <f t="shared" si="12"/>
        <v>0</v>
      </c>
      <c r="H37" s="146">
        <f t="shared" si="12"/>
        <v>0</v>
      </c>
      <c r="I37" s="146">
        <f t="shared" si="12"/>
        <v>0</v>
      </c>
      <c r="J37" s="146">
        <f t="shared" si="12"/>
        <v>0</v>
      </c>
      <c r="K37" s="146">
        <f t="shared" si="12"/>
        <v>0</v>
      </c>
      <c r="L37" s="146">
        <f t="shared" si="12"/>
        <v>0</v>
      </c>
      <c r="M37" s="146">
        <f t="shared" si="12"/>
        <v>0</v>
      </c>
      <c r="N37" s="146">
        <f t="shared" si="12"/>
        <v>0</v>
      </c>
      <c r="O37" s="146">
        <f t="shared" si="12"/>
        <v>0</v>
      </c>
      <c r="P37" s="146">
        <f t="shared" si="12"/>
        <v>0</v>
      </c>
      <c r="Q37" s="146">
        <f t="shared" si="12"/>
        <v>0</v>
      </c>
      <c r="R37" s="146">
        <f t="shared" si="12"/>
        <v>0</v>
      </c>
      <c r="S37" s="146">
        <f t="shared" si="12"/>
        <v>0</v>
      </c>
      <c r="T37" s="146">
        <f t="shared" si="12"/>
        <v>0</v>
      </c>
      <c r="U37" s="146">
        <f t="shared" si="12"/>
        <v>0</v>
      </c>
      <c r="V37" s="146">
        <f t="shared" si="12"/>
        <v>0</v>
      </c>
      <c r="W37" s="146">
        <f t="shared" si="12"/>
        <v>0</v>
      </c>
      <c r="X37" s="146">
        <f t="shared" si="12"/>
        <v>0</v>
      </c>
      <c r="Y37" s="146">
        <f t="shared" si="12"/>
        <v>0</v>
      </c>
      <c r="Z37" s="146">
        <f t="shared" si="12"/>
        <v>0</v>
      </c>
      <c r="AA37" s="146">
        <f t="shared" si="12"/>
        <v>0</v>
      </c>
      <c r="AB37" s="146">
        <f t="shared" si="12"/>
        <v>0</v>
      </c>
      <c r="AC37" s="146">
        <f t="shared" si="12"/>
        <v>0</v>
      </c>
      <c r="AD37" s="146">
        <f t="shared" si="12"/>
        <v>0</v>
      </c>
      <c r="AE37" s="146">
        <f t="shared" si="12"/>
        <v>0</v>
      </c>
      <c r="AF37" s="146">
        <f t="shared" si="12"/>
        <v>0</v>
      </c>
      <c r="AG37" s="146">
        <f t="shared" si="12"/>
        <v>0</v>
      </c>
      <c r="AH37" s="146">
        <f t="shared" si="12"/>
        <v>0</v>
      </c>
      <c r="AI37" s="146">
        <f t="shared" si="12"/>
        <v>0</v>
      </c>
      <c r="AJ37" s="146">
        <f t="shared" si="12"/>
        <v>0</v>
      </c>
      <c r="AK37" s="146">
        <f t="shared" si="12"/>
        <v>0</v>
      </c>
      <c r="AL37" s="146">
        <f t="shared" si="12"/>
        <v>0</v>
      </c>
      <c r="AM37" s="146">
        <f t="shared" si="12"/>
        <v>0</v>
      </c>
      <c r="AN37" s="146">
        <f t="shared" si="12"/>
        <v>0</v>
      </c>
      <c r="AO37" s="146">
        <f t="shared" si="12"/>
        <v>0</v>
      </c>
      <c r="AP37" s="146">
        <f t="shared" si="12"/>
        <v>0</v>
      </c>
      <c r="AQ37" s="146">
        <f t="shared" si="12"/>
        <v>0</v>
      </c>
    </row>
    <row r="38" spans="2:43" s="253" customFormat="1" ht="12.95" customHeight="1" x14ac:dyDescent="0.2">
      <c r="B38" s="283" t="s">
        <v>1009</v>
      </c>
      <c r="C38" s="146"/>
      <c r="D38" s="146">
        <f t="shared" si="7"/>
        <v>0</v>
      </c>
      <c r="E38" s="146">
        <f t="shared" ref="E38:AQ38" si="13">D38+E20</f>
        <v>0</v>
      </c>
      <c r="F38" s="146">
        <f t="shared" si="13"/>
        <v>0</v>
      </c>
      <c r="G38" s="146">
        <f t="shared" si="13"/>
        <v>0</v>
      </c>
      <c r="H38" s="146">
        <f t="shared" si="13"/>
        <v>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146">
        <f t="shared" si="13"/>
        <v>0</v>
      </c>
      <c r="S38" s="146">
        <f t="shared" si="13"/>
        <v>0</v>
      </c>
      <c r="T38" s="146">
        <f t="shared" si="13"/>
        <v>0</v>
      </c>
      <c r="U38" s="146">
        <f t="shared" si="13"/>
        <v>0</v>
      </c>
      <c r="V38" s="146">
        <f t="shared" si="13"/>
        <v>0</v>
      </c>
      <c r="W38" s="146">
        <f t="shared" si="13"/>
        <v>0</v>
      </c>
      <c r="X38" s="146">
        <f t="shared" si="13"/>
        <v>0</v>
      </c>
      <c r="Y38" s="146">
        <f t="shared" si="13"/>
        <v>0</v>
      </c>
      <c r="Z38" s="146">
        <f t="shared" si="13"/>
        <v>0</v>
      </c>
      <c r="AA38" s="146">
        <f t="shared" si="13"/>
        <v>0</v>
      </c>
      <c r="AB38" s="146">
        <f t="shared" si="13"/>
        <v>0</v>
      </c>
      <c r="AC38" s="146">
        <f t="shared" si="13"/>
        <v>0</v>
      </c>
      <c r="AD38" s="146">
        <f t="shared" si="13"/>
        <v>0</v>
      </c>
      <c r="AE38" s="146">
        <f t="shared" si="13"/>
        <v>0</v>
      </c>
      <c r="AF38" s="146">
        <f t="shared" si="13"/>
        <v>0</v>
      </c>
      <c r="AG38" s="146">
        <f t="shared" si="13"/>
        <v>0</v>
      </c>
      <c r="AH38" s="146">
        <f t="shared" si="13"/>
        <v>0</v>
      </c>
      <c r="AI38" s="146">
        <f t="shared" si="13"/>
        <v>0</v>
      </c>
      <c r="AJ38" s="146">
        <f t="shared" si="13"/>
        <v>0</v>
      </c>
      <c r="AK38" s="146">
        <f t="shared" si="13"/>
        <v>0</v>
      </c>
      <c r="AL38" s="146">
        <f t="shared" si="13"/>
        <v>0</v>
      </c>
      <c r="AM38" s="146">
        <f t="shared" si="13"/>
        <v>0</v>
      </c>
      <c r="AN38" s="146">
        <f t="shared" si="13"/>
        <v>0</v>
      </c>
      <c r="AO38" s="146">
        <f t="shared" si="13"/>
        <v>0</v>
      </c>
      <c r="AP38" s="146">
        <f t="shared" si="13"/>
        <v>0</v>
      </c>
      <c r="AQ38" s="146">
        <f t="shared" si="13"/>
        <v>0</v>
      </c>
    </row>
    <row r="39" spans="2:43" s="253" customFormat="1" ht="12.95" customHeight="1" x14ac:dyDescent="0.2">
      <c r="B39" s="305" t="s">
        <v>1016</v>
      </c>
      <c r="C39" s="306"/>
      <c r="D39" s="306">
        <f>SUM(D33:D38)</f>
        <v>0.51212297382572503</v>
      </c>
      <c r="E39" s="306">
        <f t="shared" ref="E39:AQ39" si="14">SUM(E33:E38)</f>
        <v>1.3315197319468852</v>
      </c>
      <c r="F39" s="306">
        <f t="shared" si="14"/>
        <v>2.4120992067191653</v>
      </c>
      <c r="G39" s="306">
        <f t="shared" si="14"/>
        <v>3.7146839906448972</v>
      </c>
      <c r="H39" s="306">
        <f t="shared" si="14"/>
        <v>5.2059732873510631</v>
      </c>
      <c r="I39" s="306">
        <f t="shared" si="14"/>
        <v>6.8576614199205981</v>
      </c>
      <c r="J39" s="306">
        <f t="shared" si="14"/>
        <v>8.6456885629739961</v>
      </c>
      <c r="K39" s="306">
        <f t="shared" si="14"/>
        <v>10.549603864938678</v>
      </c>
      <c r="L39" s="306">
        <f t="shared" si="14"/>
        <v>12.552024101977953</v>
      </c>
      <c r="M39" s="306">
        <f t="shared" si="14"/>
        <v>14.63817353383063</v>
      </c>
      <c r="N39" s="306">
        <f t="shared" si="14"/>
        <v>16.795492781274699</v>
      </c>
      <c r="O39" s="306">
        <f t="shared" si="14"/>
        <v>18.98305920034511</v>
      </c>
      <c r="P39" s="306">
        <f t="shared" si="14"/>
        <v>21.196335715297913</v>
      </c>
      <c r="Q39" s="306">
        <f t="shared" si="14"/>
        <v>23.431465811750744</v>
      </c>
      <c r="R39" s="306">
        <f t="shared" si="14"/>
        <v>25.685171452478606</v>
      </c>
      <c r="S39" s="306">
        <f t="shared" si="14"/>
        <v>27.954666305840238</v>
      </c>
      <c r="T39" s="306">
        <f t="shared" si="14"/>
        <v>30.23758198994058</v>
      </c>
      <c r="U39" s="306">
        <f t="shared" si="14"/>
        <v>32.531905380168823</v>
      </c>
      <c r="V39" s="306">
        <f t="shared" si="14"/>
        <v>34.835925320605782</v>
      </c>
      <c r="W39" s="306">
        <f t="shared" si="14"/>
        <v>37.148187328720141</v>
      </c>
      <c r="X39" s="306">
        <f t="shared" si="14"/>
        <v>39.467455094360311</v>
      </c>
      <c r="Y39" s="306">
        <f t="shared" si="14"/>
        <v>41.792677753897408</v>
      </c>
      <c r="Z39" s="306">
        <f t="shared" si="14"/>
        <v>44.122962073246882</v>
      </c>
      <c r="AA39" s="306">
        <f t="shared" si="14"/>
        <v>46.457548803436893</v>
      </c>
      <c r="AB39" s="306">
        <f t="shared" si="14"/>
        <v>48.795792582841358</v>
      </c>
      <c r="AC39" s="306">
        <f t="shared" si="14"/>
        <v>51.134036362245823</v>
      </c>
      <c r="AD39" s="306">
        <f t="shared" si="14"/>
        <v>53.47228014165028</v>
      </c>
      <c r="AE39" s="306">
        <f t="shared" si="14"/>
        <v>55.810523921054738</v>
      </c>
      <c r="AF39" s="306">
        <f t="shared" si="14"/>
        <v>58.148767700459203</v>
      </c>
      <c r="AG39" s="306">
        <f t="shared" si="14"/>
        <v>60.487011479863668</v>
      </c>
      <c r="AH39" s="306">
        <f t="shared" si="14"/>
        <v>62.825255259268125</v>
      </c>
      <c r="AI39" s="306">
        <f t="shared" si="14"/>
        <v>65.163499038672583</v>
      </c>
      <c r="AJ39" s="306">
        <f t="shared" si="14"/>
        <v>67.501742818077048</v>
      </c>
      <c r="AK39" s="306">
        <f t="shared" si="14"/>
        <v>69.839986597481499</v>
      </c>
      <c r="AL39" s="306">
        <f t="shared" si="14"/>
        <v>72.178230376885963</v>
      </c>
      <c r="AM39" s="306">
        <f t="shared" si="14"/>
        <v>74.516474156290428</v>
      </c>
      <c r="AN39" s="306">
        <f t="shared" si="14"/>
        <v>76.854717935694879</v>
      </c>
      <c r="AO39" s="306">
        <f t="shared" si="14"/>
        <v>79.192961715099329</v>
      </c>
      <c r="AP39" s="306">
        <f t="shared" si="14"/>
        <v>81.531205494503794</v>
      </c>
      <c r="AQ39" s="306">
        <f t="shared" si="14"/>
        <v>83.869449273908259</v>
      </c>
    </row>
    <row r="40" spans="2:43" s="253" customFormat="1" ht="12.95" customHeight="1" x14ac:dyDescent="0.2">
      <c r="B40" s="283"/>
      <c r="C40" s="146"/>
      <c r="D40" s="146"/>
      <c r="E40" s="146"/>
      <c r="F40" s="146"/>
      <c r="G40" s="146"/>
      <c r="H40" s="146"/>
      <c r="I40" s="146"/>
      <c r="J40" s="146"/>
      <c r="K40" s="146"/>
      <c r="L40" s="146"/>
      <c r="M40" s="146"/>
      <c r="N40" s="146"/>
      <c r="O40" s="146"/>
      <c r="P40" s="146"/>
      <c r="Q40" s="146"/>
      <c r="R40" s="146"/>
      <c r="S40" s="146"/>
      <c r="T40" s="146"/>
      <c r="U40" s="146"/>
      <c r="V40" s="146"/>
      <c r="W40" s="146"/>
      <c r="X40" s="146"/>
      <c r="Y40" s="146"/>
      <c r="Z40" s="146"/>
      <c r="AA40" s="146"/>
      <c r="AB40" s="146"/>
      <c r="AC40" s="146"/>
      <c r="AD40" s="146"/>
      <c r="AE40" s="146"/>
      <c r="AF40" s="146"/>
      <c r="AG40" s="146"/>
      <c r="AH40" s="146"/>
      <c r="AI40" s="146"/>
      <c r="AJ40" s="146"/>
      <c r="AK40" s="146"/>
      <c r="AL40" s="146"/>
      <c r="AM40" s="146"/>
      <c r="AN40" s="146"/>
      <c r="AO40" s="146"/>
      <c r="AP40" s="146"/>
      <c r="AQ40" s="146"/>
    </row>
    <row r="41" spans="2:43" s="121" customFormat="1" ht="12.95" customHeight="1" x14ac:dyDescent="0.3">
      <c r="B41" s="121" t="s">
        <v>980</v>
      </c>
      <c r="C41" s="303"/>
      <c r="D41" s="303"/>
      <c r="E41" s="303"/>
      <c r="F41" s="303"/>
      <c r="G41" s="170"/>
      <c r="H41" s="170"/>
      <c r="I41" s="170"/>
      <c r="J41" s="170"/>
      <c r="K41" s="170"/>
      <c r="L41" s="170"/>
      <c r="M41" s="170"/>
      <c r="N41" s="170"/>
      <c r="O41" s="170"/>
      <c r="P41" s="303"/>
      <c r="Q41" s="303"/>
      <c r="R41" s="303"/>
      <c r="S41" s="303"/>
      <c r="T41" s="303"/>
      <c r="U41" s="303"/>
      <c r="V41" s="303"/>
      <c r="W41" s="303"/>
      <c r="X41" s="303"/>
      <c r="Y41" s="303"/>
      <c r="Z41" s="303"/>
      <c r="AA41" s="303"/>
      <c r="AB41" s="303"/>
      <c r="AC41" s="303"/>
      <c r="AD41" s="303"/>
      <c r="AE41" s="303"/>
      <c r="AF41" s="303"/>
      <c r="AG41" s="303"/>
      <c r="AH41" s="303"/>
      <c r="AI41" s="303"/>
      <c r="AJ41" s="303"/>
      <c r="AK41" s="303"/>
      <c r="AL41" s="303"/>
      <c r="AM41" s="303"/>
      <c r="AN41" s="303"/>
      <c r="AO41" s="303"/>
      <c r="AP41" s="303"/>
      <c r="AQ41" s="303"/>
    </row>
    <row r="42" spans="2:43" s="253" customFormat="1" ht="12.95" customHeight="1" x14ac:dyDescent="0.2">
      <c r="B42" s="283" t="s">
        <v>1008</v>
      </c>
      <c r="C42" s="146"/>
      <c r="D42" s="146">
        <f>HERB!$F$32/10^6</f>
        <v>0</v>
      </c>
      <c r="E42" s="146">
        <f>$D42+D42</f>
        <v>0</v>
      </c>
      <c r="F42" s="146">
        <f t="shared" ref="F42:AQ42" si="15">$D42+E42</f>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146">
        <f t="shared" si="15"/>
        <v>0</v>
      </c>
      <c r="S42" s="146">
        <f t="shared" si="15"/>
        <v>0</v>
      </c>
      <c r="T42" s="146">
        <f t="shared" si="15"/>
        <v>0</v>
      </c>
      <c r="U42" s="146">
        <f t="shared" si="15"/>
        <v>0</v>
      </c>
      <c r="V42" s="146">
        <f t="shared" si="15"/>
        <v>0</v>
      </c>
      <c r="W42" s="146">
        <f t="shared" si="15"/>
        <v>0</v>
      </c>
      <c r="X42" s="146">
        <f t="shared" si="15"/>
        <v>0</v>
      </c>
      <c r="Y42" s="146">
        <f t="shared" si="15"/>
        <v>0</v>
      </c>
      <c r="Z42" s="146">
        <f t="shared" si="15"/>
        <v>0</v>
      </c>
      <c r="AA42" s="146">
        <f t="shared" si="15"/>
        <v>0</v>
      </c>
      <c r="AB42" s="146">
        <f t="shared" si="15"/>
        <v>0</v>
      </c>
      <c r="AC42" s="146">
        <f t="shared" si="15"/>
        <v>0</v>
      </c>
      <c r="AD42" s="146">
        <f t="shared" si="15"/>
        <v>0</v>
      </c>
      <c r="AE42" s="146">
        <f t="shared" si="15"/>
        <v>0</v>
      </c>
      <c r="AF42" s="146">
        <f t="shared" si="15"/>
        <v>0</v>
      </c>
      <c r="AG42" s="146">
        <f t="shared" si="15"/>
        <v>0</v>
      </c>
      <c r="AH42" s="146">
        <f t="shared" si="15"/>
        <v>0</v>
      </c>
      <c r="AI42" s="146">
        <f t="shared" si="15"/>
        <v>0</v>
      </c>
      <c r="AJ42" s="146">
        <f t="shared" si="15"/>
        <v>0</v>
      </c>
      <c r="AK42" s="146">
        <f t="shared" si="15"/>
        <v>0</v>
      </c>
      <c r="AL42" s="146">
        <f t="shared" si="15"/>
        <v>0</v>
      </c>
      <c r="AM42" s="146">
        <f t="shared" si="15"/>
        <v>0</v>
      </c>
      <c r="AN42" s="146">
        <f t="shared" si="15"/>
        <v>0</v>
      </c>
      <c r="AO42" s="146">
        <f t="shared" si="15"/>
        <v>0</v>
      </c>
      <c r="AP42" s="146">
        <f t="shared" si="15"/>
        <v>0</v>
      </c>
      <c r="AQ42" s="146">
        <f t="shared" si="15"/>
        <v>0</v>
      </c>
    </row>
    <row r="43" spans="2:43" s="253" customFormat="1" ht="12.95" customHeight="1" x14ac:dyDescent="0.2">
      <c r="B43" s="283" t="s">
        <v>446</v>
      </c>
      <c r="C43" s="146"/>
      <c r="D43" s="146">
        <f>SRWC!$F$34/10^6</f>
        <v>0</v>
      </c>
      <c r="E43" s="146">
        <f t="shared" ref="E43:AQ43" si="16">$D43+D43</f>
        <v>0</v>
      </c>
      <c r="F43" s="146">
        <f t="shared" si="16"/>
        <v>0</v>
      </c>
      <c r="G43" s="146">
        <f t="shared" si="16"/>
        <v>0</v>
      </c>
      <c r="H43" s="146">
        <f t="shared" si="16"/>
        <v>0</v>
      </c>
      <c r="I43" s="146">
        <f t="shared" si="16"/>
        <v>0</v>
      </c>
      <c r="J43" s="146">
        <f t="shared" si="16"/>
        <v>0</v>
      </c>
      <c r="K43" s="146">
        <f t="shared" si="16"/>
        <v>0</v>
      </c>
      <c r="L43" s="146">
        <f t="shared" si="16"/>
        <v>0</v>
      </c>
      <c r="M43" s="146">
        <f t="shared" si="16"/>
        <v>0</v>
      </c>
      <c r="N43" s="146">
        <f t="shared" si="16"/>
        <v>0</v>
      </c>
      <c r="O43" s="146">
        <f t="shared" si="16"/>
        <v>0</v>
      </c>
      <c r="P43" s="146">
        <f t="shared" si="16"/>
        <v>0</v>
      </c>
      <c r="Q43" s="146">
        <f t="shared" si="16"/>
        <v>0</v>
      </c>
      <c r="R43" s="146">
        <f t="shared" si="16"/>
        <v>0</v>
      </c>
      <c r="S43" s="146">
        <f t="shared" si="16"/>
        <v>0</v>
      </c>
      <c r="T43" s="146">
        <f t="shared" si="16"/>
        <v>0</v>
      </c>
      <c r="U43" s="146">
        <f t="shared" si="16"/>
        <v>0</v>
      </c>
      <c r="V43" s="146">
        <f t="shared" si="16"/>
        <v>0</v>
      </c>
      <c r="W43" s="146">
        <f t="shared" si="16"/>
        <v>0</v>
      </c>
      <c r="X43" s="146">
        <f t="shared" si="16"/>
        <v>0</v>
      </c>
      <c r="Y43" s="146">
        <f t="shared" si="16"/>
        <v>0</v>
      </c>
      <c r="Z43" s="146">
        <f t="shared" si="16"/>
        <v>0</v>
      </c>
      <c r="AA43" s="146">
        <f t="shared" si="16"/>
        <v>0</v>
      </c>
      <c r="AB43" s="146">
        <f t="shared" si="16"/>
        <v>0</v>
      </c>
      <c r="AC43" s="146">
        <f t="shared" si="16"/>
        <v>0</v>
      </c>
      <c r="AD43" s="146">
        <f t="shared" si="16"/>
        <v>0</v>
      </c>
      <c r="AE43" s="146">
        <f t="shared" si="16"/>
        <v>0</v>
      </c>
      <c r="AF43" s="146">
        <f t="shared" si="16"/>
        <v>0</v>
      </c>
      <c r="AG43" s="146">
        <f t="shared" si="16"/>
        <v>0</v>
      </c>
      <c r="AH43" s="146">
        <f t="shared" si="16"/>
        <v>0</v>
      </c>
      <c r="AI43" s="146">
        <f t="shared" si="16"/>
        <v>0</v>
      </c>
      <c r="AJ43" s="146">
        <f t="shared" si="16"/>
        <v>0</v>
      </c>
      <c r="AK43" s="146">
        <f t="shared" si="16"/>
        <v>0</v>
      </c>
      <c r="AL43" s="146">
        <f t="shared" si="16"/>
        <v>0</v>
      </c>
      <c r="AM43" s="146">
        <f t="shared" si="16"/>
        <v>0</v>
      </c>
      <c r="AN43" s="146">
        <f t="shared" si="16"/>
        <v>0</v>
      </c>
      <c r="AO43" s="146">
        <f t="shared" si="16"/>
        <v>0</v>
      </c>
      <c r="AP43" s="146">
        <f t="shared" si="16"/>
        <v>0</v>
      </c>
      <c r="AQ43" s="146">
        <f t="shared" si="16"/>
        <v>0</v>
      </c>
    </row>
    <row r="44" spans="2:43" s="253" customFormat="1" ht="12.95" customHeight="1" x14ac:dyDescent="0.2">
      <c r="B44" s="283" t="s">
        <v>1006</v>
      </c>
      <c r="C44" s="146"/>
      <c r="D44" s="146">
        <f>LOG!$F$35/10^6</f>
        <v>3.8323503592657744E-2</v>
      </c>
      <c r="E44" s="146">
        <f t="shared" ref="E44:AQ44" si="17">$D44+D44</f>
        <v>7.6647007185315488E-2</v>
      </c>
      <c r="F44" s="146">
        <f t="shared" si="17"/>
        <v>0.11497051077797324</v>
      </c>
      <c r="G44" s="146">
        <f t="shared" si="17"/>
        <v>0.15329401437063098</v>
      </c>
      <c r="H44" s="146">
        <f t="shared" si="17"/>
        <v>0.19161751796328871</v>
      </c>
      <c r="I44" s="146">
        <f t="shared" si="17"/>
        <v>0.22994102155594645</v>
      </c>
      <c r="J44" s="146">
        <f t="shared" si="17"/>
        <v>0.26826452514860422</v>
      </c>
      <c r="K44" s="146">
        <f t="shared" si="17"/>
        <v>0.30658802874126195</v>
      </c>
      <c r="L44" s="146">
        <f t="shared" si="17"/>
        <v>0.34491153233391969</v>
      </c>
      <c r="M44" s="146">
        <f t="shared" si="17"/>
        <v>0.38323503592657743</v>
      </c>
      <c r="N44" s="146">
        <f t="shared" si="17"/>
        <v>0.42155853951923516</v>
      </c>
      <c r="O44" s="146">
        <f t="shared" si="17"/>
        <v>0.4598820431118929</v>
      </c>
      <c r="P44" s="146">
        <f t="shared" si="17"/>
        <v>0.49820554670455064</v>
      </c>
      <c r="Q44" s="146">
        <f t="shared" si="17"/>
        <v>0.53652905029720843</v>
      </c>
      <c r="R44" s="146">
        <f t="shared" si="17"/>
        <v>0.57485255388986622</v>
      </c>
      <c r="S44" s="146">
        <f t="shared" si="17"/>
        <v>0.61317605748252402</v>
      </c>
      <c r="T44" s="146">
        <f t="shared" si="17"/>
        <v>0.65149956107518181</v>
      </c>
      <c r="U44" s="146">
        <f t="shared" si="17"/>
        <v>0.6898230646678396</v>
      </c>
      <c r="V44" s="146">
        <f t="shared" si="17"/>
        <v>0.7281465682604974</v>
      </c>
      <c r="W44" s="146">
        <f t="shared" si="17"/>
        <v>0.76647007185315519</v>
      </c>
      <c r="X44" s="146">
        <f t="shared" si="17"/>
        <v>0.80479357544581298</v>
      </c>
      <c r="Y44" s="146">
        <f t="shared" si="17"/>
        <v>0.84311707903847077</v>
      </c>
      <c r="Z44" s="146">
        <f t="shared" si="17"/>
        <v>0.88144058263112857</v>
      </c>
      <c r="AA44" s="146">
        <f t="shared" si="17"/>
        <v>0.91976408622378636</v>
      </c>
      <c r="AB44" s="146">
        <f t="shared" si="17"/>
        <v>0.95808758981644415</v>
      </c>
      <c r="AC44" s="146">
        <f t="shared" si="17"/>
        <v>0.99641109340910194</v>
      </c>
      <c r="AD44" s="146">
        <f t="shared" si="17"/>
        <v>1.0347345970017596</v>
      </c>
      <c r="AE44" s="146">
        <f t="shared" si="17"/>
        <v>1.0730581005944173</v>
      </c>
      <c r="AF44" s="146">
        <f t="shared" si="17"/>
        <v>1.111381604187075</v>
      </c>
      <c r="AG44" s="146">
        <f t="shared" si="17"/>
        <v>1.1497051077797327</v>
      </c>
      <c r="AH44" s="146">
        <f t="shared" si="17"/>
        <v>1.1880286113723904</v>
      </c>
      <c r="AI44" s="146">
        <f t="shared" si="17"/>
        <v>1.226352114965048</v>
      </c>
      <c r="AJ44" s="146">
        <f t="shared" si="17"/>
        <v>1.2646756185577057</v>
      </c>
      <c r="AK44" s="146">
        <f t="shared" si="17"/>
        <v>1.3029991221503634</v>
      </c>
      <c r="AL44" s="146">
        <f t="shared" si="17"/>
        <v>1.3413226257430211</v>
      </c>
      <c r="AM44" s="146">
        <f t="shared" si="17"/>
        <v>1.3796461293356788</v>
      </c>
      <c r="AN44" s="146">
        <f t="shared" si="17"/>
        <v>1.4179696329283364</v>
      </c>
      <c r="AO44" s="146">
        <f t="shared" si="17"/>
        <v>1.4562931365209941</v>
      </c>
      <c r="AP44" s="146">
        <f t="shared" si="17"/>
        <v>1.4946166401136518</v>
      </c>
      <c r="AQ44" s="146">
        <f t="shared" si="17"/>
        <v>1.5329401437063095</v>
      </c>
    </row>
    <row r="45" spans="2:43" s="253" customFormat="1" ht="12.95" customHeight="1" x14ac:dyDescent="0.2">
      <c r="B45" s="283" t="s">
        <v>1007</v>
      </c>
      <c r="C45" s="146"/>
      <c r="D45" s="146">
        <f>THIN!$F$42/10^6</f>
        <v>7.6647007185315488E-2</v>
      </c>
      <c r="E45" s="146">
        <f t="shared" ref="E45:AQ45" si="18">$D45+D45</f>
        <v>0.15329401437063098</v>
      </c>
      <c r="F45" s="146">
        <f t="shared" si="18"/>
        <v>0.22994102155594648</v>
      </c>
      <c r="G45" s="146">
        <f t="shared" si="18"/>
        <v>0.30658802874126195</v>
      </c>
      <c r="H45" s="146">
        <f t="shared" si="18"/>
        <v>0.38323503592657743</v>
      </c>
      <c r="I45" s="146">
        <f t="shared" si="18"/>
        <v>0.4598820431118929</v>
      </c>
      <c r="J45" s="146">
        <f t="shared" si="18"/>
        <v>0.53652905029720843</v>
      </c>
      <c r="K45" s="146">
        <f t="shared" si="18"/>
        <v>0.61317605748252391</v>
      </c>
      <c r="L45" s="146">
        <f t="shared" si="18"/>
        <v>0.68982306466783938</v>
      </c>
      <c r="M45" s="146">
        <f t="shared" si="18"/>
        <v>0.76647007185315486</v>
      </c>
      <c r="N45" s="146">
        <f t="shared" si="18"/>
        <v>0.84311707903847033</v>
      </c>
      <c r="O45" s="146">
        <f t="shared" si="18"/>
        <v>0.9197640862237858</v>
      </c>
      <c r="P45" s="146">
        <f t="shared" si="18"/>
        <v>0.99641109340910128</v>
      </c>
      <c r="Q45" s="146">
        <f t="shared" si="18"/>
        <v>1.0730581005944169</v>
      </c>
      <c r="R45" s="146">
        <f t="shared" si="18"/>
        <v>1.1497051077797324</v>
      </c>
      <c r="S45" s="146">
        <f t="shared" si="18"/>
        <v>1.226352114965048</v>
      </c>
      <c r="T45" s="146">
        <f t="shared" si="18"/>
        <v>1.3029991221503636</v>
      </c>
      <c r="U45" s="146">
        <f t="shared" si="18"/>
        <v>1.3796461293356792</v>
      </c>
      <c r="V45" s="146">
        <f t="shared" si="18"/>
        <v>1.4562931365209948</v>
      </c>
      <c r="W45" s="146">
        <f t="shared" si="18"/>
        <v>1.5329401437063104</v>
      </c>
      <c r="X45" s="146">
        <f t="shared" si="18"/>
        <v>1.609587150891626</v>
      </c>
      <c r="Y45" s="146">
        <f t="shared" si="18"/>
        <v>1.6862341580769415</v>
      </c>
      <c r="Z45" s="146">
        <f t="shared" si="18"/>
        <v>1.7628811652622571</v>
      </c>
      <c r="AA45" s="146">
        <f t="shared" si="18"/>
        <v>1.8395281724475727</v>
      </c>
      <c r="AB45" s="146">
        <f t="shared" si="18"/>
        <v>1.9161751796328883</v>
      </c>
      <c r="AC45" s="146">
        <f t="shared" si="18"/>
        <v>1.9928221868182039</v>
      </c>
      <c r="AD45" s="146">
        <f t="shared" si="18"/>
        <v>2.0694691940035193</v>
      </c>
      <c r="AE45" s="146">
        <f t="shared" si="18"/>
        <v>2.1461162011888346</v>
      </c>
      <c r="AF45" s="146">
        <f t="shared" si="18"/>
        <v>2.22276320837415</v>
      </c>
      <c r="AG45" s="146">
        <f t="shared" si="18"/>
        <v>2.2994102155594653</v>
      </c>
      <c r="AH45" s="146">
        <f t="shared" si="18"/>
        <v>2.3760572227447807</v>
      </c>
      <c r="AI45" s="146">
        <f t="shared" si="18"/>
        <v>2.4527042299300961</v>
      </c>
      <c r="AJ45" s="146">
        <f t="shared" si="18"/>
        <v>2.5293512371154114</v>
      </c>
      <c r="AK45" s="146">
        <f t="shared" si="18"/>
        <v>2.6059982443007268</v>
      </c>
      <c r="AL45" s="146">
        <f t="shared" si="18"/>
        <v>2.6826452514860422</v>
      </c>
      <c r="AM45" s="146">
        <f t="shared" si="18"/>
        <v>2.7592922586713575</v>
      </c>
      <c r="AN45" s="146">
        <f t="shared" si="18"/>
        <v>2.8359392658566729</v>
      </c>
      <c r="AO45" s="146">
        <f t="shared" si="18"/>
        <v>2.9125862730419882</v>
      </c>
      <c r="AP45" s="146">
        <f t="shared" si="18"/>
        <v>2.9892332802273036</v>
      </c>
      <c r="AQ45" s="146">
        <f t="shared" si="18"/>
        <v>3.065880287412619</v>
      </c>
    </row>
    <row r="46" spans="2:43" s="253" customFormat="1" ht="12.95" customHeight="1" x14ac:dyDescent="0.2">
      <c r="B46" s="283" t="s">
        <v>1025</v>
      </c>
      <c r="C46" s="146"/>
      <c r="D46" s="146">
        <f>SLASH!$F$36/10^6</f>
        <v>0</v>
      </c>
      <c r="E46" s="146">
        <f t="shared" ref="E46:AQ46" si="19">$D46+D46</f>
        <v>0</v>
      </c>
      <c r="F46" s="146">
        <f t="shared" si="19"/>
        <v>0</v>
      </c>
      <c r="G46" s="146">
        <f t="shared" si="19"/>
        <v>0</v>
      </c>
      <c r="H46" s="146">
        <f t="shared" si="19"/>
        <v>0</v>
      </c>
      <c r="I46" s="146">
        <f t="shared" si="19"/>
        <v>0</v>
      </c>
      <c r="J46" s="146">
        <f t="shared" si="19"/>
        <v>0</v>
      </c>
      <c r="K46" s="146">
        <f t="shared" si="19"/>
        <v>0</v>
      </c>
      <c r="L46" s="146">
        <f t="shared" si="19"/>
        <v>0</v>
      </c>
      <c r="M46" s="146">
        <f t="shared" si="19"/>
        <v>0</v>
      </c>
      <c r="N46" s="146">
        <f t="shared" si="19"/>
        <v>0</v>
      </c>
      <c r="O46" s="146">
        <f t="shared" si="19"/>
        <v>0</v>
      </c>
      <c r="P46" s="146">
        <f t="shared" si="19"/>
        <v>0</v>
      </c>
      <c r="Q46" s="146">
        <f t="shared" si="19"/>
        <v>0</v>
      </c>
      <c r="R46" s="146">
        <f t="shared" si="19"/>
        <v>0</v>
      </c>
      <c r="S46" s="146">
        <f t="shared" si="19"/>
        <v>0</v>
      </c>
      <c r="T46" s="146">
        <f t="shared" si="19"/>
        <v>0</v>
      </c>
      <c r="U46" s="146">
        <f t="shared" si="19"/>
        <v>0</v>
      </c>
      <c r="V46" s="146">
        <f t="shared" si="19"/>
        <v>0</v>
      </c>
      <c r="W46" s="146">
        <f t="shared" si="19"/>
        <v>0</v>
      </c>
      <c r="X46" s="146">
        <f t="shared" si="19"/>
        <v>0</v>
      </c>
      <c r="Y46" s="146">
        <f t="shared" si="19"/>
        <v>0</v>
      </c>
      <c r="Z46" s="146">
        <f t="shared" si="19"/>
        <v>0</v>
      </c>
      <c r="AA46" s="146">
        <f t="shared" si="19"/>
        <v>0</v>
      </c>
      <c r="AB46" s="146">
        <f t="shared" si="19"/>
        <v>0</v>
      </c>
      <c r="AC46" s="146">
        <f t="shared" si="19"/>
        <v>0</v>
      </c>
      <c r="AD46" s="146">
        <f t="shared" si="19"/>
        <v>0</v>
      </c>
      <c r="AE46" s="146">
        <f t="shared" si="19"/>
        <v>0</v>
      </c>
      <c r="AF46" s="146">
        <f t="shared" si="19"/>
        <v>0</v>
      </c>
      <c r="AG46" s="146">
        <f t="shared" si="19"/>
        <v>0</v>
      </c>
      <c r="AH46" s="146">
        <f t="shared" si="19"/>
        <v>0</v>
      </c>
      <c r="AI46" s="146">
        <f t="shared" si="19"/>
        <v>0</v>
      </c>
      <c r="AJ46" s="146">
        <f t="shared" si="19"/>
        <v>0</v>
      </c>
      <c r="AK46" s="146">
        <f t="shared" si="19"/>
        <v>0</v>
      </c>
      <c r="AL46" s="146">
        <f t="shared" si="19"/>
        <v>0</v>
      </c>
      <c r="AM46" s="146">
        <f t="shared" si="19"/>
        <v>0</v>
      </c>
      <c r="AN46" s="146">
        <f t="shared" si="19"/>
        <v>0</v>
      </c>
      <c r="AO46" s="146">
        <f t="shared" si="19"/>
        <v>0</v>
      </c>
      <c r="AP46" s="146">
        <f t="shared" si="19"/>
        <v>0</v>
      </c>
      <c r="AQ46" s="146">
        <f t="shared" si="19"/>
        <v>0</v>
      </c>
    </row>
    <row r="47" spans="2:43" s="253" customFormat="1" ht="12.95" customHeight="1" x14ac:dyDescent="0.2">
      <c r="B47" s="283" t="s">
        <v>1009</v>
      </c>
      <c r="C47" s="146"/>
      <c r="D47" s="146">
        <f>AG!$F$35/10^6</f>
        <v>0</v>
      </c>
      <c r="E47" s="146">
        <f t="shared" ref="E47:AQ47" si="20">$D47+D47</f>
        <v>0</v>
      </c>
      <c r="F47" s="146">
        <f t="shared" si="20"/>
        <v>0</v>
      </c>
      <c r="G47" s="146">
        <f t="shared" si="20"/>
        <v>0</v>
      </c>
      <c r="H47" s="146">
        <f t="shared" si="20"/>
        <v>0</v>
      </c>
      <c r="I47" s="146">
        <f t="shared" si="20"/>
        <v>0</v>
      </c>
      <c r="J47" s="146">
        <f t="shared" si="20"/>
        <v>0</v>
      </c>
      <c r="K47" s="146">
        <f t="shared" si="20"/>
        <v>0</v>
      </c>
      <c r="L47" s="146">
        <f t="shared" si="20"/>
        <v>0</v>
      </c>
      <c r="M47" s="146">
        <f t="shared" si="20"/>
        <v>0</v>
      </c>
      <c r="N47" s="146">
        <f t="shared" si="20"/>
        <v>0</v>
      </c>
      <c r="O47" s="146">
        <f t="shared" si="20"/>
        <v>0</v>
      </c>
      <c r="P47" s="146">
        <f t="shared" si="20"/>
        <v>0</v>
      </c>
      <c r="Q47" s="146">
        <f t="shared" si="20"/>
        <v>0</v>
      </c>
      <c r="R47" s="146">
        <f t="shared" si="20"/>
        <v>0</v>
      </c>
      <c r="S47" s="146">
        <f t="shared" si="20"/>
        <v>0</v>
      </c>
      <c r="T47" s="146">
        <f t="shared" si="20"/>
        <v>0</v>
      </c>
      <c r="U47" s="146">
        <f t="shared" si="20"/>
        <v>0</v>
      </c>
      <c r="V47" s="146">
        <f t="shared" si="20"/>
        <v>0</v>
      </c>
      <c r="W47" s="146">
        <f t="shared" si="20"/>
        <v>0</v>
      </c>
      <c r="X47" s="146">
        <f t="shared" si="20"/>
        <v>0</v>
      </c>
      <c r="Y47" s="146">
        <f t="shared" si="20"/>
        <v>0</v>
      </c>
      <c r="Z47" s="146">
        <f t="shared" si="20"/>
        <v>0</v>
      </c>
      <c r="AA47" s="146">
        <f t="shared" si="20"/>
        <v>0</v>
      </c>
      <c r="AB47" s="146">
        <f t="shared" si="20"/>
        <v>0</v>
      </c>
      <c r="AC47" s="146">
        <f t="shared" si="20"/>
        <v>0</v>
      </c>
      <c r="AD47" s="146">
        <f t="shared" si="20"/>
        <v>0</v>
      </c>
      <c r="AE47" s="146">
        <f t="shared" si="20"/>
        <v>0</v>
      </c>
      <c r="AF47" s="146">
        <f t="shared" si="20"/>
        <v>0</v>
      </c>
      <c r="AG47" s="146">
        <f t="shared" si="20"/>
        <v>0</v>
      </c>
      <c r="AH47" s="146">
        <f t="shared" si="20"/>
        <v>0</v>
      </c>
      <c r="AI47" s="146">
        <f t="shared" si="20"/>
        <v>0</v>
      </c>
      <c r="AJ47" s="146">
        <f t="shared" si="20"/>
        <v>0</v>
      </c>
      <c r="AK47" s="146">
        <f t="shared" si="20"/>
        <v>0</v>
      </c>
      <c r="AL47" s="146">
        <f t="shared" si="20"/>
        <v>0</v>
      </c>
      <c r="AM47" s="146">
        <f t="shared" si="20"/>
        <v>0</v>
      </c>
      <c r="AN47" s="146">
        <f t="shared" si="20"/>
        <v>0</v>
      </c>
      <c r="AO47" s="146">
        <f t="shared" si="20"/>
        <v>0</v>
      </c>
      <c r="AP47" s="146">
        <f t="shared" si="20"/>
        <v>0</v>
      </c>
      <c r="AQ47" s="146">
        <f t="shared" si="20"/>
        <v>0</v>
      </c>
    </row>
    <row r="48" spans="2:43" s="253" customFormat="1" ht="12.95" customHeight="1" x14ac:dyDescent="0.2">
      <c r="B48" s="283" t="s">
        <v>1010</v>
      </c>
      <c r="C48" s="146"/>
      <c r="D48" s="146">
        <f>MILL!$F$26/10^6</f>
        <v>0</v>
      </c>
      <c r="E48" s="146">
        <f t="shared" ref="E48:AQ48" si="21">$D48+D48</f>
        <v>0</v>
      </c>
      <c r="F48" s="146">
        <f t="shared" si="21"/>
        <v>0</v>
      </c>
      <c r="G48" s="146">
        <f t="shared" si="21"/>
        <v>0</v>
      </c>
      <c r="H48" s="146">
        <f t="shared" si="21"/>
        <v>0</v>
      </c>
      <c r="I48" s="146">
        <f t="shared" si="21"/>
        <v>0</v>
      </c>
      <c r="J48" s="146">
        <f t="shared" si="21"/>
        <v>0</v>
      </c>
      <c r="K48" s="146">
        <f t="shared" si="21"/>
        <v>0</v>
      </c>
      <c r="L48" s="146">
        <f t="shared" si="21"/>
        <v>0</v>
      </c>
      <c r="M48" s="146">
        <f t="shared" si="21"/>
        <v>0</v>
      </c>
      <c r="N48" s="146">
        <f t="shared" si="21"/>
        <v>0</v>
      </c>
      <c r="O48" s="146">
        <f t="shared" si="21"/>
        <v>0</v>
      </c>
      <c r="P48" s="146">
        <f t="shared" si="21"/>
        <v>0</v>
      </c>
      <c r="Q48" s="146">
        <f t="shared" si="21"/>
        <v>0</v>
      </c>
      <c r="R48" s="146">
        <f t="shared" si="21"/>
        <v>0</v>
      </c>
      <c r="S48" s="146">
        <f t="shared" si="21"/>
        <v>0</v>
      </c>
      <c r="T48" s="146">
        <f t="shared" si="21"/>
        <v>0</v>
      </c>
      <c r="U48" s="146">
        <f t="shared" si="21"/>
        <v>0</v>
      </c>
      <c r="V48" s="146">
        <f t="shared" si="21"/>
        <v>0</v>
      </c>
      <c r="W48" s="146">
        <f t="shared" si="21"/>
        <v>0</v>
      </c>
      <c r="X48" s="146">
        <f t="shared" si="21"/>
        <v>0</v>
      </c>
      <c r="Y48" s="146">
        <f t="shared" si="21"/>
        <v>0</v>
      </c>
      <c r="Z48" s="146">
        <f t="shared" si="21"/>
        <v>0</v>
      </c>
      <c r="AA48" s="146">
        <f t="shared" si="21"/>
        <v>0</v>
      </c>
      <c r="AB48" s="146">
        <f t="shared" si="21"/>
        <v>0</v>
      </c>
      <c r="AC48" s="146">
        <f t="shared" si="21"/>
        <v>0</v>
      </c>
      <c r="AD48" s="146">
        <f t="shared" si="21"/>
        <v>0</v>
      </c>
      <c r="AE48" s="146">
        <f t="shared" si="21"/>
        <v>0</v>
      </c>
      <c r="AF48" s="146">
        <f t="shared" si="21"/>
        <v>0</v>
      </c>
      <c r="AG48" s="146">
        <f t="shared" si="21"/>
        <v>0</v>
      </c>
      <c r="AH48" s="146">
        <f t="shared" si="21"/>
        <v>0</v>
      </c>
      <c r="AI48" s="146">
        <f t="shared" si="21"/>
        <v>0</v>
      </c>
      <c r="AJ48" s="146">
        <f t="shared" si="21"/>
        <v>0</v>
      </c>
      <c r="AK48" s="146">
        <f t="shared" si="21"/>
        <v>0</v>
      </c>
      <c r="AL48" s="146">
        <f t="shared" si="21"/>
        <v>0</v>
      </c>
      <c r="AM48" s="146">
        <f t="shared" si="21"/>
        <v>0</v>
      </c>
      <c r="AN48" s="146">
        <f t="shared" si="21"/>
        <v>0</v>
      </c>
      <c r="AO48" s="146">
        <f t="shared" si="21"/>
        <v>0</v>
      </c>
      <c r="AP48" s="146">
        <f t="shared" si="21"/>
        <v>0</v>
      </c>
      <c r="AQ48" s="146">
        <f t="shared" si="21"/>
        <v>0</v>
      </c>
    </row>
    <row r="49" spans="2:50" s="253" customFormat="1" ht="12.95" customHeight="1" x14ac:dyDescent="0.2">
      <c r="B49" s="305" t="s">
        <v>1016</v>
      </c>
      <c r="C49" s="306"/>
      <c r="D49" s="306">
        <f t="shared" ref="D49:AQ49" si="22">SUM(D42:D48)</f>
        <v>0.11497051077797324</v>
      </c>
      <c r="E49" s="306">
        <f t="shared" si="22"/>
        <v>0.22994102155594648</v>
      </c>
      <c r="F49" s="306">
        <f t="shared" si="22"/>
        <v>0.34491153233391969</v>
      </c>
      <c r="G49" s="306">
        <f t="shared" si="22"/>
        <v>0.45988204311189296</v>
      </c>
      <c r="H49" s="306">
        <f t="shared" si="22"/>
        <v>0.57485255388986611</v>
      </c>
      <c r="I49" s="306">
        <f t="shared" si="22"/>
        <v>0.68982306466783938</v>
      </c>
      <c r="J49" s="306">
        <f t="shared" si="22"/>
        <v>0.80479357544581265</v>
      </c>
      <c r="K49" s="306">
        <f t="shared" si="22"/>
        <v>0.91976408622378591</v>
      </c>
      <c r="L49" s="306">
        <f t="shared" si="22"/>
        <v>1.034734597001759</v>
      </c>
      <c r="M49" s="306">
        <f t="shared" si="22"/>
        <v>1.1497051077797322</v>
      </c>
      <c r="N49" s="306">
        <f t="shared" si="22"/>
        <v>1.2646756185577055</v>
      </c>
      <c r="O49" s="306">
        <f t="shared" si="22"/>
        <v>1.3796461293356788</v>
      </c>
      <c r="P49" s="306">
        <f t="shared" si="22"/>
        <v>1.494616640113652</v>
      </c>
      <c r="Q49" s="306">
        <f t="shared" si="22"/>
        <v>1.6095871508916253</v>
      </c>
      <c r="R49" s="306">
        <f t="shared" si="22"/>
        <v>1.7245576616695986</v>
      </c>
      <c r="S49" s="306">
        <f t="shared" si="22"/>
        <v>1.8395281724475721</v>
      </c>
      <c r="T49" s="306">
        <f t="shared" si="22"/>
        <v>1.9544986832255455</v>
      </c>
      <c r="U49" s="306">
        <f t="shared" si="22"/>
        <v>2.0694691940035188</v>
      </c>
      <c r="V49" s="306">
        <f t="shared" si="22"/>
        <v>2.1844397047814921</v>
      </c>
      <c r="W49" s="306">
        <f t="shared" si="22"/>
        <v>2.2994102155594653</v>
      </c>
      <c r="X49" s="306">
        <f t="shared" si="22"/>
        <v>2.4143807263374391</v>
      </c>
      <c r="Y49" s="306">
        <f t="shared" si="22"/>
        <v>2.5293512371154123</v>
      </c>
      <c r="Z49" s="306">
        <f t="shared" si="22"/>
        <v>2.6443217478933856</v>
      </c>
      <c r="AA49" s="306">
        <f t="shared" si="22"/>
        <v>2.7592922586713593</v>
      </c>
      <c r="AB49" s="306">
        <f t="shared" si="22"/>
        <v>2.8742627694493326</v>
      </c>
      <c r="AC49" s="306">
        <f t="shared" si="22"/>
        <v>2.9892332802273058</v>
      </c>
      <c r="AD49" s="306">
        <f t="shared" si="22"/>
        <v>3.1042037910052791</v>
      </c>
      <c r="AE49" s="306">
        <f t="shared" si="22"/>
        <v>3.2191743017832519</v>
      </c>
      <c r="AF49" s="306">
        <f t="shared" si="22"/>
        <v>3.3341448125612247</v>
      </c>
      <c r="AG49" s="306">
        <f t="shared" si="22"/>
        <v>3.449115323339198</v>
      </c>
      <c r="AH49" s="306">
        <f t="shared" si="22"/>
        <v>3.5640858341171713</v>
      </c>
      <c r="AI49" s="306">
        <f t="shared" si="22"/>
        <v>3.6790563448951441</v>
      </c>
      <c r="AJ49" s="306">
        <f t="shared" si="22"/>
        <v>3.7940268556731169</v>
      </c>
      <c r="AK49" s="306">
        <f t="shared" si="22"/>
        <v>3.9089973664510902</v>
      </c>
      <c r="AL49" s="306">
        <f t="shared" si="22"/>
        <v>4.0239678772290635</v>
      </c>
      <c r="AM49" s="306">
        <f t="shared" si="22"/>
        <v>4.1389383880070358</v>
      </c>
      <c r="AN49" s="306">
        <f t="shared" si="22"/>
        <v>4.2539088987850091</v>
      </c>
      <c r="AO49" s="306">
        <f t="shared" si="22"/>
        <v>4.3688794095629824</v>
      </c>
      <c r="AP49" s="306">
        <f t="shared" si="22"/>
        <v>4.4838499203409556</v>
      </c>
      <c r="AQ49" s="306">
        <f t="shared" si="22"/>
        <v>4.5988204311189289</v>
      </c>
    </row>
    <row r="50" spans="2:50" s="253" customFormat="1" ht="12.95" customHeight="1" x14ac:dyDescent="0.2">
      <c r="B50" s="283"/>
      <c r="C50" s="146"/>
      <c r="D50" s="146"/>
      <c r="E50" s="146"/>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c r="AG50" s="146"/>
      <c r="AH50" s="146"/>
      <c r="AI50" s="146"/>
      <c r="AJ50" s="146"/>
      <c r="AK50" s="146"/>
      <c r="AL50" s="146"/>
      <c r="AM50" s="146"/>
      <c r="AN50" s="146"/>
      <c r="AO50" s="146"/>
      <c r="AP50" s="146"/>
      <c r="AQ50" s="146"/>
    </row>
    <row r="51" spans="2:50" s="121" customFormat="1" ht="12.95" customHeight="1" x14ac:dyDescent="0.3">
      <c r="B51" s="121" t="s">
        <v>979</v>
      </c>
      <c r="C51" s="303"/>
      <c r="D51" s="303"/>
      <c r="E51" s="303"/>
      <c r="F51" s="303"/>
      <c r="G51" s="170"/>
      <c r="H51" s="170"/>
      <c r="I51" s="170"/>
      <c r="J51" s="170"/>
      <c r="K51" s="170"/>
      <c r="L51" s="170"/>
      <c r="M51" s="170"/>
      <c r="N51" s="170"/>
      <c r="O51" s="170"/>
      <c r="P51" s="303"/>
      <c r="Q51" s="303"/>
      <c r="R51" s="303"/>
      <c r="S51" s="303"/>
      <c r="T51" s="303"/>
      <c r="U51" s="303"/>
      <c r="V51" s="303"/>
      <c r="W51" s="303"/>
      <c r="X51" s="303"/>
      <c r="Y51" s="303"/>
      <c r="Z51" s="303"/>
      <c r="AA51" s="303"/>
      <c r="AB51" s="303"/>
      <c r="AC51" s="303"/>
      <c r="AD51" s="303"/>
      <c r="AE51" s="303"/>
      <c r="AF51" s="303"/>
      <c r="AG51" s="303"/>
      <c r="AH51" s="303"/>
      <c r="AI51" s="303"/>
      <c r="AJ51" s="303"/>
      <c r="AK51" s="303"/>
      <c r="AL51" s="303"/>
      <c r="AM51" s="303"/>
      <c r="AN51" s="303"/>
      <c r="AO51" s="303"/>
      <c r="AP51" s="303"/>
      <c r="AQ51" s="303"/>
    </row>
    <row r="52" spans="2:50" s="253" customFormat="1" ht="12.95" customHeight="1" x14ac:dyDescent="0.2">
      <c r="B52" s="283" t="s">
        <v>1008</v>
      </c>
      <c r="C52" s="146"/>
      <c r="D52" s="146">
        <f>HERB!$F$38/10^6</f>
        <v>0</v>
      </c>
      <c r="E52" s="146">
        <f t="shared" ref="E52:AQ52" si="23">$D52+D52</f>
        <v>0</v>
      </c>
      <c r="F52" s="146">
        <f t="shared" si="23"/>
        <v>0</v>
      </c>
      <c r="G52" s="146">
        <f t="shared" si="23"/>
        <v>0</v>
      </c>
      <c r="H52" s="146">
        <f t="shared" si="23"/>
        <v>0</v>
      </c>
      <c r="I52" s="146">
        <f t="shared" si="23"/>
        <v>0</v>
      </c>
      <c r="J52" s="146">
        <f t="shared" si="23"/>
        <v>0</v>
      </c>
      <c r="K52" s="146">
        <f t="shared" si="23"/>
        <v>0</v>
      </c>
      <c r="L52" s="146">
        <f t="shared" si="23"/>
        <v>0</v>
      </c>
      <c r="M52" s="146">
        <f t="shared" si="23"/>
        <v>0</v>
      </c>
      <c r="N52" s="146">
        <f t="shared" si="23"/>
        <v>0</v>
      </c>
      <c r="O52" s="146">
        <f t="shared" si="23"/>
        <v>0</v>
      </c>
      <c r="P52" s="146">
        <f t="shared" si="23"/>
        <v>0</v>
      </c>
      <c r="Q52" s="146">
        <f t="shared" si="23"/>
        <v>0</v>
      </c>
      <c r="R52" s="146">
        <f t="shared" si="23"/>
        <v>0</v>
      </c>
      <c r="S52" s="146">
        <f t="shared" si="23"/>
        <v>0</v>
      </c>
      <c r="T52" s="146">
        <f t="shared" si="23"/>
        <v>0</v>
      </c>
      <c r="U52" s="146">
        <f t="shared" si="23"/>
        <v>0</v>
      </c>
      <c r="V52" s="146">
        <f t="shared" si="23"/>
        <v>0</v>
      </c>
      <c r="W52" s="146">
        <f t="shared" si="23"/>
        <v>0</v>
      </c>
      <c r="X52" s="146">
        <f t="shared" si="23"/>
        <v>0</v>
      </c>
      <c r="Y52" s="146">
        <f t="shared" si="23"/>
        <v>0</v>
      </c>
      <c r="Z52" s="146">
        <f t="shared" si="23"/>
        <v>0</v>
      </c>
      <c r="AA52" s="146">
        <f t="shared" si="23"/>
        <v>0</v>
      </c>
      <c r="AB52" s="146">
        <f t="shared" si="23"/>
        <v>0</v>
      </c>
      <c r="AC52" s="146">
        <f t="shared" si="23"/>
        <v>0</v>
      </c>
      <c r="AD52" s="146">
        <f t="shared" si="23"/>
        <v>0</v>
      </c>
      <c r="AE52" s="146">
        <f t="shared" si="23"/>
        <v>0</v>
      </c>
      <c r="AF52" s="146">
        <f t="shared" si="23"/>
        <v>0</v>
      </c>
      <c r="AG52" s="146">
        <f t="shared" si="23"/>
        <v>0</v>
      </c>
      <c r="AH52" s="146">
        <f t="shared" si="23"/>
        <v>0</v>
      </c>
      <c r="AI52" s="146">
        <f t="shared" si="23"/>
        <v>0</v>
      </c>
      <c r="AJ52" s="146">
        <f t="shared" si="23"/>
        <v>0</v>
      </c>
      <c r="AK52" s="146">
        <f t="shared" si="23"/>
        <v>0</v>
      </c>
      <c r="AL52" s="146">
        <f t="shared" si="23"/>
        <v>0</v>
      </c>
      <c r="AM52" s="146">
        <f t="shared" si="23"/>
        <v>0</v>
      </c>
      <c r="AN52" s="146">
        <f t="shared" si="23"/>
        <v>0</v>
      </c>
      <c r="AO52" s="146">
        <f t="shared" si="23"/>
        <v>0</v>
      </c>
      <c r="AP52" s="146">
        <f t="shared" si="23"/>
        <v>0</v>
      </c>
      <c r="AQ52" s="146">
        <f t="shared" si="23"/>
        <v>0</v>
      </c>
    </row>
    <row r="53" spans="2:50" s="253" customFormat="1" ht="12.95" customHeight="1" x14ac:dyDescent="0.2">
      <c r="B53" s="283" t="s">
        <v>446</v>
      </c>
      <c r="C53" s="146"/>
      <c r="D53" s="146">
        <f>SRWC!$F$40/10^6</f>
        <v>0</v>
      </c>
      <c r="E53" s="146">
        <f t="shared" ref="E53:AQ53" si="24">$D53+D53</f>
        <v>0</v>
      </c>
      <c r="F53" s="146">
        <f t="shared" si="24"/>
        <v>0</v>
      </c>
      <c r="G53" s="146">
        <f t="shared" si="24"/>
        <v>0</v>
      </c>
      <c r="H53" s="146">
        <f t="shared" si="24"/>
        <v>0</v>
      </c>
      <c r="I53" s="146">
        <f t="shared" si="24"/>
        <v>0</v>
      </c>
      <c r="J53" s="146">
        <f t="shared" si="24"/>
        <v>0</v>
      </c>
      <c r="K53" s="146">
        <f t="shared" si="24"/>
        <v>0</v>
      </c>
      <c r="L53" s="146">
        <f t="shared" si="24"/>
        <v>0</v>
      </c>
      <c r="M53" s="146">
        <f t="shared" si="24"/>
        <v>0</v>
      </c>
      <c r="N53" s="146">
        <f t="shared" si="24"/>
        <v>0</v>
      </c>
      <c r="O53" s="146">
        <f t="shared" si="24"/>
        <v>0</v>
      </c>
      <c r="P53" s="146">
        <f t="shared" si="24"/>
        <v>0</v>
      </c>
      <c r="Q53" s="146">
        <f t="shared" si="24"/>
        <v>0</v>
      </c>
      <c r="R53" s="146">
        <f t="shared" si="24"/>
        <v>0</v>
      </c>
      <c r="S53" s="146">
        <f t="shared" si="24"/>
        <v>0</v>
      </c>
      <c r="T53" s="146">
        <f t="shared" si="24"/>
        <v>0</v>
      </c>
      <c r="U53" s="146">
        <f t="shared" si="24"/>
        <v>0</v>
      </c>
      <c r="V53" s="146">
        <f t="shared" si="24"/>
        <v>0</v>
      </c>
      <c r="W53" s="146">
        <f t="shared" si="24"/>
        <v>0</v>
      </c>
      <c r="X53" s="146">
        <f t="shared" si="24"/>
        <v>0</v>
      </c>
      <c r="Y53" s="146">
        <f t="shared" si="24"/>
        <v>0</v>
      </c>
      <c r="Z53" s="146">
        <f t="shared" si="24"/>
        <v>0</v>
      </c>
      <c r="AA53" s="146">
        <f t="shared" si="24"/>
        <v>0</v>
      </c>
      <c r="AB53" s="146">
        <f t="shared" si="24"/>
        <v>0</v>
      </c>
      <c r="AC53" s="146">
        <f t="shared" si="24"/>
        <v>0</v>
      </c>
      <c r="AD53" s="146">
        <f t="shared" si="24"/>
        <v>0</v>
      </c>
      <c r="AE53" s="146">
        <f t="shared" si="24"/>
        <v>0</v>
      </c>
      <c r="AF53" s="146">
        <f t="shared" si="24"/>
        <v>0</v>
      </c>
      <c r="AG53" s="146">
        <f t="shared" si="24"/>
        <v>0</v>
      </c>
      <c r="AH53" s="146">
        <f t="shared" si="24"/>
        <v>0</v>
      </c>
      <c r="AI53" s="146">
        <f t="shared" si="24"/>
        <v>0</v>
      </c>
      <c r="AJ53" s="146">
        <f t="shared" si="24"/>
        <v>0</v>
      </c>
      <c r="AK53" s="146">
        <f t="shared" si="24"/>
        <v>0</v>
      </c>
      <c r="AL53" s="146">
        <f t="shared" si="24"/>
        <v>0</v>
      </c>
      <c r="AM53" s="146">
        <f t="shared" si="24"/>
        <v>0</v>
      </c>
      <c r="AN53" s="146">
        <f t="shared" si="24"/>
        <v>0</v>
      </c>
      <c r="AO53" s="146">
        <f t="shared" si="24"/>
        <v>0</v>
      </c>
      <c r="AP53" s="146">
        <f t="shared" si="24"/>
        <v>0</v>
      </c>
      <c r="AQ53" s="146">
        <f t="shared" si="24"/>
        <v>0</v>
      </c>
    </row>
    <row r="54" spans="2:50" s="253" customFormat="1" ht="12.95" customHeight="1" x14ac:dyDescent="0.2">
      <c r="B54" s="283" t="s">
        <v>1006</v>
      </c>
      <c r="C54" s="146"/>
      <c r="D54" s="146">
        <f>LOG!$F$41/10^6</f>
        <v>0.59235893857853783</v>
      </c>
      <c r="E54" s="146">
        <f t="shared" ref="E54:AQ54" si="25">$D54+D54</f>
        <v>1.1847178771570757</v>
      </c>
      <c r="F54" s="146">
        <f t="shared" si="25"/>
        <v>1.7770768157356134</v>
      </c>
      <c r="G54" s="146">
        <f t="shared" si="25"/>
        <v>2.3694357543141513</v>
      </c>
      <c r="H54" s="146">
        <f t="shared" si="25"/>
        <v>2.9617946928926893</v>
      </c>
      <c r="I54" s="146">
        <f t="shared" si="25"/>
        <v>3.5541536314712272</v>
      </c>
      <c r="J54" s="146">
        <f t="shared" si="25"/>
        <v>4.1465125700497651</v>
      </c>
      <c r="K54" s="146">
        <f t="shared" si="25"/>
        <v>4.7388715086283026</v>
      </c>
      <c r="L54" s="146">
        <f t="shared" si="25"/>
        <v>5.3312304472068401</v>
      </c>
      <c r="M54" s="146">
        <f t="shared" si="25"/>
        <v>5.9235893857853776</v>
      </c>
      <c r="N54" s="146">
        <f t="shared" si="25"/>
        <v>6.5159483243639151</v>
      </c>
      <c r="O54" s="146">
        <f t="shared" si="25"/>
        <v>7.1083072629424526</v>
      </c>
      <c r="P54" s="146">
        <f t="shared" si="25"/>
        <v>7.7006662015209901</v>
      </c>
      <c r="Q54" s="146">
        <f t="shared" si="25"/>
        <v>8.2930251400995285</v>
      </c>
      <c r="R54" s="146">
        <f t="shared" si="25"/>
        <v>8.8853840786780669</v>
      </c>
      <c r="S54" s="146">
        <f t="shared" si="25"/>
        <v>9.4777430172566053</v>
      </c>
      <c r="T54" s="146">
        <f t="shared" si="25"/>
        <v>10.070101955835144</v>
      </c>
      <c r="U54" s="146">
        <f t="shared" si="25"/>
        <v>10.662460894413682</v>
      </c>
      <c r="V54" s="146">
        <f t="shared" si="25"/>
        <v>11.25481983299222</v>
      </c>
      <c r="W54" s="146">
        <f t="shared" si="25"/>
        <v>11.847178771570759</v>
      </c>
      <c r="X54" s="146">
        <f t="shared" si="25"/>
        <v>12.439537710149297</v>
      </c>
      <c r="Y54" s="146">
        <f t="shared" si="25"/>
        <v>13.031896648727836</v>
      </c>
      <c r="Z54" s="146">
        <f t="shared" si="25"/>
        <v>13.624255587306374</v>
      </c>
      <c r="AA54" s="146">
        <f t="shared" si="25"/>
        <v>14.216614525884912</v>
      </c>
      <c r="AB54" s="146">
        <f t="shared" si="25"/>
        <v>14.808973464463451</v>
      </c>
      <c r="AC54" s="146">
        <f t="shared" si="25"/>
        <v>15.401332403041989</v>
      </c>
      <c r="AD54" s="146">
        <f t="shared" si="25"/>
        <v>15.993691341620528</v>
      </c>
      <c r="AE54" s="146">
        <f t="shared" si="25"/>
        <v>16.586050280199064</v>
      </c>
      <c r="AF54" s="146">
        <f t="shared" si="25"/>
        <v>17.178409218777603</v>
      </c>
      <c r="AG54" s="146">
        <f t="shared" si="25"/>
        <v>17.770768157356141</v>
      </c>
      <c r="AH54" s="146">
        <f t="shared" si="25"/>
        <v>18.363127095934679</v>
      </c>
      <c r="AI54" s="146">
        <f t="shared" si="25"/>
        <v>18.955486034513218</v>
      </c>
      <c r="AJ54" s="146">
        <f t="shared" si="25"/>
        <v>19.547844973091756</v>
      </c>
      <c r="AK54" s="146">
        <f t="shared" si="25"/>
        <v>20.140203911670294</v>
      </c>
      <c r="AL54" s="146">
        <f t="shared" si="25"/>
        <v>20.732562850248833</v>
      </c>
      <c r="AM54" s="146">
        <f t="shared" si="25"/>
        <v>21.324921788827371</v>
      </c>
      <c r="AN54" s="146">
        <f t="shared" si="25"/>
        <v>21.91728072740591</v>
      </c>
      <c r="AO54" s="146">
        <f t="shared" si="25"/>
        <v>22.509639665984448</v>
      </c>
      <c r="AP54" s="146">
        <f t="shared" si="25"/>
        <v>23.101998604562986</v>
      </c>
      <c r="AQ54" s="146">
        <f t="shared" si="25"/>
        <v>23.694357543141525</v>
      </c>
    </row>
    <row r="55" spans="2:50" s="253" customFormat="1" ht="12.95" customHeight="1" x14ac:dyDescent="0.2">
      <c r="B55" s="283" t="s">
        <v>1007</v>
      </c>
      <c r="C55" s="146"/>
      <c r="D55" s="146">
        <f>THIN!$F$48/10^6</f>
        <v>0.59235893857853783</v>
      </c>
      <c r="E55" s="146">
        <f t="shared" ref="E55:AQ55" si="26">$D55+D55</f>
        <v>1.1847178771570757</v>
      </c>
      <c r="F55" s="146">
        <f t="shared" si="26"/>
        <v>1.7770768157356134</v>
      </c>
      <c r="G55" s="146">
        <f t="shared" si="26"/>
        <v>2.3694357543141513</v>
      </c>
      <c r="H55" s="146">
        <f t="shared" si="26"/>
        <v>2.9617946928926893</v>
      </c>
      <c r="I55" s="146">
        <f t="shared" si="26"/>
        <v>3.5541536314712272</v>
      </c>
      <c r="J55" s="146">
        <f t="shared" si="26"/>
        <v>4.1465125700497651</v>
      </c>
      <c r="K55" s="146">
        <f t="shared" si="26"/>
        <v>4.7388715086283026</v>
      </c>
      <c r="L55" s="146">
        <f t="shared" si="26"/>
        <v>5.3312304472068401</v>
      </c>
      <c r="M55" s="146">
        <f t="shared" si="26"/>
        <v>5.9235893857853776</v>
      </c>
      <c r="N55" s="146">
        <f t="shared" si="26"/>
        <v>6.5159483243639151</v>
      </c>
      <c r="O55" s="146">
        <f t="shared" si="26"/>
        <v>7.1083072629424526</v>
      </c>
      <c r="P55" s="146">
        <f t="shared" si="26"/>
        <v>7.7006662015209901</v>
      </c>
      <c r="Q55" s="146">
        <f t="shared" si="26"/>
        <v>8.2930251400995285</v>
      </c>
      <c r="R55" s="146">
        <f t="shared" si="26"/>
        <v>8.8853840786780669</v>
      </c>
      <c r="S55" s="146">
        <f t="shared" si="26"/>
        <v>9.4777430172566053</v>
      </c>
      <c r="T55" s="146">
        <f t="shared" si="26"/>
        <v>10.070101955835144</v>
      </c>
      <c r="U55" s="146">
        <f t="shared" si="26"/>
        <v>10.662460894413682</v>
      </c>
      <c r="V55" s="146">
        <f t="shared" si="26"/>
        <v>11.25481983299222</v>
      </c>
      <c r="W55" s="146">
        <f t="shared" si="26"/>
        <v>11.847178771570759</v>
      </c>
      <c r="X55" s="146">
        <f t="shared" si="26"/>
        <v>12.439537710149297</v>
      </c>
      <c r="Y55" s="146">
        <f t="shared" si="26"/>
        <v>13.031896648727836</v>
      </c>
      <c r="Z55" s="146">
        <f t="shared" si="26"/>
        <v>13.624255587306374</v>
      </c>
      <c r="AA55" s="146">
        <f t="shared" si="26"/>
        <v>14.216614525884912</v>
      </c>
      <c r="AB55" s="146">
        <f t="shared" si="26"/>
        <v>14.808973464463451</v>
      </c>
      <c r="AC55" s="146">
        <f t="shared" si="26"/>
        <v>15.401332403041989</v>
      </c>
      <c r="AD55" s="146">
        <f t="shared" si="26"/>
        <v>15.993691341620528</v>
      </c>
      <c r="AE55" s="146">
        <f t="shared" si="26"/>
        <v>16.586050280199064</v>
      </c>
      <c r="AF55" s="146">
        <f t="shared" si="26"/>
        <v>17.178409218777603</v>
      </c>
      <c r="AG55" s="146">
        <f t="shared" si="26"/>
        <v>17.770768157356141</v>
      </c>
      <c r="AH55" s="146">
        <f t="shared" si="26"/>
        <v>18.363127095934679</v>
      </c>
      <c r="AI55" s="146">
        <f t="shared" si="26"/>
        <v>18.955486034513218</v>
      </c>
      <c r="AJ55" s="146">
        <f t="shared" si="26"/>
        <v>19.547844973091756</v>
      </c>
      <c r="AK55" s="146">
        <f t="shared" si="26"/>
        <v>20.140203911670294</v>
      </c>
      <c r="AL55" s="146">
        <f t="shared" si="26"/>
        <v>20.732562850248833</v>
      </c>
      <c r="AM55" s="146">
        <f t="shared" si="26"/>
        <v>21.324921788827371</v>
      </c>
      <c r="AN55" s="146">
        <f t="shared" si="26"/>
        <v>21.91728072740591</v>
      </c>
      <c r="AO55" s="146">
        <f t="shared" si="26"/>
        <v>22.509639665984448</v>
      </c>
      <c r="AP55" s="146">
        <f t="shared" si="26"/>
        <v>23.101998604562986</v>
      </c>
      <c r="AQ55" s="146">
        <f t="shared" si="26"/>
        <v>23.694357543141525</v>
      </c>
    </row>
    <row r="56" spans="2:50" s="253" customFormat="1" ht="12.95" customHeight="1" x14ac:dyDescent="0.2">
      <c r="B56" s="283" t="s">
        <v>1025</v>
      </c>
      <c r="C56" s="146"/>
      <c r="D56" s="146">
        <f>SLASH!$F$42/10^6</f>
        <v>0</v>
      </c>
      <c r="E56" s="146">
        <f t="shared" ref="E56:AQ56" si="27">$D56+D56</f>
        <v>0</v>
      </c>
      <c r="F56" s="146">
        <f t="shared" si="27"/>
        <v>0</v>
      </c>
      <c r="G56" s="146">
        <f t="shared" si="27"/>
        <v>0</v>
      </c>
      <c r="H56" s="146">
        <f t="shared" si="27"/>
        <v>0</v>
      </c>
      <c r="I56" s="146">
        <f t="shared" si="27"/>
        <v>0</v>
      </c>
      <c r="J56" s="146">
        <f t="shared" si="27"/>
        <v>0</v>
      </c>
      <c r="K56" s="146">
        <f t="shared" si="27"/>
        <v>0</v>
      </c>
      <c r="L56" s="146">
        <f t="shared" si="27"/>
        <v>0</v>
      </c>
      <c r="M56" s="146">
        <f t="shared" si="27"/>
        <v>0</v>
      </c>
      <c r="N56" s="146">
        <f t="shared" si="27"/>
        <v>0</v>
      </c>
      <c r="O56" s="146">
        <f t="shared" si="27"/>
        <v>0</v>
      </c>
      <c r="P56" s="146">
        <f t="shared" si="27"/>
        <v>0</v>
      </c>
      <c r="Q56" s="146">
        <f t="shared" si="27"/>
        <v>0</v>
      </c>
      <c r="R56" s="146">
        <f t="shared" si="27"/>
        <v>0</v>
      </c>
      <c r="S56" s="146">
        <f t="shared" si="27"/>
        <v>0</v>
      </c>
      <c r="T56" s="146">
        <f t="shared" si="27"/>
        <v>0</v>
      </c>
      <c r="U56" s="146">
        <f t="shared" si="27"/>
        <v>0</v>
      </c>
      <c r="V56" s="146">
        <f t="shared" si="27"/>
        <v>0</v>
      </c>
      <c r="W56" s="146">
        <f t="shared" si="27"/>
        <v>0</v>
      </c>
      <c r="X56" s="146">
        <f t="shared" si="27"/>
        <v>0</v>
      </c>
      <c r="Y56" s="146">
        <f t="shared" si="27"/>
        <v>0</v>
      </c>
      <c r="Z56" s="146">
        <f t="shared" si="27"/>
        <v>0</v>
      </c>
      <c r="AA56" s="146">
        <f t="shared" si="27"/>
        <v>0</v>
      </c>
      <c r="AB56" s="146">
        <f t="shared" si="27"/>
        <v>0</v>
      </c>
      <c r="AC56" s="146">
        <f t="shared" si="27"/>
        <v>0</v>
      </c>
      <c r="AD56" s="146">
        <f t="shared" si="27"/>
        <v>0</v>
      </c>
      <c r="AE56" s="146">
        <f t="shared" si="27"/>
        <v>0</v>
      </c>
      <c r="AF56" s="146">
        <f t="shared" si="27"/>
        <v>0</v>
      </c>
      <c r="AG56" s="146">
        <f t="shared" si="27"/>
        <v>0</v>
      </c>
      <c r="AH56" s="146">
        <f t="shared" si="27"/>
        <v>0</v>
      </c>
      <c r="AI56" s="146">
        <f t="shared" si="27"/>
        <v>0</v>
      </c>
      <c r="AJ56" s="146">
        <f t="shared" si="27"/>
        <v>0</v>
      </c>
      <c r="AK56" s="146">
        <f t="shared" si="27"/>
        <v>0</v>
      </c>
      <c r="AL56" s="146">
        <f t="shared" si="27"/>
        <v>0</v>
      </c>
      <c r="AM56" s="146">
        <f t="shared" si="27"/>
        <v>0</v>
      </c>
      <c r="AN56" s="146">
        <f t="shared" si="27"/>
        <v>0</v>
      </c>
      <c r="AO56" s="146">
        <f t="shared" si="27"/>
        <v>0</v>
      </c>
      <c r="AP56" s="146">
        <f t="shared" si="27"/>
        <v>0</v>
      </c>
      <c r="AQ56" s="146">
        <f t="shared" si="27"/>
        <v>0</v>
      </c>
    </row>
    <row r="57" spans="2:50" s="253" customFormat="1" ht="12.95" customHeight="1" x14ac:dyDescent="0.2">
      <c r="B57" s="283" t="s">
        <v>1009</v>
      </c>
      <c r="C57" s="146"/>
      <c r="D57" s="146">
        <f>AG!$F$41/10^6</f>
        <v>0</v>
      </c>
      <c r="E57" s="146">
        <f t="shared" ref="E57:AQ57" si="28">$D57+D57</f>
        <v>0</v>
      </c>
      <c r="F57" s="146">
        <f t="shared" si="28"/>
        <v>0</v>
      </c>
      <c r="G57" s="146">
        <f t="shared" si="28"/>
        <v>0</v>
      </c>
      <c r="H57" s="146">
        <f t="shared" si="28"/>
        <v>0</v>
      </c>
      <c r="I57" s="146">
        <f t="shared" si="28"/>
        <v>0</v>
      </c>
      <c r="J57" s="146">
        <f t="shared" si="28"/>
        <v>0</v>
      </c>
      <c r="K57" s="146">
        <f t="shared" si="28"/>
        <v>0</v>
      </c>
      <c r="L57" s="146">
        <f t="shared" si="28"/>
        <v>0</v>
      </c>
      <c r="M57" s="146">
        <f t="shared" si="28"/>
        <v>0</v>
      </c>
      <c r="N57" s="146">
        <f t="shared" si="28"/>
        <v>0</v>
      </c>
      <c r="O57" s="146">
        <f t="shared" si="28"/>
        <v>0</v>
      </c>
      <c r="P57" s="146">
        <f t="shared" si="28"/>
        <v>0</v>
      </c>
      <c r="Q57" s="146">
        <f t="shared" si="28"/>
        <v>0</v>
      </c>
      <c r="R57" s="146">
        <f t="shared" si="28"/>
        <v>0</v>
      </c>
      <c r="S57" s="146">
        <f t="shared" si="28"/>
        <v>0</v>
      </c>
      <c r="T57" s="146">
        <f t="shared" si="28"/>
        <v>0</v>
      </c>
      <c r="U57" s="146">
        <f t="shared" si="28"/>
        <v>0</v>
      </c>
      <c r="V57" s="146">
        <f t="shared" si="28"/>
        <v>0</v>
      </c>
      <c r="W57" s="146">
        <f t="shared" si="28"/>
        <v>0</v>
      </c>
      <c r="X57" s="146">
        <f t="shared" si="28"/>
        <v>0</v>
      </c>
      <c r="Y57" s="146">
        <f t="shared" si="28"/>
        <v>0</v>
      </c>
      <c r="Z57" s="146">
        <f t="shared" si="28"/>
        <v>0</v>
      </c>
      <c r="AA57" s="146">
        <f t="shared" si="28"/>
        <v>0</v>
      </c>
      <c r="AB57" s="146">
        <f t="shared" si="28"/>
        <v>0</v>
      </c>
      <c r="AC57" s="146">
        <f t="shared" si="28"/>
        <v>0</v>
      </c>
      <c r="AD57" s="146">
        <f t="shared" si="28"/>
        <v>0</v>
      </c>
      <c r="AE57" s="146">
        <f t="shared" si="28"/>
        <v>0</v>
      </c>
      <c r="AF57" s="146">
        <f t="shared" si="28"/>
        <v>0</v>
      </c>
      <c r="AG57" s="146">
        <f t="shared" si="28"/>
        <v>0</v>
      </c>
      <c r="AH57" s="146">
        <f t="shared" si="28"/>
        <v>0</v>
      </c>
      <c r="AI57" s="146">
        <f t="shared" si="28"/>
        <v>0</v>
      </c>
      <c r="AJ57" s="146">
        <f t="shared" si="28"/>
        <v>0</v>
      </c>
      <c r="AK57" s="146">
        <f t="shared" si="28"/>
        <v>0</v>
      </c>
      <c r="AL57" s="146">
        <f t="shared" si="28"/>
        <v>0</v>
      </c>
      <c r="AM57" s="146">
        <f t="shared" si="28"/>
        <v>0</v>
      </c>
      <c r="AN57" s="146">
        <f t="shared" si="28"/>
        <v>0</v>
      </c>
      <c r="AO57" s="146">
        <f t="shared" si="28"/>
        <v>0</v>
      </c>
      <c r="AP57" s="146">
        <f t="shared" si="28"/>
        <v>0</v>
      </c>
      <c r="AQ57" s="146">
        <f t="shared" si="28"/>
        <v>0</v>
      </c>
    </row>
    <row r="58" spans="2:50" s="253" customFormat="1" ht="12.95" customHeight="1" x14ac:dyDescent="0.2">
      <c r="B58" s="283" t="s">
        <v>1010</v>
      </c>
      <c r="C58" s="146"/>
      <c r="D58" s="146">
        <f>MILL!$F$32/10^6</f>
        <v>0</v>
      </c>
      <c r="E58" s="146">
        <f t="shared" ref="E58:AQ58" si="29">$D58+D58</f>
        <v>0</v>
      </c>
      <c r="F58" s="146">
        <f t="shared" si="29"/>
        <v>0</v>
      </c>
      <c r="G58" s="146">
        <f t="shared" si="29"/>
        <v>0</v>
      </c>
      <c r="H58" s="146">
        <f t="shared" si="29"/>
        <v>0</v>
      </c>
      <c r="I58" s="146">
        <f t="shared" si="29"/>
        <v>0</v>
      </c>
      <c r="J58" s="146">
        <f t="shared" si="29"/>
        <v>0</v>
      </c>
      <c r="K58" s="146">
        <f t="shared" si="29"/>
        <v>0</v>
      </c>
      <c r="L58" s="146">
        <f t="shared" si="29"/>
        <v>0</v>
      </c>
      <c r="M58" s="146">
        <f t="shared" si="29"/>
        <v>0</v>
      </c>
      <c r="N58" s="146">
        <f t="shared" si="29"/>
        <v>0</v>
      </c>
      <c r="O58" s="146">
        <f t="shared" si="29"/>
        <v>0</v>
      </c>
      <c r="P58" s="146">
        <f t="shared" si="29"/>
        <v>0</v>
      </c>
      <c r="Q58" s="146">
        <f t="shared" si="29"/>
        <v>0</v>
      </c>
      <c r="R58" s="146">
        <f t="shared" si="29"/>
        <v>0</v>
      </c>
      <c r="S58" s="146">
        <f t="shared" si="29"/>
        <v>0</v>
      </c>
      <c r="T58" s="146">
        <f t="shared" si="29"/>
        <v>0</v>
      </c>
      <c r="U58" s="146">
        <f t="shared" si="29"/>
        <v>0</v>
      </c>
      <c r="V58" s="146">
        <f t="shared" si="29"/>
        <v>0</v>
      </c>
      <c r="W58" s="146">
        <f t="shared" si="29"/>
        <v>0</v>
      </c>
      <c r="X58" s="146">
        <f t="shared" si="29"/>
        <v>0</v>
      </c>
      <c r="Y58" s="146">
        <f t="shared" si="29"/>
        <v>0</v>
      </c>
      <c r="Z58" s="146">
        <f t="shared" si="29"/>
        <v>0</v>
      </c>
      <c r="AA58" s="146">
        <f t="shared" si="29"/>
        <v>0</v>
      </c>
      <c r="AB58" s="146">
        <f t="shared" si="29"/>
        <v>0</v>
      </c>
      <c r="AC58" s="146">
        <f t="shared" si="29"/>
        <v>0</v>
      </c>
      <c r="AD58" s="146">
        <f t="shared" si="29"/>
        <v>0</v>
      </c>
      <c r="AE58" s="146">
        <f t="shared" si="29"/>
        <v>0</v>
      </c>
      <c r="AF58" s="146">
        <f t="shared" si="29"/>
        <v>0</v>
      </c>
      <c r="AG58" s="146">
        <f t="shared" si="29"/>
        <v>0</v>
      </c>
      <c r="AH58" s="146">
        <f t="shared" si="29"/>
        <v>0</v>
      </c>
      <c r="AI58" s="146">
        <f t="shared" si="29"/>
        <v>0</v>
      </c>
      <c r="AJ58" s="146">
        <f t="shared" si="29"/>
        <v>0</v>
      </c>
      <c r="AK58" s="146">
        <f t="shared" si="29"/>
        <v>0</v>
      </c>
      <c r="AL58" s="146">
        <f t="shared" si="29"/>
        <v>0</v>
      </c>
      <c r="AM58" s="146">
        <f t="shared" si="29"/>
        <v>0</v>
      </c>
      <c r="AN58" s="146">
        <f t="shared" si="29"/>
        <v>0</v>
      </c>
      <c r="AO58" s="146">
        <f t="shared" si="29"/>
        <v>0</v>
      </c>
      <c r="AP58" s="146">
        <f t="shared" si="29"/>
        <v>0</v>
      </c>
      <c r="AQ58" s="146">
        <f t="shared" si="29"/>
        <v>0</v>
      </c>
    </row>
    <row r="59" spans="2:50" s="253" customFormat="1" ht="12.95" customHeight="1" x14ac:dyDescent="0.2">
      <c r="B59" s="305" t="s">
        <v>1016</v>
      </c>
      <c r="C59" s="306"/>
      <c r="D59" s="306">
        <f t="shared" ref="D59:AQ59" si="30">SUM(D52:D58)</f>
        <v>1.1847178771570757</v>
      </c>
      <c r="E59" s="306">
        <f t="shared" si="30"/>
        <v>2.3694357543141513</v>
      </c>
      <c r="F59" s="306">
        <f t="shared" si="30"/>
        <v>3.5541536314712268</v>
      </c>
      <c r="G59" s="306">
        <f t="shared" si="30"/>
        <v>4.7388715086283026</v>
      </c>
      <c r="H59" s="306">
        <f t="shared" si="30"/>
        <v>5.9235893857853785</v>
      </c>
      <c r="I59" s="306">
        <f t="shared" si="30"/>
        <v>7.1083072629424544</v>
      </c>
      <c r="J59" s="306">
        <f t="shared" si="30"/>
        <v>8.2930251400995303</v>
      </c>
      <c r="K59" s="306">
        <f t="shared" si="30"/>
        <v>9.4777430172566053</v>
      </c>
      <c r="L59" s="306">
        <f t="shared" si="30"/>
        <v>10.66246089441368</v>
      </c>
      <c r="M59" s="306">
        <f t="shared" si="30"/>
        <v>11.847178771570755</v>
      </c>
      <c r="N59" s="306">
        <f t="shared" si="30"/>
        <v>13.03189664872783</v>
      </c>
      <c r="O59" s="306">
        <f t="shared" si="30"/>
        <v>14.216614525884905</v>
      </c>
      <c r="P59" s="306">
        <f t="shared" si="30"/>
        <v>15.40133240304198</v>
      </c>
      <c r="Q59" s="306">
        <f t="shared" si="30"/>
        <v>16.586050280199057</v>
      </c>
      <c r="R59" s="306">
        <f t="shared" si="30"/>
        <v>17.770768157356134</v>
      </c>
      <c r="S59" s="306">
        <f t="shared" si="30"/>
        <v>18.955486034513211</v>
      </c>
      <c r="T59" s="306">
        <f t="shared" si="30"/>
        <v>20.140203911670287</v>
      </c>
      <c r="U59" s="306">
        <f t="shared" si="30"/>
        <v>21.324921788827364</v>
      </c>
      <c r="V59" s="306">
        <f t="shared" si="30"/>
        <v>22.509639665984441</v>
      </c>
      <c r="W59" s="306">
        <f t="shared" si="30"/>
        <v>23.694357543141518</v>
      </c>
      <c r="X59" s="306">
        <f t="shared" si="30"/>
        <v>24.879075420298594</v>
      </c>
      <c r="Y59" s="306">
        <f t="shared" si="30"/>
        <v>26.063793297455671</v>
      </c>
      <c r="Z59" s="306">
        <f t="shared" si="30"/>
        <v>27.248511174612748</v>
      </c>
      <c r="AA59" s="306">
        <f t="shared" si="30"/>
        <v>28.433229051769825</v>
      </c>
      <c r="AB59" s="306">
        <f t="shared" si="30"/>
        <v>29.617946928926902</v>
      </c>
      <c r="AC59" s="306">
        <f t="shared" si="30"/>
        <v>30.802664806083978</v>
      </c>
      <c r="AD59" s="306">
        <f t="shared" si="30"/>
        <v>31.987382683241055</v>
      </c>
      <c r="AE59" s="306">
        <f t="shared" si="30"/>
        <v>33.172100560398128</v>
      </c>
      <c r="AF59" s="306">
        <f t="shared" si="30"/>
        <v>34.356818437555205</v>
      </c>
      <c r="AG59" s="306">
        <f t="shared" si="30"/>
        <v>35.541536314712282</v>
      </c>
      <c r="AH59" s="306">
        <f t="shared" si="30"/>
        <v>36.726254191869359</v>
      </c>
      <c r="AI59" s="306">
        <f t="shared" si="30"/>
        <v>37.910972069026435</v>
      </c>
      <c r="AJ59" s="306">
        <f t="shared" si="30"/>
        <v>39.095689946183512</v>
      </c>
      <c r="AK59" s="306">
        <f t="shared" si="30"/>
        <v>40.280407823340589</v>
      </c>
      <c r="AL59" s="306">
        <f t="shared" si="30"/>
        <v>41.465125700497666</v>
      </c>
      <c r="AM59" s="306">
        <f t="shared" si="30"/>
        <v>42.649843577654742</v>
      </c>
      <c r="AN59" s="306">
        <f t="shared" si="30"/>
        <v>43.834561454811819</v>
      </c>
      <c r="AO59" s="306">
        <f t="shared" si="30"/>
        <v>45.019279331968896</v>
      </c>
      <c r="AP59" s="306">
        <f t="shared" si="30"/>
        <v>46.203997209125973</v>
      </c>
      <c r="AQ59" s="306">
        <f t="shared" si="30"/>
        <v>47.38871508628305</v>
      </c>
    </row>
    <row r="60" spans="2:50" s="54" customFormat="1" ht="12.95" customHeight="1" x14ac:dyDescent="0.2">
      <c r="B60" s="81"/>
      <c r="C60" s="81"/>
      <c r="D60" s="81"/>
    </row>
    <row r="61" spans="2:50" s="253" customFormat="1" ht="12.95" customHeight="1" x14ac:dyDescent="0.25">
      <c r="B61" s="105" t="s">
        <v>989</v>
      </c>
      <c r="C61" s="106"/>
      <c r="D61" s="106"/>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row>
    <row r="62" spans="2:50" s="253" customFormat="1" ht="12.95" customHeight="1" x14ac:dyDescent="0.25">
      <c r="B62" s="19" t="s">
        <v>300</v>
      </c>
      <c r="C62" s="114" t="s">
        <v>456</v>
      </c>
      <c r="D62" s="114" t="s">
        <v>381</v>
      </c>
      <c r="E62" s="56" t="s">
        <v>382</v>
      </c>
      <c r="F62" s="56" t="s">
        <v>383</v>
      </c>
      <c r="G62" s="56" t="s">
        <v>384</v>
      </c>
      <c r="H62" s="56" t="s">
        <v>385</v>
      </c>
      <c r="I62" s="56" t="s">
        <v>386</v>
      </c>
      <c r="J62" s="56" t="s">
        <v>387</v>
      </c>
      <c r="K62" s="56" t="s">
        <v>388</v>
      </c>
      <c r="L62" s="56" t="s">
        <v>389</v>
      </c>
      <c r="M62" s="56" t="s">
        <v>390</v>
      </c>
      <c r="N62" s="56" t="s">
        <v>401</v>
      </c>
      <c r="O62" s="56" t="s">
        <v>402</v>
      </c>
      <c r="P62" s="56" t="s">
        <v>403</v>
      </c>
      <c r="Q62" s="56" t="s">
        <v>404</v>
      </c>
      <c r="R62" s="56" t="s">
        <v>405</v>
      </c>
      <c r="S62" s="56" t="s">
        <v>406</v>
      </c>
      <c r="T62" s="56" t="s">
        <v>407</v>
      </c>
      <c r="U62" s="56" t="s">
        <v>408</v>
      </c>
      <c r="V62" s="56" t="s">
        <v>409</v>
      </c>
      <c r="W62" s="56" t="s">
        <v>410</v>
      </c>
      <c r="X62" s="56" t="s">
        <v>411</v>
      </c>
      <c r="Y62" s="56" t="s">
        <v>412</v>
      </c>
      <c r="Z62" s="56" t="s">
        <v>413</v>
      </c>
      <c r="AA62" s="56" t="s">
        <v>414</v>
      </c>
      <c r="AB62" s="56" t="s">
        <v>415</v>
      </c>
      <c r="AC62" s="56" t="s">
        <v>416</v>
      </c>
      <c r="AD62" s="56" t="s">
        <v>417</v>
      </c>
      <c r="AE62" s="56" t="s">
        <v>418</v>
      </c>
      <c r="AF62" s="56" t="s">
        <v>419</v>
      </c>
      <c r="AG62" s="56" t="s">
        <v>420</v>
      </c>
      <c r="AH62" s="56" t="s">
        <v>421</v>
      </c>
      <c r="AI62" s="56" t="s">
        <v>422</v>
      </c>
      <c r="AJ62" s="56" t="s">
        <v>423</v>
      </c>
      <c r="AK62" s="56" t="s">
        <v>424</v>
      </c>
      <c r="AL62" s="56" t="s">
        <v>425</v>
      </c>
      <c r="AM62" s="56" t="s">
        <v>426</v>
      </c>
      <c r="AN62" s="56" t="s">
        <v>427</v>
      </c>
      <c r="AO62" s="56" t="s">
        <v>428</v>
      </c>
      <c r="AP62" s="56" t="s">
        <v>429</v>
      </c>
      <c r="AQ62" s="56" t="s">
        <v>430</v>
      </c>
      <c r="AX62" s="14"/>
    </row>
    <row r="63" spans="2:50" s="54" customFormat="1" ht="12.95" customHeight="1" x14ac:dyDescent="0.2">
      <c r="B63" s="81"/>
      <c r="C63" s="81"/>
      <c r="D63" s="81"/>
    </row>
    <row r="64" spans="2:50" s="54" customFormat="1" ht="12.95" customHeight="1" x14ac:dyDescent="0.2">
      <c r="B64" s="54" t="s">
        <v>497</v>
      </c>
      <c r="C64" s="311">
        <v>0</v>
      </c>
      <c r="D64" s="311">
        <v>1</v>
      </c>
      <c r="E64" s="311">
        <v>2</v>
      </c>
      <c r="F64" s="311">
        <v>3</v>
      </c>
      <c r="G64" s="311">
        <v>4</v>
      </c>
      <c r="H64" s="311">
        <f>tsTHIN!M$341</f>
        <v>5</v>
      </c>
      <c r="I64" s="311">
        <v>6</v>
      </c>
      <c r="J64" s="311">
        <v>7</v>
      </c>
      <c r="K64" s="311">
        <v>8</v>
      </c>
      <c r="L64" s="311">
        <v>9</v>
      </c>
      <c r="M64" s="311">
        <v>10</v>
      </c>
      <c r="N64" s="311">
        <v>11</v>
      </c>
      <c r="O64" s="311">
        <v>12</v>
      </c>
      <c r="P64" s="311">
        <v>13</v>
      </c>
      <c r="Q64" s="311">
        <v>14</v>
      </c>
      <c r="R64" s="311">
        <v>15</v>
      </c>
      <c r="S64" s="311">
        <v>16</v>
      </c>
      <c r="T64" s="311">
        <v>17</v>
      </c>
      <c r="U64" s="311">
        <v>18</v>
      </c>
      <c r="V64" s="311">
        <v>19</v>
      </c>
      <c r="W64" s="311">
        <v>20</v>
      </c>
      <c r="X64" s="311">
        <v>21</v>
      </c>
      <c r="Y64" s="311">
        <v>22</v>
      </c>
      <c r="Z64" s="311">
        <v>23</v>
      </c>
      <c r="AA64" s="311">
        <v>24</v>
      </c>
      <c r="AB64" s="311">
        <v>25</v>
      </c>
      <c r="AC64" s="311">
        <v>26</v>
      </c>
      <c r="AD64" s="311">
        <v>27</v>
      </c>
      <c r="AE64" s="311">
        <v>28</v>
      </c>
      <c r="AF64" s="311">
        <v>29</v>
      </c>
      <c r="AG64" s="311">
        <v>30</v>
      </c>
      <c r="AH64" s="311">
        <v>31</v>
      </c>
      <c r="AI64" s="311">
        <v>32</v>
      </c>
      <c r="AJ64" s="311">
        <v>33</v>
      </c>
      <c r="AK64" s="311">
        <v>34</v>
      </c>
      <c r="AL64" s="311">
        <v>35</v>
      </c>
      <c r="AM64" s="311">
        <v>36</v>
      </c>
      <c r="AN64" s="311">
        <v>37</v>
      </c>
      <c r="AO64" s="311">
        <v>38</v>
      </c>
      <c r="AP64" s="311">
        <v>39</v>
      </c>
      <c r="AQ64" s="311">
        <v>40</v>
      </c>
    </row>
    <row r="65" spans="2:50" s="253" customFormat="1" ht="12.95" customHeight="1" x14ac:dyDescent="0.2">
      <c r="B65" s="21" t="s">
        <v>1057</v>
      </c>
      <c r="C65" s="312">
        <v>0</v>
      </c>
      <c r="D65" s="146">
        <f t="shared" ref="D65:AQ65" ca="1" si="31">MIN(0,D30)+MIN(0,D39)</f>
        <v>0</v>
      </c>
      <c r="E65" s="146">
        <f t="shared" ca="1" si="31"/>
        <v>0</v>
      </c>
      <c r="F65" s="146">
        <f t="shared" ca="1" si="31"/>
        <v>0</v>
      </c>
      <c r="G65" s="146">
        <f t="shared" ca="1" si="31"/>
        <v>0</v>
      </c>
      <c r="H65" s="146">
        <f t="shared" ca="1" si="31"/>
        <v>0</v>
      </c>
      <c r="I65" s="146">
        <f t="shared" ca="1" si="31"/>
        <v>0</v>
      </c>
      <c r="J65" s="146">
        <f t="shared" ca="1" si="31"/>
        <v>0</v>
      </c>
      <c r="K65" s="146">
        <f t="shared" ca="1" si="31"/>
        <v>0</v>
      </c>
      <c r="L65" s="146">
        <f t="shared" ca="1" si="31"/>
        <v>0</v>
      </c>
      <c r="M65" s="146">
        <f t="shared" ca="1" si="31"/>
        <v>0</v>
      </c>
      <c r="N65" s="146">
        <f t="shared" ca="1" si="31"/>
        <v>0</v>
      </c>
      <c r="O65" s="146">
        <f t="shared" ca="1" si="31"/>
        <v>0</v>
      </c>
      <c r="P65" s="146">
        <f t="shared" ca="1" si="31"/>
        <v>0</v>
      </c>
      <c r="Q65" s="146">
        <f t="shared" ca="1" si="31"/>
        <v>0</v>
      </c>
      <c r="R65" s="146">
        <f t="shared" ca="1" si="31"/>
        <v>0</v>
      </c>
      <c r="S65" s="146">
        <f t="shared" ca="1" si="31"/>
        <v>0</v>
      </c>
      <c r="T65" s="146">
        <f t="shared" ca="1" si="31"/>
        <v>0</v>
      </c>
      <c r="U65" s="146">
        <f t="shared" ca="1" si="31"/>
        <v>0</v>
      </c>
      <c r="V65" s="146">
        <f t="shared" ca="1" si="31"/>
        <v>0</v>
      </c>
      <c r="W65" s="146">
        <f t="shared" ca="1" si="31"/>
        <v>0</v>
      </c>
      <c r="X65" s="146">
        <f t="shared" ca="1" si="31"/>
        <v>0</v>
      </c>
      <c r="Y65" s="146">
        <f t="shared" ca="1" si="31"/>
        <v>0</v>
      </c>
      <c r="Z65" s="146">
        <f t="shared" ca="1" si="31"/>
        <v>0</v>
      </c>
      <c r="AA65" s="146">
        <f t="shared" ca="1" si="31"/>
        <v>0</v>
      </c>
      <c r="AB65" s="146">
        <f t="shared" ca="1" si="31"/>
        <v>0</v>
      </c>
      <c r="AC65" s="146">
        <f t="shared" ca="1" si="31"/>
        <v>0</v>
      </c>
      <c r="AD65" s="146">
        <f t="shared" ca="1" si="31"/>
        <v>0</v>
      </c>
      <c r="AE65" s="146">
        <f t="shared" ca="1" si="31"/>
        <v>0</v>
      </c>
      <c r="AF65" s="146">
        <f t="shared" ca="1" si="31"/>
        <v>0</v>
      </c>
      <c r="AG65" s="146">
        <f t="shared" ca="1" si="31"/>
        <v>0</v>
      </c>
      <c r="AH65" s="146">
        <f t="shared" ca="1" si="31"/>
        <v>0</v>
      </c>
      <c r="AI65" s="146">
        <f t="shared" ca="1" si="31"/>
        <v>0</v>
      </c>
      <c r="AJ65" s="146">
        <f t="shared" ca="1" si="31"/>
        <v>0</v>
      </c>
      <c r="AK65" s="146">
        <f t="shared" ca="1" si="31"/>
        <v>0</v>
      </c>
      <c r="AL65" s="146">
        <f t="shared" ca="1" si="31"/>
        <v>0</v>
      </c>
      <c r="AM65" s="146">
        <f t="shared" ca="1" si="31"/>
        <v>0</v>
      </c>
      <c r="AN65" s="146">
        <f t="shared" ca="1" si="31"/>
        <v>0</v>
      </c>
      <c r="AO65" s="146">
        <f t="shared" ca="1" si="31"/>
        <v>0</v>
      </c>
      <c r="AP65" s="146">
        <f t="shared" ca="1" si="31"/>
        <v>0</v>
      </c>
      <c r="AQ65" s="146">
        <f t="shared" ca="1" si="31"/>
        <v>-0.77997169317187343</v>
      </c>
    </row>
    <row r="66" spans="2:50" s="54" customFormat="1" ht="12.95" customHeight="1" x14ac:dyDescent="0.2">
      <c r="B66" s="54" t="s">
        <v>627</v>
      </c>
      <c r="C66" s="312">
        <v>0</v>
      </c>
      <c r="D66" s="146">
        <f t="shared" ref="D66:AQ66" ca="1" si="32">MAX(D30,0)</f>
        <v>3.8784212862855738</v>
      </c>
      <c r="E66" s="146">
        <f t="shared" ca="1" si="32"/>
        <v>7.3773944145424961</v>
      </c>
      <c r="F66" s="146">
        <f t="shared" ca="1" si="32"/>
        <v>11.253660152170456</v>
      </c>
      <c r="G66" s="146">
        <f t="shared" ca="1" si="32"/>
        <v>15.39626683321908</v>
      </c>
      <c r="H66" s="146">
        <f t="shared" ca="1" si="32"/>
        <v>19.69975457549825</v>
      </c>
      <c r="I66" s="146">
        <f t="shared" ca="1" si="32"/>
        <v>24.06597585785908</v>
      </c>
      <c r="J66" s="146">
        <f t="shared" ca="1" si="32"/>
        <v>28.405232458096446</v>
      </c>
      <c r="K66" s="146">
        <f t="shared" ca="1" si="32"/>
        <v>32.636879499925001</v>
      </c>
      <c r="L66" s="146">
        <f t="shared" ca="1" si="32"/>
        <v>36.689522432544862</v>
      </c>
      <c r="M66" s="146">
        <f t="shared" ca="1" si="32"/>
        <v>40.500910535902662</v>
      </c>
      <c r="N66" s="146">
        <f t="shared" ca="1" si="32"/>
        <v>40.259027314930933</v>
      </c>
      <c r="O66" s="146">
        <f t="shared" ca="1" si="32"/>
        <v>40.140913764559684</v>
      </c>
      <c r="P66" s="146">
        <f t="shared" ca="1" si="32"/>
        <v>40.197419968733826</v>
      </c>
      <c r="Q66" s="146">
        <f t="shared" ca="1" si="32"/>
        <v>40.456066723322614</v>
      </c>
      <c r="R66" s="146">
        <f t="shared" ca="1" si="32"/>
        <v>40.926328112342439</v>
      </c>
      <c r="S66" s="146">
        <f t="shared" ca="1" si="32"/>
        <v>41.603959837410379</v>
      </c>
      <c r="T66" s="146">
        <f t="shared" ca="1" si="32"/>
        <v>42.474528371715259</v>
      </c>
      <c r="U66" s="146">
        <f t="shared" ca="1" si="32"/>
        <v>43.516272215747719</v>
      </c>
      <c r="V66" s="146">
        <f t="shared" ca="1" si="32"/>
        <v>44.702406267790856</v>
      </c>
      <c r="W66" s="146">
        <f t="shared" ca="1" si="32"/>
        <v>46.002963074891262</v>
      </c>
      <c r="X66" s="146">
        <f t="shared" ca="1" si="32"/>
        <v>47.386250060389131</v>
      </c>
      <c r="Y66" s="146">
        <f t="shared" ca="1" si="32"/>
        <v>48.819989355844676</v>
      </c>
      <c r="Z66" s="146">
        <f t="shared" ca="1" si="32"/>
        <v>50.272196276220718</v>
      </c>
      <c r="AA66" s="146">
        <f t="shared" ca="1" si="32"/>
        <v>51.711843491728423</v>
      </c>
      <c r="AB66" s="146">
        <f t="shared" ca="1" si="32"/>
        <v>53.109350331860348</v>
      </c>
      <c r="AC66" s="146">
        <f t="shared" ca="1" si="32"/>
        <v>50.939079928349202</v>
      </c>
      <c r="AD66" s="146">
        <f t="shared" ca="1" si="32"/>
        <v>48.561535676131449</v>
      </c>
      <c r="AE66" s="146">
        <f t="shared" ca="1" si="32"/>
        <v>45.975382519962956</v>
      </c>
      <c r="AF66" s="146">
        <f t="shared" ca="1" si="32"/>
        <v>43.180253179891189</v>
      </c>
      <c r="AG66" s="146">
        <f t="shared" ca="1" si="32"/>
        <v>40.176641561821462</v>
      </c>
      <c r="AH66" s="146">
        <f t="shared" ca="1" si="32"/>
        <v>36.965803283579987</v>
      </c>
      <c r="AI66" s="146">
        <f t="shared" ca="1" si="32"/>
        <v>33.549663311037094</v>
      </c>
      <c r="AJ66" s="146">
        <f t="shared" ca="1" si="32"/>
        <v>29.930730593225547</v>
      </c>
      <c r="AK66" s="146">
        <f t="shared" ca="1" si="32"/>
        <v>26.112019505256583</v>
      </c>
      <c r="AL66" s="146">
        <f t="shared" ca="1" si="32"/>
        <v>22.096977848583752</v>
      </c>
      <c r="AM66" s="146">
        <f t="shared" ca="1" si="32"/>
        <v>17.889421115925749</v>
      </c>
      <c r="AN66" s="146">
        <f t="shared" ca="1" si="32"/>
        <v>13.493472699695904</v>
      </c>
      <c r="AO66" s="146">
        <f t="shared" ca="1" si="32"/>
        <v>8.9135097053986669</v>
      </c>
      <c r="AP66" s="146">
        <f t="shared" ca="1" si="32"/>
        <v>4.1541140228934204</v>
      </c>
      <c r="AQ66" s="146">
        <f t="shared" ca="1" si="32"/>
        <v>0</v>
      </c>
    </row>
    <row r="67" spans="2:50" s="54" customFormat="1" ht="12.95" customHeight="1" x14ac:dyDescent="0.2">
      <c r="B67" s="21" t="s">
        <v>1060</v>
      </c>
      <c r="C67" s="312">
        <v>0</v>
      </c>
      <c r="D67" s="146">
        <f t="shared" ref="D67:AQ67" si="33">MAX(D39,0)</f>
        <v>0.51212297382572503</v>
      </c>
      <c r="E67" s="146">
        <f t="shared" si="33"/>
        <v>1.3315197319468852</v>
      </c>
      <c r="F67" s="146">
        <f t="shared" si="33"/>
        <v>2.4120992067191653</v>
      </c>
      <c r="G67" s="146">
        <f t="shared" si="33"/>
        <v>3.7146839906448972</v>
      </c>
      <c r="H67" s="146">
        <f t="shared" si="33"/>
        <v>5.2059732873510631</v>
      </c>
      <c r="I67" s="146">
        <f t="shared" si="33"/>
        <v>6.8576614199205981</v>
      </c>
      <c r="J67" s="146">
        <f t="shared" si="33"/>
        <v>8.6456885629739961</v>
      </c>
      <c r="K67" s="146">
        <f t="shared" si="33"/>
        <v>10.549603864938678</v>
      </c>
      <c r="L67" s="146">
        <f t="shared" si="33"/>
        <v>12.552024101977953</v>
      </c>
      <c r="M67" s="146">
        <f t="shared" si="33"/>
        <v>14.63817353383063</v>
      </c>
      <c r="N67" s="146">
        <f t="shared" si="33"/>
        <v>16.795492781274699</v>
      </c>
      <c r="O67" s="146">
        <f t="shared" si="33"/>
        <v>18.98305920034511</v>
      </c>
      <c r="P67" s="146">
        <f t="shared" si="33"/>
        <v>21.196335715297913</v>
      </c>
      <c r="Q67" s="146">
        <f t="shared" si="33"/>
        <v>23.431465811750744</v>
      </c>
      <c r="R67" s="146">
        <f t="shared" si="33"/>
        <v>25.685171452478606</v>
      </c>
      <c r="S67" s="146">
        <f t="shared" si="33"/>
        <v>27.954666305840238</v>
      </c>
      <c r="T67" s="146">
        <f t="shared" si="33"/>
        <v>30.23758198994058</v>
      </c>
      <c r="U67" s="146">
        <f t="shared" si="33"/>
        <v>32.531905380168823</v>
      </c>
      <c r="V67" s="146">
        <f t="shared" si="33"/>
        <v>34.835925320605782</v>
      </c>
      <c r="W67" s="146">
        <f t="shared" si="33"/>
        <v>37.148187328720141</v>
      </c>
      <c r="X67" s="146">
        <f t="shared" si="33"/>
        <v>39.467455094360311</v>
      </c>
      <c r="Y67" s="146">
        <f t="shared" si="33"/>
        <v>41.792677753897408</v>
      </c>
      <c r="Z67" s="146">
        <f t="shared" si="33"/>
        <v>44.122962073246882</v>
      </c>
      <c r="AA67" s="146">
        <f t="shared" si="33"/>
        <v>46.457548803436893</v>
      </c>
      <c r="AB67" s="146">
        <f t="shared" si="33"/>
        <v>48.795792582841358</v>
      </c>
      <c r="AC67" s="146">
        <f t="shared" si="33"/>
        <v>51.134036362245823</v>
      </c>
      <c r="AD67" s="146">
        <f t="shared" si="33"/>
        <v>53.47228014165028</v>
      </c>
      <c r="AE67" s="146">
        <f t="shared" si="33"/>
        <v>55.810523921054738</v>
      </c>
      <c r="AF67" s="146">
        <f t="shared" si="33"/>
        <v>58.148767700459203</v>
      </c>
      <c r="AG67" s="146">
        <f t="shared" si="33"/>
        <v>60.487011479863668</v>
      </c>
      <c r="AH67" s="146">
        <f t="shared" si="33"/>
        <v>62.825255259268125</v>
      </c>
      <c r="AI67" s="146">
        <f t="shared" si="33"/>
        <v>65.163499038672583</v>
      </c>
      <c r="AJ67" s="146">
        <f t="shared" si="33"/>
        <v>67.501742818077048</v>
      </c>
      <c r="AK67" s="146">
        <f t="shared" si="33"/>
        <v>69.839986597481499</v>
      </c>
      <c r="AL67" s="146">
        <f t="shared" si="33"/>
        <v>72.178230376885963</v>
      </c>
      <c r="AM67" s="146">
        <f t="shared" si="33"/>
        <v>74.516474156290428</v>
      </c>
      <c r="AN67" s="146">
        <f t="shared" si="33"/>
        <v>76.854717935694879</v>
      </c>
      <c r="AO67" s="146">
        <f t="shared" si="33"/>
        <v>79.192961715099329</v>
      </c>
      <c r="AP67" s="146">
        <f t="shared" si="33"/>
        <v>81.531205494503794</v>
      </c>
      <c r="AQ67" s="146">
        <f t="shared" si="33"/>
        <v>83.869449273908259</v>
      </c>
    </row>
    <row r="68" spans="2:50" s="253" customFormat="1" ht="12.95" customHeight="1" x14ac:dyDescent="0.2">
      <c r="B68" s="21" t="s">
        <v>930</v>
      </c>
      <c r="C68" s="312">
        <v>0</v>
      </c>
      <c r="D68" s="146">
        <f t="shared" ref="D68:AQ68" si="34">D49</f>
        <v>0.11497051077797324</v>
      </c>
      <c r="E68" s="146">
        <f t="shared" si="34"/>
        <v>0.22994102155594648</v>
      </c>
      <c r="F68" s="146">
        <f t="shared" si="34"/>
        <v>0.34491153233391969</v>
      </c>
      <c r="G68" s="146">
        <f t="shared" si="34"/>
        <v>0.45988204311189296</v>
      </c>
      <c r="H68" s="146">
        <f t="shared" si="34"/>
        <v>0.57485255388986611</v>
      </c>
      <c r="I68" s="146">
        <f t="shared" si="34"/>
        <v>0.68982306466783938</v>
      </c>
      <c r="J68" s="146">
        <f t="shared" si="34"/>
        <v>0.80479357544581265</v>
      </c>
      <c r="K68" s="146">
        <f t="shared" si="34"/>
        <v>0.91976408622378591</v>
      </c>
      <c r="L68" s="146">
        <f t="shared" si="34"/>
        <v>1.034734597001759</v>
      </c>
      <c r="M68" s="146">
        <f t="shared" si="34"/>
        <v>1.1497051077797322</v>
      </c>
      <c r="N68" s="146">
        <f t="shared" si="34"/>
        <v>1.2646756185577055</v>
      </c>
      <c r="O68" s="146">
        <f t="shared" si="34"/>
        <v>1.3796461293356788</v>
      </c>
      <c r="P68" s="146">
        <f t="shared" si="34"/>
        <v>1.494616640113652</v>
      </c>
      <c r="Q68" s="146">
        <f t="shared" si="34"/>
        <v>1.6095871508916253</v>
      </c>
      <c r="R68" s="146">
        <f t="shared" si="34"/>
        <v>1.7245576616695986</v>
      </c>
      <c r="S68" s="146">
        <f t="shared" si="34"/>
        <v>1.8395281724475721</v>
      </c>
      <c r="T68" s="146">
        <f t="shared" si="34"/>
        <v>1.9544986832255455</v>
      </c>
      <c r="U68" s="146">
        <f t="shared" si="34"/>
        <v>2.0694691940035188</v>
      </c>
      <c r="V68" s="146">
        <f t="shared" si="34"/>
        <v>2.1844397047814921</v>
      </c>
      <c r="W68" s="146">
        <f t="shared" si="34"/>
        <v>2.2994102155594653</v>
      </c>
      <c r="X68" s="146">
        <f t="shared" si="34"/>
        <v>2.4143807263374391</v>
      </c>
      <c r="Y68" s="146">
        <f t="shared" si="34"/>
        <v>2.5293512371154123</v>
      </c>
      <c r="Z68" s="146">
        <f t="shared" si="34"/>
        <v>2.6443217478933856</v>
      </c>
      <c r="AA68" s="146">
        <f t="shared" si="34"/>
        <v>2.7592922586713593</v>
      </c>
      <c r="AB68" s="146">
        <f t="shared" si="34"/>
        <v>2.8742627694493326</v>
      </c>
      <c r="AC68" s="146">
        <f t="shared" si="34"/>
        <v>2.9892332802273058</v>
      </c>
      <c r="AD68" s="146">
        <f t="shared" si="34"/>
        <v>3.1042037910052791</v>
      </c>
      <c r="AE68" s="146">
        <f t="shared" si="34"/>
        <v>3.2191743017832519</v>
      </c>
      <c r="AF68" s="146">
        <f t="shared" si="34"/>
        <v>3.3341448125612247</v>
      </c>
      <c r="AG68" s="146">
        <f t="shared" si="34"/>
        <v>3.449115323339198</v>
      </c>
      <c r="AH68" s="146">
        <f t="shared" si="34"/>
        <v>3.5640858341171713</v>
      </c>
      <c r="AI68" s="146">
        <f t="shared" si="34"/>
        <v>3.6790563448951441</v>
      </c>
      <c r="AJ68" s="146">
        <f t="shared" si="34"/>
        <v>3.7940268556731169</v>
      </c>
      <c r="AK68" s="146">
        <f t="shared" si="34"/>
        <v>3.9089973664510902</v>
      </c>
      <c r="AL68" s="146">
        <f t="shared" si="34"/>
        <v>4.0239678772290635</v>
      </c>
      <c r="AM68" s="146">
        <f t="shared" si="34"/>
        <v>4.1389383880070358</v>
      </c>
      <c r="AN68" s="146">
        <f t="shared" si="34"/>
        <v>4.2539088987850091</v>
      </c>
      <c r="AO68" s="146">
        <f t="shared" si="34"/>
        <v>4.3688794095629824</v>
      </c>
      <c r="AP68" s="146">
        <f t="shared" si="34"/>
        <v>4.4838499203409556</v>
      </c>
      <c r="AQ68" s="146">
        <f t="shared" si="34"/>
        <v>4.5988204311189289</v>
      </c>
    </row>
    <row r="69" spans="2:50" s="253" customFormat="1" ht="12.95" customHeight="1" x14ac:dyDescent="0.2">
      <c r="B69" s="21" t="s">
        <v>570</v>
      </c>
      <c r="C69" s="312">
        <v>0</v>
      </c>
      <c r="D69" s="146">
        <f t="shared" ref="D69:AQ69" si="35">D59</f>
        <v>1.1847178771570757</v>
      </c>
      <c r="E69" s="146">
        <f t="shared" si="35"/>
        <v>2.3694357543141513</v>
      </c>
      <c r="F69" s="146">
        <f t="shared" si="35"/>
        <v>3.5541536314712268</v>
      </c>
      <c r="G69" s="146">
        <f t="shared" si="35"/>
        <v>4.7388715086283026</v>
      </c>
      <c r="H69" s="146">
        <f t="shared" si="35"/>
        <v>5.9235893857853785</v>
      </c>
      <c r="I69" s="146">
        <f t="shared" si="35"/>
        <v>7.1083072629424544</v>
      </c>
      <c r="J69" s="146">
        <f t="shared" si="35"/>
        <v>8.2930251400995303</v>
      </c>
      <c r="K69" s="146">
        <f t="shared" si="35"/>
        <v>9.4777430172566053</v>
      </c>
      <c r="L69" s="146">
        <f t="shared" si="35"/>
        <v>10.66246089441368</v>
      </c>
      <c r="M69" s="146">
        <f t="shared" si="35"/>
        <v>11.847178771570755</v>
      </c>
      <c r="N69" s="146">
        <f t="shared" si="35"/>
        <v>13.03189664872783</v>
      </c>
      <c r="O69" s="146">
        <f t="shared" si="35"/>
        <v>14.216614525884905</v>
      </c>
      <c r="P69" s="146">
        <f t="shared" si="35"/>
        <v>15.40133240304198</v>
      </c>
      <c r="Q69" s="146">
        <f t="shared" si="35"/>
        <v>16.586050280199057</v>
      </c>
      <c r="R69" s="146">
        <f t="shared" si="35"/>
        <v>17.770768157356134</v>
      </c>
      <c r="S69" s="146">
        <f t="shared" si="35"/>
        <v>18.955486034513211</v>
      </c>
      <c r="T69" s="146">
        <f t="shared" si="35"/>
        <v>20.140203911670287</v>
      </c>
      <c r="U69" s="146">
        <f t="shared" si="35"/>
        <v>21.324921788827364</v>
      </c>
      <c r="V69" s="146">
        <f t="shared" si="35"/>
        <v>22.509639665984441</v>
      </c>
      <c r="W69" s="146">
        <f t="shared" si="35"/>
        <v>23.694357543141518</v>
      </c>
      <c r="X69" s="146">
        <f t="shared" si="35"/>
        <v>24.879075420298594</v>
      </c>
      <c r="Y69" s="146">
        <f t="shared" si="35"/>
        <v>26.063793297455671</v>
      </c>
      <c r="Z69" s="146">
        <f t="shared" si="35"/>
        <v>27.248511174612748</v>
      </c>
      <c r="AA69" s="146">
        <f t="shared" si="35"/>
        <v>28.433229051769825</v>
      </c>
      <c r="AB69" s="146">
        <f t="shared" si="35"/>
        <v>29.617946928926902</v>
      </c>
      <c r="AC69" s="146">
        <f t="shared" si="35"/>
        <v>30.802664806083978</v>
      </c>
      <c r="AD69" s="146">
        <f t="shared" si="35"/>
        <v>31.987382683241055</v>
      </c>
      <c r="AE69" s="146">
        <f t="shared" si="35"/>
        <v>33.172100560398128</v>
      </c>
      <c r="AF69" s="146">
        <f t="shared" si="35"/>
        <v>34.356818437555205</v>
      </c>
      <c r="AG69" s="146">
        <f t="shared" si="35"/>
        <v>35.541536314712282</v>
      </c>
      <c r="AH69" s="146">
        <f t="shared" si="35"/>
        <v>36.726254191869359</v>
      </c>
      <c r="AI69" s="146">
        <f t="shared" si="35"/>
        <v>37.910972069026435</v>
      </c>
      <c r="AJ69" s="146">
        <f t="shared" si="35"/>
        <v>39.095689946183512</v>
      </c>
      <c r="AK69" s="146">
        <f t="shared" si="35"/>
        <v>40.280407823340589</v>
      </c>
      <c r="AL69" s="146">
        <f t="shared" si="35"/>
        <v>41.465125700497666</v>
      </c>
      <c r="AM69" s="146">
        <f t="shared" si="35"/>
        <v>42.649843577654742</v>
      </c>
      <c r="AN69" s="146">
        <f t="shared" si="35"/>
        <v>43.834561454811819</v>
      </c>
      <c r="AO69" s="146">
        <f t="shared" si="35"/>
        <v>45.019279331968896</v>
      </c>
      <c r="AP69" s="146">
        <f t="shared" si="35"/>
        <v>46.203997209125973</v>
      </c>
      <c r="AQ69" s="146">
        <f t="shared" si="35"/>
        <v>47.38871508628305</v>
      </c>
    </row>
    <row r="70" spans="2:50" s="253" customFormat="1" ht="12.95" customHeight="1" x14ac:dyDescent="0.2">
      <c r="B70" s="21" t="s">
        <v>931</v>
      </c>
      <c r="C70" s="312">
        <v>0</v>
      </c>
      <c r="D70" s="146">
        <f>params!$F$84+params!$F$85</f>
        <v>1.1809971571650775</v>
      </c>
      <c r="E70" s="146">
        <f t="shared" ref="E70:AQ70" si="36">$D70+D70</f>
        <v>2.3619943143301549</v>
      </c>
      <c r="F70" s="146">
        <f t="shared" si="36"/>
        <v>3.5429914714952324</v>
      </c>
      <c r="G70" s="146">
        <f t="shared" si="36"/>
        <v>4.7239886286603099</v>
      </c>
      <c r="H70" s="146">
        <f t="shared" si="36"/>
        <v>5.9049857858253869</v>
      </c>
      <c r="I70" s="146">
        <f t="shared" si="36"/>
        <v>7.0859829429904639</v>
      </c>
      <c r="J70" s="146">
        <f t="shared" si="36"/>
        <v>8.266980100155541</v>
      </c>
      <c r="K70" s="146">
        <f t="shared" si="36"/>
        <v>9.447977257320618</v>
      </c>
      <c r="L70" s="146">
        <f t="shared" si="36"/>
        <v>10.628974414485695</v>
      </c>
      <c r="M70" s="146">
        <f t="shared" si="36"/>
        <v>11.809971571650772</v>
      </c>
      <c r="N70" s="146">
        <f t="shared" si="36"/>
        <v>12.990968728815849</v>
      </c>
      <c r="O70" s="146">
        <f t="shared" si="36"/>
        <v>14.171965885980926</v>
      </c>
      <c r="P70" s="146">
        <f t="shared" si="36"/>
        <v>15.352963043146003</v>
      </c>
      <c r="Q70" s="146">
        <f t="shared" si="36"/>
        <v>16.533960200311082</v>
      </c>
      <c r="R70" s="146">
        <f t="shared" si="36"/>
        <v>17.714957357476159</v>
      </c>
      <c r="S70" s="146">
        <f t="shared" si="36"/>
        <v>18.895954514641236</v>
      </c>
      <c r="T70" s="146">
        <f t="shared" si="36"/>
        <v>20.076951671806313</v>
      </c>
      <c r="U70" s="146">
        <f t="shared" si="36"/>
        <v>21.25794882897139</v>
      </c>
      <c r="V70" s="146">
        <f t="shared" si="36"/>
        <v>22.438945986136467</v>
      </c>
      <c r="W70" s="146">
        <f t="shared" si="36"/>
        <v>23.619943143301544</v>
      </c>
      <c r="X70" s="146">
        <f t="shared" si="36"/>
        <v>24.800940300466621</v>
      </c>
      <c r="Y70" s="146">
        <f t="shared" si="36"/>
        <v>25.981937457631698</v>
      </c>
      <c r="Z70" s="146">
        <f t="shared" si="36"/>
        <v>27.162934614796775</v>
      </c>
      <c r="AA70" s="146">
        <f t="shared" si="36"/>
        <v>28.343931771961852</v>
      </c>
      <c r="AB70" s="146">
        <f t="shared" si="36"/>
        <v>29.524928929126929</v>
      </c>
      <c r="AC70" s="146">
        <f t="shared" si="36"/>
        <v>30.705926086292006</v>
      </c>
      <c r="AD70" s="146">
        <f t="shared" si="36"/>
        <v>31.886923243457083</v>
      </c>
      <c r="AE70" s="146">
        <f t="shared" si="36"/>
        <v>33.067920400622164</v>
      </c>
      <c r="AF70" s="146">
        <f t="shared" si="36"/>
        <v>34.248917557787244</v>
      </c>
      <c r="AG70" s="146">
        <f t="shared" si="36"/>
        <v>35.429914714952325</v>
      </c>
      <c r="AH70" s="146">
        <f t="shared" si="36"/>
        <v>36.610911872117406</v>
      </c>
      <c r="AI70" s="146">
        <f t="shared" si="36"/>
        <v>37.791909029282486</v>
      </c>
      <c r="AJ70" s="146">
        <f t="shared" si="36"/>
        <v>38.972906186447567</v>
      </c>
      <c r="AK70" s="146">
        <f t="shared" si="36"/>
        <v>40.153903343612647</v>
      </c>
      <c r="AL70" s="146">
        <f t="shared" si="36"/>
        <v>41.334900500777728</v>
      </c>
      <c r="AM70" s="146">
        <f t="shared" si="36"/>
        <v>42.515897657942809</v>
      </c>
      <c r="AN70" s="146">
        <f t="shared" si="36"/>
        <v>43.696894815107889</v>
      </c>
      <c r="AO70" s="146">
        <f t="shared" si="36"/>
        <v>44.87789197227297</v>
      </c>
      <c r="AP70" s="146">
        <f t="shared" si="36"/>
        <v>46.05888912943805</v>
      </c>
      <c r="AQ70" s="146">
        <f t="shared" si="36"/>
        <v>47.239886286603131</v>
      </c>
    </row>
    <row r="71" spans="2:50" s="54" customFormat="1" ht="12.95" customHeight="1" x14ac:dyDescent="0.2">
      <c r="B71" s="152" t="s">
        <v>929</v>
      </c>
      <c r="C71" s="312">
        <v>0</v>
      </c>
      <c r="D71" s="146">
        <f>params!$F$96</f>
        <v>0.90577415993574295</v>
      </c>
      <c r="E71" s="146">
        <f t="shared" ref="E71:AQ71" si="37">$D71+D71</f>
        <v>1.8115483198714859</v>
      </c>
      <c r="F71" s="146">
        <f t="shared" si="37"/>
        <v>2.7173224798072289</v>
      </c>
      <c r="G71" s="146">
        <f t="shared" si="37"/>
        <v>3.6230966397429718</v>
      </c>
      <c r="H71" s="146">
        <f t="shared" si="37"/>
        <v>4.5288707996787148</v>
      </c>
      <c r="I71" s="146">
        <f t="shared" si="37"/>
        <v>5.4346449596144577</v>
      </c>
      <c r="J71" s="146">
        <f t="shared" si="37"/>
        <v>6.3404191195502007</v>
      </c>
      <c r="K71" s="146">
        <f t="shared" si="37"/>
        <v>7.2461932794859436</v>
      </c>
      <c r="L71" s="146">
        <f t="shared" si="37"/>
        <v>8.1519674394216857</v>
      </c>
      <c r="M71" s="146">
        <f t="shared" si="37"/>
        <v>9.0577415993574277</v>
      </c>
      <c r="N71" s="146">
        <f t="shared" si="37"/>
        <v>9.9635157592931698</v>
      </c>
      <c r="O71" s="146">
        <f t="shared" si="37"/>
        <v>10.869289919228912</v>
      </c>
      <c r="P71" s="146">
        <f t="shared" si="37"/>
        <v>11.775064079164654</v>
      </c>
      <c r="Q71" s="146">
        <f t="shared" si="37"/>
        <v>12.680838239100396</v>
      </c>
      <c r="R71" s="146">
        <f t="shared" si="37"/>
        <v>13.586612399036138</v>
      </c>
      <c r="S71" s="146">
        <f t="shared" si="37"/>
        <v>14.49238655897188</v>
      </c>
      <c r="T71" s="146">
        <f t="shared" si="37"/>
        <v>15.398160718907622</v>
      </c>
      <c r="U71" s="146">
        <f t="shared" si="37"/>
        <v>16.303934878843364</v>
      </c>
      <c r="V71" s="146">
        <f t="shared" si="37"/>
        <v>17.209709038779106</v>
      </c>
      <c r="W71" s="146">
        <f t="shared" si="37"/>
        <v>18.115483198714848</v>
      </c>
      <c r="X71" s="146">
        <f t="shared" si="37"/>
        <v>19.02125735865059</v>
      </c>
      <c r="Y71" s="146">
        <f t="shared" si="37"/>
        <v>19.927031518586332</v>
      </c>
      <c r="Z71" s="146">
        <f t="shared" si="37"/>
        <v>20.832805678522075</v>
      </c>
      <c r="AA71" s="146">
        <f t="shared" si="37"/>
        <v>21.738579838457817</v>
      </c>
      <c r="AB71" s="146">
        <f t="shared" si="37"/>
        <v>22.644353998393559</v>
      </c>
      <c r="AC71" s="146">
        <f t="shared" si="37"/>
        <v>23.550128158329301</v>
      </c>
      <c r="AD71" s="146">
        <f t="shared" si="37"/>
        <v>24.455902318265043</v>
      </c>
      <c r="AE71" s="146">
        <f t="shared" si="37"/>
        <v>25.361676478200785</v>
      </c>
      <c r="AF71" s="146">
        <f t="shared" si="37"/>
        <v>26.267450638136527</v>
      </c>
      <c r="AG71" s="146">
        <f t="shared" si="37"/>
        <v>27.173224798072269</v>
      </c>
      <c r="AH71" s="146">
        <f t="shared" si="37"/>
        <v>28.078998958008011</v>
      </c>
      <c r="AI71" s="146">
        <f t="shared" si="37"/>
        <v>28.984773117943753</v>
      </c>
      <c r="AJ71" s="146">
        <f t="shared" si="37"/>
        <v>29.890547277879495</v>
      </c>
      <c r="AK71" s="146">
        <f t="shared" si="37"/>
        <v>30.796321437815237</v>
      </c>
      <c r="AL71" s="146">
        <f t="shared" si="37"/>
        <v>31.702095597750979</v>
      </c>
      <c r="AM71" s="146">
        <f t="shared" si="37"/>
        <v>32.607869757686721</v>
      </c>
      <c r="AN71" s="146">
        <f t="shared" si="37"/>
        <v>33.513643917622467</v>
      </c>
      <c r="AO71" s="146">
        <f t="shared" si="37"/>
        <v>34.419418077558213</v>
      </c>
      <c r="AP71" s="146">
        <f t="shared" si="37"/>
        <v>35.325192237493958</v>
      </c>
      <c r="AQ71" s="146">
        <f t="shared" si="37"/>
        <v>36.230966397429704</v>
      </c>
    </row>
    <row r="72" spans="2:50" s="253" customFormat="1" ht="12.95" customHeight="1" x14ac:dyDescent="0.2">
      <c r="B72" s="152" t="s">
        <v>1061</v>
      </c>
      <c r="C72" s="170" t="e">
        <v>#N/A</v>
      </c>
      <c r="D72" s="146" t="e">
        <f t="shared" ref="D72:AQ72" ca="1" si="38">IF(D30&lt;0,D30, #N/A)</f>
        <v>#N/A</v>
      </c>
      <c r="E72" s="146" t="e">
        <f t="shared" ca="1" si="38"/>
        <v>#N/A</v>
      </c>
      <c r="F72" s="146" t="e">
        <f t="shared" ca="1" si="38"/>
        <v>#N/A</v>
      </c>
      <c r="G72" s="146" t="e">
        <f t="shared" ca="1" si="38"/>
        <v>#N/A</v>
      </c>
      <c r="H72" s="146" t="e">
        <f t="shared" ca="1" si="38"/>
        <v>#N/A</v>
      </c>
      <c r="I72" s="146" t="e">
        <f t="shared" ca="1" si="38"/>
        <v>#N/A</v>
      </c>
      <c r="J72" s="146" t="e">
        <f t="shared" ca="1" si="38"/>
        <v>#N/A</v>
      </c>
      <c r="K72" s="146" t="e">
        <f t="shared" ca="1" si="38"/>
        <v>#N/A</v>
      </c>
      <c r="L72" s="146" t="e">
        <f t="shared" ca="1" si="38"/>
        <v>#N/A</v>
      </c>
      <c r="M72" s="146" t="e">
        <f t="shared" ca="1" si="38"/>
        <v>#N/A</v>
      </c>
      <c r="N72" s="146" t="e">
        <f t="shared" ca="1" si="38"/>
        <v>#N/A</v>
      </c>
      <c r="O72" s="146" t="e">
        <f t="shared" ca="1" si="38"/>
        <v>#N/A</v>
      </c>
      <c r="P72" s="146" t="e">
        <f t="shared" ca="1" si="38"/>
        <v>#N/A</v>
      </c>
      <c r="Q72" s="146" t="e">
        <f t="shared" ca="1" si="38"/>
        <v>#N/A</v>
      </c>
      <c r="R72" s="146" t="e">
        <f t="shared" ca="1" si="38"/>
        <v>#N/A</v>
      </c>
      <c r="S72" s="146" t="e">
        <f t="shared" ca="1" si="38"/>
        <v>#N/A</v>
      </c>
      <c r="T72" s="146" t="e">
        <f t="shared" ca="1" si="38"/>
        <v>#N/A</v>
      </c>
      <c r="U72" s="146" t="e">
        <f t="shared" ca="1" si="38"/>
        <v>#N/A</v>
      </c>
      <c r="V72" s="146" t="e">
        <f t="shared" ca="1" si="38"/>
        <v>#N/A</v>
      </c>
      <c r="W72" s="146" t="e">
        <f t="shared" ca="1" si="38"/>
        <v>#N/A</v>
      </c>
      <c r="X72" s="146" t="e">
        <f t="shared" ca="1" si="38"/>
        <v>#N/A</v>
      </c>
      <c r="Y72" s="146" t="e">
        <f t="shared" ca="1" si="38"/>
        <v>#N/A</v>
      </c>
      <c r="Z72" s="146" t="e">
        <f t="shared" ca="1" si="38"/>
        <v>#N/A</v>
      </c>
      <c r="AA72" s="146" t="e">
        <f t="shared" ca="1" si="38"/>
        <v>#N/A</v>
      </c>
      <c r="AB72" s="146" t="e">
        <f t="shared" ca="1" si="38"/>
        <v>#N/A</v>
      </c>
      <c r="AC72" s="146" t="e">
        <f t="shared" ca="1" si="38"/>
        <v>#N/A</v>
      </c>
      <c r="AD72" s="146" t="e">
        <f t="shared" ca="1" si="38"/>
        <v>#N/A</v>
      </c>
      <c r="AE72" s="146" t="e">
        <f t="shared" ca="1" si="38"/>
        <v>#N/A</v>
      </c>
      <c r="AF72" s="146" t="e">
        <f t="shared" ca="1" si="38"/>
        <v>#N/A</v>
      </c>
      <c r="AG72" s="146" t="e">
        <f t="shared" ca="1" si="38"/>
        <v>#N/A</v>
      </c>
      <c r="AH72" s="146" t="e">
        <f t="shared" ca="1" si="38"/>
        <v>#N/A</v>
      </c>
      <c r="AI72" s="146" t="e">
        <f t="shared" ca="1" si="38"/>
        <v>#N/A</v>
      </c>
      <c r="AJ72" s="146" t="e">
        <f t="shared" ca="1" si="38"/>
        <v>#N/A</v>
      </c>
      <c r="AK72" s="146" t="e">
        <f t="shared" ca="1" si="38"/>
        <v>#N/A</v>
      </c>
      <c r="AL72" s="146" t="e">
        <f t="shared" ca="1" si="38"/>
        <v>#N/A</v>
      </c>
      <c r="AM72" s="146" t="e">
        <f t="shared" ca="1" si="38"/>
        <v>#N/A</v>
      </c>
      <c r="AN72" s="146" t="e">
        <f t="shared" ca="1" si="38"/>
        <v>#N/A</v>
      </c>
      <c r="AO72" s="146" t="e">
        <f t="shared" ca="1" si="38"/>
        <v>#N/A</v>
      </c>
      <c r="AP72" s="146" t="e">
        <f t="shared" ca="1" si="38"/>
        <v>#N/A</v>
      </c>
      <c r="AQ72" s="146">
        <f t="shared" ca="1" si="38"/>
        <v>-0.77997169317187343</v>
      </c>
    </row>
    <row r="73" spans="2:50" s="253" customFormat="1" ht="12.95" customHeight="1" x14ac:dyDescent="0.2">
      <c r="B73" s="152" t="s">
        <v>1062</v>
      </c>
      <c r="C73" s="170" t="e">
        <v>#N/A</v>
      </c>
      <c r="D73" s="146" t="e">
        <f t="shared" ref="D73:AQ73" si="39">IF(D39&lt;0,D65,#N/A)</f>
        <v>#N/A</v>
      </c>
      <c r="E73" s="146" t="e">
        <f t="shared" si="39"/>
        <v>#N/A</v>
      </c>
      <c r="F73" s="146" t="e">
        <f t="shared" si="39"/>
        <v>#N/A</v>
      </c>
      <c r="G73" s="146" t="e">
        <f t="shared" si="39"/>
        <v>#N/A</v>
      </c>
      <c r="H73" s="146" t="e">
        <f t="shared" si="39"/>
        <v>#N/A</v>
      </c>
      <c r="I73" s="146" t="e">
        <f t="shared" si="39"/>
        <v>#N/A</v>
      </c>
      <c r="J73" s="146" t="e">
        <f t="shared" si="39"/>
        <v>#N/A</v>
      </c>
      <c r="K73" s="146" t="e">
        <f t="shared" si="39"/>
        <v>#N/A</v>
      </c>
      <c r="L73" s="146" t="e">
        <f t="shared" si="39"/>
        <v>#N/A</v>
      </c>
      <c r="M73" s="146" t="e">
        <f t="shared" si="39"/>
        <v>#N/A</v>
      </c>
      <c r="N73" s="146" t="e">
        <f t="shared" si="39"/>
        <v>#N/A</v>
      </c>
      <c r="O73" s="146" t="e">
        <f t="shared" si="39"/>
        <v>#N/A</v>
      </c>
      <c r="P73" s="146" t="e">
        <f t="shared" si="39"/>
        <v>#N/A</v>
      </c>
      <c r="Q73" s="146" t="e">
        <f t="shared" si="39"/>
        <v>#N/A</v>
      </c>
      <c r="R73" s="146" t="e">
        <f t="shared" si="39"/>
        <v>#N/A</v>
      </c>
      <c r="S73" s="146" t="e">
        <f t="shared" si="39"/>
        <v>#N/A</v>
      </c>
      <c r="T73" s="146" t="e">
        <f t="shared" si="39"/>
        <v>#N/A</v>
      </c>
      <c r="U73" s="146" t="e">
        <f t="shared" si="39"/>
        <v>#N/A</v>
      </c>
      <c r="V73" s="146" t="e">
        <f t="shared" si="39"/>
        <v>#N/A</v>
      </c>
      <c r="W73" s="146" t="e">
        <f t="shared" si="39"/>
        <v>#N/A</v>
      </c>
      <c r="X73" s="146" t="e">
        <f t="shared" si="39"/>
        <v>#N/A</v>
      </c>
      <c r="Y73" s="146" t="e">
        <f t="shared" si="39"/>
        <v>#N/A</v>
      </c>
      <c r="Z73" s="146" t="e">
        <f t="shared" si="39"/>
        <v>#N/A</v>
      </c>
      <c r="AA73" s="146" t="e">
        <f t="shared" si="39"/>
        <v>#N/A</v>
      </c>
      <c r="AB73" s="146" t="e">
        <f t="shared" si="39"/>
        <v>#N/A</v>
      </c>
      <c r="AC73" s="146" t="e">
        <f t="shared" si="39"/>
        <v>#N/A</v>
      </c>
      <c r="AD73" s="146" t="e">
        <f t="shared" si="39"/>
        <v>#N/A</v>
      </c>
      <c r="AE73" s="146" t="e">
        <f t="shared" si="39"/>
        <v>#N/A</v>
      </c>
      <c r="AF73" s="146" t="e">
        <f t="shared" si="39"/>
        <v>#N/A</v>
      </c>
      <c r="AG73" s="146" t="e">
        <f t="shared" si="39"/>
        <v>#N/A</v>
      </c>
      <c r="AH73" s="146" t="e">
        <f t="shared" si="39"/>
        <v>#N/A</v>
      </c>
      <c r="AI73" s="146" t="e">
        <f t="shared" si="39"/>
        <v>#N/A</v>
      </c>
      <c r="AJ73" s="146" t="e">
        <f t="shared" si="39"/>
        <v>#N/A</v>
      </c>
      <c r="AK73" s="146" t="e">
        <f t="shared" si="39"/>
        <v>#N/A</v>
      </c>
      <c r="AL73" s="146" t="e">
        <f t="shared" si="39"/>
        <v>#N/A</v>
      </c>
      <c r="AM73" s="146" t="e">
        <f t="shared" si="39"/>
        <v>#N/A</v>
      </c>
      <c r="AN73" s="146" t="e">
        <f t="shared" si="39"/>
        <v>#N/A</v>
      </c>
      <c r="AO73" s="146" t="e">
        <f t="shared" si="39"/>
        <v>#N/A</v>
      </c>
      <c r="AP73" s="146" t="e">
        <f t="shared" si="39"/>
        <v>#N/A</v>
      </c>
      <c r="AQ73" s="146" t="e">
        <f t="shared" si="39"/>
        <v>#N/A</v>
      </c>
    </row>
    <row r="74" spans="2:50" ht="12.95" customHeight="1" x14ac:dyDescent="0.2">
      <c r="B74" s="305" t="s">
        <v>1016</v>
      </c>
      <c r="C74" s="312">
        <v>0</v>
      </c>
      <c r="D74" s="306">
        <f t="shared" ref="D74:AQ74" ca="1" si="40">D30+D39+D49+D59+D70+D71</f>
        <v>7.777003965147169</v>
      </c>
      <c r="E74" s="306">
        <f t="shared" ca="1" si="40"/>
        <v>15.481833556561119</v>
      </c>
      <c r="F74" s="306">
        <f t="shared" ca="1" si="40"/>
        <v>23.825138473997228</v>
      </c>
      <c r="G74" s="306">
        <f t="shared" ca="1" si="40"/>
        <v>32.656789644007461</v>
      </c>
      <c r="H74" s="306">
        <f t="shared" ca="1" si="40"/>
        <v>41.838026388028659</v>
      </c>
      <c r="I74" s="306">
        <f t="shared" ca="1" si="40"/>
        <v>51.242395507994893</v>
      </c>
      <c r="J74" s="306">
        <f t="shared" ca="1" si="40"/>
        <v>60.756138956321529</v>
      </c>
      <c r="K74" s="306">
        <f t="shared" ca="1" si="40"/>
        <v>70.278161005150622</v>
      </c>
      <c r="L74" s="306">
        <f t="shared" ca="1" si="40"/>
        <v>79.719683879845633</v>
      </c>
      <c r="M74" s="306">
        <f t="shared" ca="1" si="40"/>
        <v>89.003681120091983</v>
      </c>
      <c r="N74" s="306">
        <f t="shared" ca="1" si="40"/>
        <v>94.305576851600193</v>
      </c>
      <c r="O74" s="306">
        <f t="shared" ca="1" si="40"/>
        <v>99.761489425335213</v>
      </c>
      <c r="P74" s="306">
        <f t="shared" ca="1" si="40"/>
        <v>105.41773184949803</v>
      </c>
      <c r="Q74" s="306">
        <f t="shared" ca="1" si="40"/>
        <v>111.29796840557553</v>
      </c>
      <c r="R74" s="306">
        <f t="shared" ca="1" si="40"/>
        <v>117.40839514035906</v>
      </c>
      <c r="S74" s="306">
        <f t="shared" ca="1" si="40"/>
        <v>123.74198142382451</v>
      </c>
      <c r="T74" s="306">
        <f t="shared" ca="1" si="40"/>
        <v>130.28192534726563</v>
      </c>
      <c r="U74" s="306">
        <f t="shared" ca="1" si="40"/>
        <v>137.00445228656218</v>
      </c>
      <c r="V74" s="306">
        <f t="shared" ca="1" si="40"/>
        <v>143.88106598407813</v>
      </c>
      <c r="W74" s="306">
        <f t="shared" ca="1" si="40"/>
        <v>150.8803445043288</v>
      </c>
      <c r="X74" s="306">
        <f t="shared" ca="1" si="40"/>
        <v>157.96935896050269</v>
      </c>
      <c r="Y74" s="306">
        <f t="shared" ca="1" si="40"/>
        <v>165.11478062053118</v>
      </c>
      <c r="Z74" s="306">
        <f t="shared" ca="1" si="40"/>
        <v>172.28373156529258</v>
      </c>
      <c r="AA74" s="306">
        <f t="shared" ca="1" si="40"/>
        <v>179.44442521602616</v>
      </c>
      <c r="AB74" s="306">
        <f t="shared" ca="1" si="40"/>
        <v>186.56663554059844</v>
      </c>
      <c r="AC74" s="306">
        <f t="shared" ca="1" si="40"/>
        <v>190.12106862152763</v>
      </c>
      <c r="AD74" s="306">
        <f t="shared" ca="1" si="40"/>
        <v>193.46822785375019</v>
      </c>
      <c r="AE74" s="306">
        <f t="shared" ca="1" si="40"/>
        <v>196.60677818202203</v>
      </c>
      <c r="AF74" s="306">
        <f t="shared" ca="1" si="40"/>
        <v>199.53635232639058</v>
      </c>
      <c r="AG74" s="306">
        <f t="shared" ca="1" si="40"/>
        <v>202.25744419276123</v>
      </c>
      <c r="AH74" s="306">
        <f t="shared" ca="1" si="40"/>
        <v>204.77130939896006</v>
      </c>
      <c r="AI74" s="306">
        <f t="shared" ca="1" si="40"/>
        <v>207.07987291085749</v>
      </c>
      <c r="AJ74" s="306">
        <f t="shared" ca="1" si="40"/>
        <v>209.1856436774863</v>
      </c>
      <c r="AK74" s="306">
        <f t="shared" ca="1" si="40"/>
        <v>211.09163607395766</v>
      </c>
      <c r="AL74" s="306">
        <f t="shared" ca="1" si="40"/>
        <v>212.80129790172515</v>
      </c>
      <c r="AM74" s="306">
        <f t="shared" ca="1" si="40"/>
        <v>214.3184446535075</v>
      </c>
      <c r="AN74" s="306">
        <f t="shared" ca="1" si="40"/>
        <v>215.64719972171798</v>
      </c>
      <c r="AO74" s="306">
        <f t="shared" ca="1" si="40"/>
        <v>216.79194021186106</v>
      </c>
      <c r="AP74" s="306">
        <f t="shared" ca="1" si="40"/>
        <v>217.75724801379616</v>
      </c>
      <c r="AQ74" s="306">
        <f t="shared" ca="1" si="40"/>
        <v>218.54786578217121</v>
      </c>
    </row>
    <row r="75" spans="2:50" s="253" customFormat="1" ht="12.95" customHeight="1" x14ac:dyDescent="0.2">
      <c r="B75" s="81"/>
      <c r="C75" s="81"/>
      <c r="D75" s="81"/>
    </row>
    <row r="76" spans="2:50" s="253" customFormat="1" ht="12.95" customHeight="1" x14ac:dyDescent="0.25">
      <c r="B76" s="105" t="s">
        <v>976</v>
      </c>
      <c r="C76" s="106"/>
      <c r="D76" s="106"/>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c r="AM76" s="107"/>
      <c r="AN76" s="107"/>
      <c r="AO76" s="107"/>
      <c r="AP76" s="107"/>
      <c r="AQ76" s="107"/>
    </row>
    <row r="77" spans="2:50" s="253" customFormat="1" ht="12.95" customHeight="1" x14ac:dyDescent="0.25">
      <c r="B77" s="19" t="s">
        <v>300</v>
      </c>
      <c r="C77" s="114"/>
      <c r="D77" s="114" t="s">
        <v>381</v>
      </c>
      <c r="E77" s="56" t="s">
        <v>382</v>
      </c>
      <c r="F77" s="56" t="s">
        <v>383</v>
      </c>
      <c r="G77" s="56" t="s">
        <v>384</v>
      </c>
      <c r="H77" s="56" t="s">
        <v>385</v>
      </c>
      <c r="I77" s="56" t="s">
        <v>386</v>
      </c>
      <c r="J77" s="56" t="s">
        <v>387</v>
      </c>
      <c r="K77" s="56" t="s">
        <v>388</v>
      </c>
      <c r="L77" s="56" t="s">
        <v>389</v>
      </c>
      <c r="M77" s="56" t="s">
        <v>390</v>
      </c>
      <c r="N77" s="56" t="s">
        <v>401</v>
      </c>
      <c r="O77" s="56" t="s">
        <v>402</v>
      </c>
      <c r="P77" s="56" t="s">
        <v>403</v>
      </c>
      <c r="Q77" s="56" t="s">
        <v>404</v>
      </c>
      <c r="R77" s="56" t="s">
        <v>405</v>
      </c>
      <c r="S77" s="56" t="s">
        <v>406</v>
      </c>
      <c r="T77" s="56" t="s">
        <v>407</v>
      </c>
      <c r="U77" s="56" t="s">
        <v>408</v>
      </c>
      <c r="V77" s="56" t="s">
        <v>409</v>
      </c>
      <c r="W77" s="56" t="s">
        <v>410</v>
      </c>
      <c r="X77" s="56" t="s">
        <v>411</v>
      </c>
      <c r="Y77" s="56" t="s">
        <v>412</v>
      </c>
      <c r="Z77" s="56" t="s">
        <v>413</v>
      </c>
      <c r="AA77" s="56" t="s">
        <v>414</v>
      </c>
      <c r="AB77" s="56" t="s">
        <v>415</v>
      </c>
      <c r="AC77" s="56" t="s">
        <v>416</v>
      </c>
      <c r="AD77" s="56" t="s">
        <v>417</v>
      </c>
      <c r="AE77" s="56" t="s">
        <v>418</v>
      </c>
      <c r="AF77" s="56" t="s">
        <v>419</v>
      </c>
      <c r="AG77" s="56" t="s">
        <v>420</v>
      </c>
      <c r="AH77" s="56" t="s">
        <v>421</v>
      </c>
      <c r="AI77" s="56" t="s">
        <v>422</v>
      </c>
      <c r="AJ77" s="56" t="s">
        <v>423</v>
      </c>
      <c r="AK77" s="56" t="s">
        <v>424</v>
      </c>
      <c r="AL77" s="56" t="s">
        <v>425</v>
      </c>
      <c r="AM77" s="56" t="s">
        <v>426</v>
      </c>
      <c r="AN77" s="56" t="s">
        <v>427</v>
      </c>
      <c r="AO77" s="56" t="s">
        <v>428</v>
      </c>
      <c r="AP77" s="56" t="s">
        <v>429</v>
      </c>
      <c r="AQ77" s="56" t="s">
        <v>430</v>
      </c>
      <c r="AX77" s="14"/>
    </row>
    <row r="78" spans="2:50" s="54" customFormat="1" ht="12.95" customHeight="1" x14ac:dyDescent="0.2">
      <c r="B78" s="81"/>
      <c r="C78" s="81"/>
      <c r="D78" s="81"/>
    </row>
    <row r="79" spans="2:50" s="121" customFormat="1" ht="12.95" customHeight="1" x14ac:dyDescent="0.2">
      <c r="B79" s="121" t="s">
        <v>1006</v>
      </c>
    </row>
    <row r="80" spans="2:50" s="253" customFormat="1" ht="12.95" customHeight="1" x14ac:dyDescent="0.2">
      <c r="B80" s="21" t="s">
        <v>939</v>
      </c>
      <c r="C80" s="146"/>
      <c r="D80" s="146">
        <f>LOG!$F$45</f>
        <v>4.38</v>
      </c>
      <c r="E80" s="146">
        <f t="shared" ref="E80:AQ80" si="41">$D$80+D80</f>
        <v>8.76</v>
      </c>
      <c r="F80" s="146">
        <f t="shared" si="41"/>
        <v>13.14</v>
      </c>
      <c r="G80" s="146">
        <f t="shared" si="41"/>
        <v>17.52</v>
      </c>
      <c r="H80" s="146">
        <f t="shared" si="41"/>
        <v>21.9</v>
      </c>
      <c r="I80" s="146">
        <f t="shared" si="41"/>
        <v>26.279999999999998</v>
      </c>
      <c r="J80" s="146">
        <f t="shared" si="41"/>
        <v>30.659999999999997</v>
      </c>
      <c r="K80" s="146">
        <f t="shared" si="41"/>
        <v>35.04</v>
      </c>
      <c r="L80" s="146">
        <f t="shared" si="41"/>
        <v>39.42</v>
      </c>
      <c r="M80" s="146">
        <f t="shared" si="41"/>
        <v>43.800000000000004</v>
      </c>
      <c r="N80" s="146">
        <f t="shared" si="41"/>
        <v>48.180000000000007</v>
      </c>
      <c r="O80" s="146">
        <f t="shared" si="41"/>
        <v>52.560000000000009</v>
      </c>
      <c r="P80" s="146">
        <f t="shared" si="41"/>
        <v>56.940000000000012</v>
      </c>
      <c r="Q80" s="146">
        <f t="shared" si="41"/>
        <v>61.320000000000014</v>
      </c>
      <c r="R80" s="146">
        <f t="shared" si="41"/>
        <v>65.700000000000017</v>
      </c>
      <c r="S80" s="146">
        <f t="shared" si="41"/>
        <v>70.080000000000013</v>
      </c>
      <c r="T80" s="146">
        <f t="shared" si="41"/>
        <v>74.460000000000008</v>
      </c>
      <c r="U80" s="146">
        <f t="shared" si="41"/>
        <v>78.84</v>
      </c>
      <c r="V80" s="146">
        <f t="shared" si="41"/>
        <v>83.22</v>
      </c>
      <c r="W80" s="146">
        <f t="shared" si="41"/>
        <v>87.6</v>
      </c>
      <c r="X80" s="146">
        <f t="shared" si="41"/>
        <v>91.97999999999999</v>
      </c>
      <c r="Y80" s="146">
        <f t="shared" si="41"/>
        <v>96.359999999999985</v>
      </c>
      <c r="Z80" s="146">
        <f t="shared" si="41"/>
        <v>100.73999999999998</v>
      </c>
      <c r="AA80" s="146">
        <f t="shared" si="41"/>
        <v>105.11999999999998</v>
      </c>
      <c r="AB80" s="146">
        <f t="shared" si="41"/>
        <v>109.49999999999997</v>
      </c>
      <c r="AC80" s="146">
        <f t="shared" si="41"/>
        <v>113.87999999999997</v>
      </c>
      <c r="AD80" s="146">
        <f t="shared" si="41"/>
        <v>118.25999999999996</v>
      </c>
      <c r="AE80" s="146">
        <f t="shared" si="41"/>
        <v>122.63999999999996</v>
      </c>
      <c r="AF80" s="146">
        <f t="shared" si="41"/>
        <v>127.01999999999995</v>
      </c>
      <c r="AG80" s="146">
        <f t="shared" si="41"/>
        <v>131.39999999999995</v>
      </c>
      <c r="AH80" s="146">
        <f t="shared" si="41"/>
        <v>135.77999999999994</v>
      </c>
      <c r="AI80" s="146">
        <f t="shared" si="41"/>
        <v>140.15999999999994</v>
      </c>
      <c r="AJ80" s="146">
        <f t="shared" si="41"/>
        <v>144.53999999999994</v>
      </c>
      <c r="AK80" s="146">
        <f t="shared" si="41"/>
        <v>148.91999999999993</v>
      </c>
      <c r="AL80" s="146">
        <f t="shared" si="41"/>
        <v>153.29999999999993</v>
      </c>
      <c r="AM80" s="146">
        <f t="shared" si="41"/>
        <v>157.67999999999992</v>
      </c>
      <c r="AN80" s="146">
        <f t="shared" si="41"/>
        <v>162.05999999999992</v>
      </c>
      <c r="AO80" s="146">
        <f t="shared" si="41"/>
        <v>166.43999999999991</v>
      </c>
      <c r="AP80" s="146">
        <f t="shared" si="41"/>
        <v>170.81999999999991</v>
      </c>
      <c r="AQ80" s="146">
        <f t="shared" si="41"/>
        <v>175.1999999999999</v>
      </c>
    </row>
    <row r="81" spans="2:43" s="253" customFormat="1" ht="12.95" customHeight="1" x14ac:dyDescent="0.2">
      <c r="B81" s="21" t="s">
        <v>941</v>
      </c>
      <c r="C81" s="206"/>
      <c r="D81" s="206">
        <f t="shared" ref="D81:AQ81" si="42">D28/D80</f>
        <v>8.6888358370512023E-2</v>
      </c>
      <c r="E81" s="206">
        <f t="shared" si="42"/>
        <v>0.12850726781292712</v>
      </c>
      <c r="F81" s="206">
        <f t="shared" si="42"/>
        <v>0.1682182680334661</v>
      </c>
      <c r="G81" s="206">
        <f t="shared" si="42"/>
        <v>0.20565876061621527</v>
      </c>
      <c r="H81" s="206">
        <f t="shared" si="42"/>
        <v>0.24056610045824756</v>
      </c>
      <c r="I81" s="206">
        <f t="shared" si="42"/>
        <v>0.27276056282662497</v>
      </c>
      <c r="J81" s="206">
        <f t="shared" si="42"/>
        <v>0.30213081937917652</v>
      </c>
      <c r="K81" s="206">
        <f t="shared" si="42"/>
        <v>0.32862157608769965</v>
      </c>
      <c r="L81" s="206">
        <f t="shared" si="42"/>
        <v>0.35222307257296737</v>
      </c>
      <c r="M81" s="206">
        <f t="shared" si="42"/>
        <v>0.37296218277614523</v>
      </c>
      <c r="N81" s="206">
        <f t="shared" si="42"/>
        <v>0.3908948919587687</v>
      </c>
      <c r="O81" s="206">
        <f t="shared" si="42"/>
        <v>0.40609995544540656</v>
      </c>
      <c r="P81" s="206">
        <f t="shared" si="42"/>
        <v>0.41867357090975177</v>
      </c>
      <c r="Q81" s="206">
        <f t="shared" si="42"/>
        <v>0.42872491888648173</v>
      </c>
      <c r="R81" s="206">
        <f t="shared" si="42"/>
        <v>0.43637244602872294</v>
      </c>
      <c r="S81" s="206">
        <f t="shared" si="42"/>
        <v>0.44174078282491036</v>
      </c>
      <c r="T81" s="206">
        <f t="shared" si="42"/>
        <v>0.44495820238736505</v>
      </c>
      <c r="U81" s="206">
        <f t="shared" si="42"/>
        <v>0.44615453983054248</v>
      </c>
      <c r="V81" s="206">
        <f t="shared" si="42"/>
        <v>0.44545950293250647</v>
      </c>
      <c r="W81" s="206">
        <f t="shared" si="42"/>
        <v>0.44300131444720675</v>
      </c>
      <c r="X81" s="206">
        <f t="shared" si="42"/>
        <v>0.43890563480604999</v>
      </c>
      <c r="Y81" s="206">
        <f t="shared" si="42"/>
        <v>0.43329472118751905</v>
      </c>
      <c r="Z81" s="206">
        <f t="shared" si="42"/>
        <v>0.42628678519303437</v>
      </c>
      <c r="AA81" s="206">
        <f t="shared" si="42"/>
        <v>0.41799551677601249</v>
      </c>
      <c r="AB81" s="206">
        <f t="shared" si="42"/>
        <v>0.40852974674222969</v>
      </c>
      <c r="AC81" s="206">
        <f t="shared" si="42"/>
        <v>0.39799322417132199</v>
      </c>
      <c r="AD81" s="206">
        <f t="shared" si="42"/>
        <v>0.38648448858683876</v>
      </c>
      <c r="AE81" s="206">
        <f t="shared" si="42"/>
        <v>0.37409681969975717</v>
      </c>
      <c r="AF81" s="206">
        <f t="shared" si="42"/>
        <v>0.36091825013205481</v>
      </c>
      <c r="AG81" s="206">
        <f t="shared" si="42"/>
        <v>0.34703162874863802</v>
      </c>
      <c r="AH81" s="206">
        <f t="shared" si="42"/>
        <v>0.33251472413607847</v>
      </c>
      <c r="AI81" s="206">
        <f t="shared" si="42"/>
        <v>0.31744035940725596</v>
      </c>
      <c r="AJ81" s="206">
        <f t="shared" si="42"/>
        <v>0.30187657091861503</v>
      </c>
      <c r="AK81" s="206">
        <f t="shared" si="42"/>
        <v>0.2858867846929547</v>
      </c>
      <c r="AL81" s="206">
        <f t="shared" si="42"/>
        <v>0.26953000537292321</v>
      </c>
      <c r="AM81" s="206">
        <f t="shared" si="42"/>
        <v>0.25286101341247003</v>
      </c>
      <c r="AN81" s="206">
        <f t="shared" si="42"/>
        <v>0.23593056696603473</v>
      </c>
      <c r="AO81" s="206">
        <f t="shared" si="42"/>
        <v>0.2187856055760965</v>
      </c>
      <c r="AP81" s="206">
        <f t="shared" si="42"/>
        <v>0.20146945330434041</v>
      </c>
      <c r="AQ81" s="206">
        <f t="shared" si="42"/>
        <v>0.18402201941352336</v>
      </c>
    </row>
    <row r="82" spans="2:43" s="253" customFormat="1" ht="12.95" customHeight="1" x14ac:dyDescent="0.2">
      <c r="B82" s="21" t="s">
        <v>943</v>
      </c>
      <c r="C82" s="206"/>
      <c r="D82" s="206" t="b">
        <f>(D81&lt;=0)</f>
        <v>0</v>
      </c>
      <c r="E82" s="206" t="b">
        <f t="shared" ref="E82:AQ82" si="43">(E81&lt;=0)</f>
        <v>0</v>
      </c>
      <c r="F82" s="206" t="b">
        <f t="shared" si="43"/>
        <v>0</v>
      </c>
      <c r="G82" s="206" t="b">
        <f t="shared" si="43"/>
        <v>0</v>
      </c>
      <c r="H82" s="206" t="b">
        <f t="shared" si="43"/>
        <v>0</v>
      </c>
      <c r="I82" s="206" t="b">
        <f t="shared" si="43"/>
        <v>0</v>
      </c>
      <c r="J82" s="206" t="b">
        <f t="shared" si="43"/>
        <v>0</v>
      </c>
      <c r="K82" s="206" t="b">
        <f t="shared" si="43"/>
        <v>0</v>
      </c>
      <c r="L82" s="206" t="b">
        <f t="shared" si="43"/>
        <v>0</v>
      </c>
      <c r="M82" s="206" t="b">
        <f t="shared" si="43"/>
        <v>0</v>
      </c>
      <c r="N82" s="206" t="b">
        <f t="shared" si="43"/>
        <v>0</v>
      </c>
      <c r="O82" s="206" t="b">
        <f t="shared" si="43"/>
        <v>0</v>
      </c>
      <c r="P82" s="206" t="b">
        <f t="shared" si="43"/>
        <v>0</v>
      </c>
      <c r="Q82" s="206" t="b">
        <f t="shared" si="43"/>
        <v>0</v>
      </c>
      <c r="R82" s="206" t="b">
        <f t="shared" si="43"/>
        <v>0</v>
      </c>
      <c r="S82" s="206" t="b">
        <f t="shared" si="43"/>
        <v>0</v>
      </c>
      <c r="T82" s="206" t="b">
        <f t="shared" si="43"/>
        <v>0</v>
      </c>
      <c r="U82" s="206" t="b">
        <f t="shared" si="43"/>
        <v>0</v>
      </c>
      <c r="V82" s="206" t="b">
        <f t="shared" si="43"/>
        <v>0</v>
      </c>
      <c r="W82" s="206" t="b">
        <f t="shared" si="43"/>
        <v>0</v>
      </c>
      <c r="X82" s="206" t="b">
        <f t="shared" si="43"/>
        <v>0</v>
      </c>
      <c r="Y82" s="206" t="b">
        <f t="shared" si="43"/>
        <v>0</v>
      </c>
      <c r="Z82" s="206" t="b">
        <f t="shared" si="43"/>
        <v>0</v>
      </c>
      <c r="AA82" s="206" t="b">
        <f t="shared" si="43"/>
        <v>0</v>
      </c>
      <c r="AB82" s="206" t="b">
        <f t="shared" si="43"/>
        <v>0</v>
      </c>
      <c r="AC82" s="206" t="b">
        <f t="shared" si="43"/>
        <v>0</v>
      </c>
      <c r="AD82" s="206" t="b">
        <f t="shared" si="43"/>
        <v>0</v>
      </c>
      <c r="AE82" s="206" t="b">
        <f t="shared" si="43"/>
        <v>0</v>
      </c>
      <c r="AF82" s="206" t="b">
        <f t="shared" si="43"/>
        <v>0</v>
      </c>
      <c r="AG82" s="206" t="b">
        <f t="shared" si="43"/>
        <v>0</v>
      </c>
      <c r="AH82" s="206" t="b">
        <f t="shared" si="43"/>
        <v>0</v>
      </c>
      <c r="AI82" s="206" t="b">
        <f t="shared" si="43"/>
        <v>0</v>
      </c>
      <c r="AJ82" s="206" t="b">
        <f t="shared" si="43"/>
        <v>0</v>
      </c>
      <c r="AK82" s="206" t="b">
        <f t="shared" si="43"/>
        <v>0</v>
      </c>
      <c r="AL82" s="206" t="b">
        <f t="shared" si="43"/>
        <v>0</v>
      </c>
      <c r="AM82" s="206" t="b">
        <f t="shared" si="43"/>
        <v>0</v>
      </c>
      <c r="AN82" s="206" t="b">
        <f t="shared" si="43"/>
        <v>0</v>
      </c>
      <c r="AO82" s="206" t="b">
        <f t="shared" si="43"/>
        <v>0</v>
      </c>
      <c r="AP82" s="206" t="b">
        <f t="shared" si="43"/>
        <v>0</v>
      </c>
      <c r="AQ82" s="206" t="b">
        <f t="shared" si="43"/>
        <v>0</v>
      </c>
    </row>
    <row r="84" spans="2:43" s="121" customFormat="1" ht="12.95" customHeight="1" x14ac:dyDescent="0.2">
      <c r="B84" s="121" t="s">
        <v>1007</v>
      </c>
    </row>
    <row r="85" spans="2:43" s="253" customFormat="1" ht="12.95" customHeight="1" x14ac:dyDescent="0.2">
      <c r="B85" s="21" t="s">
        <v>939</v>
      </c>
      <c r="C85" s="146"/>
      <c r="D85" s="146">
        <f>THIN!$F$52</f>
        <v>4.38</v>
      </c>
      <c r="E85" s="146">
        <f t="shared" ref="E85:AQ85" si="44">$D$85+D85</f>
        <v>8.76</v>
      </c>
      <c r="F85" s="146">
        <f t="shared" si="44"/>
        <v>13.14</v>
      </c>
      <c r="G85" s="146">
        <f t="shared" si="44"/>
        <v>17.52</v>
      </c>
      <c r="H85" s="146">
        <f t="shared" si="44"/>
        <v>21.9</v>
      </c>
      <c r="I85" s="146">
        <f t="shared" si="44"/>
        <v>26.279999999999998</v>
      </c>
      <c r="J85" s="146">
        <f t="shared" si="44"/>
        <v>30.659999999999997</v>
      </c>
      <c r="K85" s="146">
        <f t="shared" si="44"/>
        <v>35.04</v>
      </c>
      <c r="L85" s="146">
        <f t="shared" si="44"/>
        <v>39.42</v>
      </c>
      <c r="M85" s="146">
        <f t="shared" si="44"/>
        <v>43.800000000000004</v>
      </c>
      <c r="N85" s="146">
        <f t="shared" si="44"/>
        <v>48.180000000000007</v>
      </c>
      <c r="O85" s="146">
        <f t="shared" si="44"/>
        <v>52.560000000000009</v>
      </c>
      <c r="P85" s="146">
        <f t="shared" si="44"/>
        <v>56.940000000000012</v>
      </c>
      <c r="Q85" s="146">
        <f t="shared" si="44"/>
        <v>61.320000000000014</v>
      </c>
      <c r="R85" s="146">
        <f t="shared" si="44"/>
        <v>65.700000000000017</v>
      </c>
      <c r="S85" s="146">
        <f t="shared" si="44"/>
        <v>70.080000000000013</v>
      </c>
      <c r="T85" s="146">
        <f t="shared" si="44"/>
        <v>74.460000000000008</v>
      </c>
      <c r="U85" s="146">
        <f t="shared" si="44"/>
        <v>78.84</v>
      </c>
      <c r="V85" s="146">
        <f t="shared" si="44"/>
        <v>83.22</v>
      </c>
      <c r="W85" s="146">
        <f t="shared" si="44"/>
        <v>87.6</v>
      </c>
      <c r="X85" s="146">
        <f t="shared" si="44"/>
        <v>91.97999999999999</v>
      </c>
      <c r="Y85" s="146">
        <f t="shared" si="44"/>
        <v>96.359999999999985</v>
      </c>
      <c r="Z85" s="146">
        <f t="shared" si="44"/>
        <v>100.73999999999998</v>
      </c>
      <c r="AA85" s="146">
        <f t="shared" si="44"/>
        <v>105.11999999999998</v>
      </c>
      <c r="AB85" s="146">
        <f t="shared" si="44"/>
        <v>109.49999999999997</v>
      </c>
      <c r="AC85" s="146">
        <f t="shared" si="44"/>
        <v>113.87999999999997</v>
      </c>
      <c r="AD85" s="146">
        <f t="shared" si="44"/>
        <v>118.25999999999996</v>
      </c>
      <c r="AE85" s="146">
        <f t="shared" si="44"/>
        <v>122.63999999999996</v>
      </c>
      <c r="AF85" s="146">
        <f t="shared" si="44"/>
        <v>127.01999999999995</v>
      </c>
      <c r="AG85" s="146">
        <f t="shared" si="44"/>
        <v>131.39999999999995</v>
      </c>
      <c r="AH85" s="146">
        <f t="shared" si="44"/>
        <v>135.77999999999994</v>
      </c>
      <c r="AI85" s="146">
        <f t="shared" si="44"/>
        <v>140.15999999999994</v>
      </c>
      <c r="AJ85" s="146">
        <f t="shared" si="44"/>
        <v>144.53999999999994</v>
      </c>
      <c r="AK85" s="146">
        <f t="shared" si="44"/>
        <v>148.91999999999993</v>
      </c>
      <c r="AL85" s="146">
        <f t="shared" si="44"/>
        <v>153.29999999999993</v>
      </c>
      <c r="AM85" s="146">
        <f t="shared" si="44"/>
        <v>157.67999999999992</v>
      </c>
      <c r="AN85" s="146">
        <f t="shared" si="44"/>
        <v>162.05999999999992</v>
      </c>
      <c r="AO85" s="146">
        <f t="shared" si="44"/>
        <v>166.43999999999991</v>
      </c>
      <c r="AP85" s="146">
        <f t="shared" si="44"/>
        <v>170.81999999999991</v>
      </c>
      <c r="AQ85" s="146">
        <f t="shared" si="44"/>
        <v>175.1999999999999</v>
      </c>
    </row>
    <row r="86" spans="2:43" s="253" customFormat="1" ht="12.95" customHeight="1" x14ac:dyDescent="0.2">
      <c r="B86" s="21" t="s">
        <v>941</v>
      </c>
      <c r="C86" s="206"/>
      <c r="D86" s="206">
        <f t="shared" ref="D86:AQ86" ca="1" si="45">D29/D85</f>
        <v>0.79859595356683355</v>
      </c>
      <c r="E86" s="206">
        <f t="shared" ca="1" si="45"/>
        <v>0.71366104434945832</v>
      </c>
      <c r="F86" s="206">
        <f t="shared" ca="1" si="45"/>
        <v>0.68822466592166753</v>
      </c>
      <c r="G86" s="206">
        <f t="shared" ca="1" si="45"/>
        <v>0.67312359287802459</v>
      </c>
      <c r="H86" s="206">
        <f t="shared" ca="1" si="45"/>
        <v>0.65896607193893286</v>
      </c>
      <c r="I86" s="206">
        <f t="shared" ca="1" si="45"/>
        <v>0.64299194318018948</v>
      </c>
      <c r="J86" s="206">
        <f t="shared" ca="1" si="45"/>
        <v>0.62432816490316034</v>
      </c>
      <c r="K86" s="206">
        <f t="shared" ca="1" si="45"/>
        <v>0.60279621785993165</v>
      </c>
      <c r="L86" s="206">
        <f t="shared" ca="1" si="45"/>
        <v>0.57851062688276234</v>
      </c>
      <c r="M86" s="206">
        <f t="shared" ca="1" si="45"/>
        <v>0.55171613996135838</v>
      </c>
      <c r="N86" s="206">
        <f t="shared" ca="1" si="45"/>
        <v>0.44470135783224274</v>
      </c>
      <c r="O86" s="206">
        <f t="shared" ca="1" si="45"/>
        <v>0.35761605986204537</v>
      </c>
      <c r="P86" s="206">
        <f t="shared" ca="1" si="45"/>
        <v>0.28728744013228924</v>
      </c>
      <c r="Q86" s="206">
        <f t="shared" ca="1" si="45"/>
        <v>0.23102828925641788</v>
      </c>
      <c r="R86" s="206">
        <f t="shared" ca="1" si="45"/>
        <v>0.18655492250008113</v>
      </c>
      <c r="S86" s="206">
        <f t="shared" ca="1" si="45"/>
        <v>0.15192302764042029</v>
      </c>
      <c r="T86" s="206">
        <f t="shared" ca="1" si="45"/>
        <v>0.12547596859994697</v>
      </c>
      <c r="U86" s="206">
        <f t="shared" ca="1" si="45"/>
        <v>0.10580223611755137</v>
      </c>
      <c r="V86" s="206">
        <f t="shared" ca="1" si="45"/>
        <v>9.1699909081322653E-2</v>
      </c>
      <c r="W86" s="206">
        <f t="shared" ca="1" si="45"/>
        <v>8.2146665859771137E-2</v>
      </c>
      <c r="X86" s="206">
        <f t="shared" ca="1" si="45"/>
        <v>7.6274296270152822E-2</v>
      </c>
      <c r="Y86" s="206">
        <f t="shared" ca="1" si="45"/>
        <v>7.3346928416514565E-2</v>
      </c>
      <c r="Z86" s="206">
        <f t="shared" ca="1" si="45"/>
        <v>7.2742361880826334E-2</v>
      </c>
      <c r="AA86" s="206">
        <f t="shared" ca="1" si="45"/>
        <v>7.3936023289897276E-2</v>
      </c>
      <c r="AB86" s="206">
        <f t="shared" ca="1" si="45"/>
        <v>7.6487151265627482E-2</v>
      </c>
      <c r="AC86" s="206">
        <f t="shared" ca="1" si="45"/>
        <v>4.9311657531779608E-2</v>
      </c>
      <c r="AD86" s="206">
        <f t="shared" ca="1" si="45"/>
        <v>2.4149163333772313E-2</v>
      </c>
      <c r="AE86" s="206">
        <f t="shared" ca="1" si="45"/>
        <v>7.8399014990828851E-4</v>
      </c>
      <c r="AF86" s="206">
        <f t="shared" ca="1" si="45"/>
        <v>-2.0969791779896045E-2</v>
      </c>
      <c r="AG86" s="206">
        <f t="shared" ca="1" si="45"/>
        <v>-4.1273321581046858E-2</v>
      </c>
      <c r="AH86" s="206">
        <f t="shared" ca="1" si="45"/>
        <v>-6.0266946233736428E-2</v>
      </c>
      <c r="AI86" s="206">
        <f t="shared" ca="1" si="45"/>
        <v>-7.8073469345632807E-2</v>
      </c>
      <c r="AJ86" s="206">
        <f t="shared" ca="1" si="45"/>
        <v>-9.4800809238626368E-2</v>
      </c>
      <c r="AK86" s="206">
        <f t="shared" ca="1" si="45"/>
        <v>-0.11054418796144384</v>
      </c>
      <c r="AL86" s="206">
        <f t="shared" ca="1" si="45"/>
        <v>-0.12538794504295739</v>
      </c>
      <c r="AM86" s="206">
        <f t="shared" ca="1" si="45"/>
        <v>-0.13940704895327571</v>
      </c>
      <c r="AN86" s="206">
        <f t="shared" ca="1" si="45"/>
        <v>-0.15266836346303639</v>
      </c>
      <c r="AO86" s="206">
        <f t="shared" ca="1" si="45"/>
        <v>-0.16523171405123063</v>
      </c>
      <c r="AP86" s="206">
        <f t="shared" ca="1" si="45"/>
        <v>-0.17715079025028688</v>
      </c>
      <c r="AQ86" s="206">
        <f t="shared" ca="1" si="45"/>
        <v>-0.18847391263939023</v>
      </c>
    </row>
    <row r="87" spans="2:43" s="253" customFormat="1" ht="12.95" customHeight="1" x14ac:dyDescent="0.2">
      <c r="B87" s="21" t="s">
        <v>943</v>
      </c>
      <c r="C87" s="206"/>
      <c r="D87" s="206" t="b">
        <f t="shared" ref="D87:AQ87" ca="1" si="46">(D86&lt;=0)</f>
        <v>0</v>
      </c>
      <c r="E87" s="206" t="b">
        <f t="shared" ca="1" si="46"/>
        <v>0</v>
      </c>
      <c r="F87" s="206" t="b">
        <f t="shared" ca="1" si="46"/>
        <v>0</v>
      </c>
      <c r="G87" s="206" t="b">
        <f t="shared" ca="1" si="46"/>
        <v>0</v>
      </c>
      <c r="H87" s="206" t="b">
        <f t="shared" ca="1" si="46"/>
        <v>0</v>
      </c>
      <c r="I87" s="206" t="b">
        <f t="shared" ca="1" si="46"/>
        <v>0</v>
      </c>
      <c r="J87" s="206" t="b">
        <f t="shared" ca="1" si="46"/>
        <v>0</v>
      </c>
      <c r="K87" s="206" t="b">
        <f t="shared" ca="1" si="46"/>
        <v>0</v>
      </c>
      <c r="L87" s="206" t="b">
        <f t="shared" ca="1" si="46"/>
        <v>0</v>
      </c>
      <c r="M87" s="206" t="b">
        <f t="shared" ca="1" si="46"/>
        <v>0</v>
      </c>
      <c r="N87" s="206" t="b">
        <f t="shared" ca="1" si="46"/>
        <v>0</v>
      </c>
      <c r="O87" s="206" t="b">
        <f t="shared" ca="1" si="46"/>
        <v>0</v>
      </c>
      <c r="P87" s="206" t="b">
        <f t="shared" ca="1" si="46"/>
        <v>0</v>
      </c>
      <c r="Q87" s="206" t="b">
        <f t="shared" ca="1" si="46"/>
        <v>0</v>
      </c>
      <c r="R87" s="206" t="b">
        <f t="shared" ca="1" si="46"/>
        <v>0</v>
      </c>
      <c r="S87" s="206" t="b">
        <f t="shared" ca="1" si="46"/>
        <v>0</v>
      </c>
      <c r="T87" s="206" t="b">
        <f t="shared" ca="1" si="46"/>
        <v>0</v>
      </c>
      <c r="U87" s="206" t="b">
        <f t="shared" ca="1" si="46"/>
        <v>0</v>
      </c>
      <c r="V87" s="206" t="b">
        <f t="shared" ca="1" si="46"/>
        <v>0</v>
      </c>
      <c r="W87" s="206" t="b">
        <f t="shared" ca="1" si="46"/>
        <v>0</v>
      </c>
      <c r="X87" s="206" t="b">
        <f t="shared" ca="1" si="46"/>
        <v>0</v>
      </c>
      <c r="Y87" s="206" t="b">
        <f t="shared" ca="1" si="46"/>
        <v>0</v>
      </c>
      <c r="Z87" s="206" t="b">
        <f t="shared" ca="1" si="46"/>
        <v>0</v>
      </c>
      <c r="AA87" s="206" t="b">
        <f t="shared" ca="1" si="46"/>
        <v>0</v>
      </c>
      <c r="AB87" s="206" t="b">
        <f t="shared" ca="1" si="46"/>
        <v>0</v>
      </c>
      <c r="AC87" s="206" t="b">
        <f t="shared" ca="1" si="46"/>
        <v>0</v>
      </c>
      <c r="AD87" s="206" t="b">
        <f t="shared" ca="1" si="46"/>
        <v>0</v>
      </c>
      <c r="AE87" s="206" t="b">
        <f t="shared" ca="1" si="46"/>
        <v>0</v>
      </c>
      <c r="AF87" s="206" t="b">
        <f t="shared" ca="1" si="46"/>
        <v>1</v>
      </c>
      <c r="AG87" s="206" t="b">
        <f t="shared" ca="1" si="46"/>
        <v>1</v>
      </c>
      <c r="AH87" s="206" t="b">
        <f t="shared" ca="1" si="46"/>
        <v>1</v>
      </c>
      <c r="AI87" s="206" t="b">
        <f t="shared" ca="1" si="46"/>
        <v>1</v>
      </c>
      <c r="AJ87" s="206" t="b">
        <f t="shared" ca="1" si="46"/>
        <v>1</v>
      </c>
      <c r="AK87" s="206" t="b">
        <f t="shared" ca="1" si="46"/>
        <v>1</v>
      </c>
      <c r="AL87" s="206" t="b">
        <f t="shared" ca="1" si="46"/>
        <v>1</v>
      </c>
      <c r="AM87" s="206" t="b">
        <f t="shared" ca="1" si="46"/>
        <v>1</v>
      </c>
      <c r="AN87" s="206" t="b">
        <f t="shared" ca="1" si="46"/>
        <v>1</v>
      </c>
      <c r="AO87" s="206" t="b">
        <f t="shared" ca="1" si="46"/>
        <v>1</v>
      </c>
      <c r="AP87" s="206" t="b">
        <f t="shared" ca="1" si="46"/>
        <v>1</v>
      </c>
      <c r="AQ87" s="206" t="b">
        <f t="shared" ca="1" si="46"/>
        <v>1</v>
      </c>
    </row>
    <row r="89" spans="2:43" ht="12.95" customHeight="1" x14ac:dyDescent="0.2">
      <c r="C89"/>
    </row>
    <row r="90" spans="2:43" ht="12.95" customHeight="1" x14ac:dyDescent="0.2">
      <c r="C90"/>
    </row>
    <row r="91" spans="2:43" ht="12.95" customHeight="1" x14ac:dyDescent="0.2">
      <c r="C91"/>
    </row>
    <row r="92" spans="2:43" ht="12.95" customHeight="1" x14ac:dyDescent="0.2">
      <c r="C92"/>
    </row>
    <row r="93" spans="2:43" ht="12.95" customHeight="1" x14ac:dyDescent="0.2">
      <c r="C93"/>
    </row>
    <row r="94" spans="2:43" ht="12.95" customHeight="1" x14ac:dyDescent="0.2">
      <c r="C94"/>
    </row>
    <row r="95" spans="2:43" ht="12.95" customHeight="1" x14ac:dyDescent="0.2">
      <c r="C95"/>
    </row>
    <row r="96" spans="2:43" ht="12.95" customHeight="1" x14ac:dyDescent="0.2">
      <c r="C96"/>
    </row>
    <row r="97" spans="3:3" ht="12.95" customHeight="1" x14ac:dyDescent="0.2">
      <c r="C97"/>
    </row>
    <row r="98" spans="3:3" ht="12.95" customHeight="1" x14ac:dyDescent="0.2">
      <c r="C98"/>
    </row>
    <row r="99" spans="3:3" ht="12.95" customHeight="1" x14ac:dyDescent="0.2">
      <c r="C99"/>
    </row>
    <row r="100" spans="3:3" ht="12.95" customHeight="1" x14ac:dyDescent="0.2">
      <c r="C100"/>
    </row>
    <row r="101" spans="3:3" ht="12.95" customHeight="1" x14ac:dyDescent="0.2">
      <c r="C101"/>
    </row>
    <row r="102" spans="3:3" ht="12.95" customHeight="1" x14ac:dyDescent="0.2">
      <c r="C102"/>
    </row>
    <row r="103" spans="3:3" ht="12.95" customHeight="1" x14ac:dyDescent="0.2">
      <c r="C103"/>
    </row>
    <row r="104" spans="3:3" ht="12.95" customHeight="1" x14ac:dyDescent="0.2">
      <c r="C104"/>
    </row>
    <row r="105" spans="3:3" ht="12.95" customHeight="1" x14ac:dyDescent="0.2">
      <c r="C105"/>
    </row>
    <row r="106" spans="3:3" ht="12.95" customHeight="1" x14ac:dyDescent="0.2">
      <c r="C106"/>
    </row>
    <row r="107" spans="3:3" ht="12.95" customHeight="1" x14ac:dyDescent="0.2">
      <c r="C107"/>
    </row>
    <row r="108" spans="3:3" ht="12.95" customHeight="1" x14ac:dyDescent="0.2">
      <c r="C108"/>
    </row>
    <row r="109" spans="3:3" ht="12.95" customHeight="1" x14ac:dyDescent="0.2">
      <c r="C109"/>
    </row>
  </sheetData>
  <hyperlinks>
    <hyperlink ref="B2" location="cover!B18" display="return to TOC" xr:uid="{29A4F123-F4CE-4C0C-813C-E5A1AEAFDDE9}"/>
  </hyperlinks>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CF020-636A-4E86-9FFD-6646FD59EF25}">
  <sheetPr published="0" codeName="Sheet19">
    <tabColor rgb="FF2171B5"/>
  </sheetPr>
  <dimension ref="A1:AX24"/>
  <sheetViews>
    <sheetView workbookViewId="0"/>
  </sheetViews>
  <sheetFormatPr defaultColWidth="10.83203125" defaultRowHeight="12.95" customHeight="1" x14ac:dyDescent="0.2"/>
  <cols>
    <col min="1" max="1" width="1.83203125" style="253" customWidth="1"/>
    <col min="2" max="2" width="30.83203125" style="253" customWidth="1"/>
    <col min="3" max="43" width="6.83203125" style="253" customWidth="1"/>
    <col min="44" max="16384" width="10.83203125" style="253"/>
  </cols>
  <sheetData>
    <row r="1" spans="1:50" ht="30" customHeight="1" x14ac:dyDescent="0.2">
      <c r="A1" s="85"/>
      <c r="B1" s="86" t="s">
        <v>986</v>
      </c>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row>
    <row r="2" spans="1:50" ht="12.95" customHeight="1" x14ac:dyDescent="0.2">
      <c r="A2" s="85"/>
      <c r="B2" s="81" t="s">
        <v>349</v>
      </c>
    </row>
    <row r="3" spans="1:50" ht="12.95" customHeight="1" x14ac:dyDescent="0.2">
      <c r="A3" s="85"/>
      <c r="B3" s="155" t="s">
        <v>601</v>
      </c>
      <c r="C3" s="155"/>
      <c r="D3" s="155"/>
      <c r="E3" s="155"/>
      <c r="F3" s="156"/>
      <c r="G3" s="156"/>
      <c r="H3" s="156"/>
      <c r="I3" s="156"/>
      <c r="J3" s="156"/>
      <c r="K3" s="156"/>
      <c r="L3" s="156"/>
    </row>
    <row r="4" spans="1:50" ht="12.95" customHeight="1" x14ac:dyDescent="0.2">
      <c r="B4" s="21"/>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row>
    <row r="5" spans="1:50" ht="12.95" customHeight="1" x14ac:dyDescent="0.25">
      <c r="B5" s="105" t="s">
        <v>1055</v>
      </c>
      <c r="C5" s="106"/>
      <c r="D5" s="106"/>
      <c r="E5" s="107"/>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row>
    <row r="6" spans="1:50" ht="12.95" customHeight="1" x14ac:dyDescent="0.25">
      <c r="B6" s="19" t="s">
        <v>300</v>
      </c>
      <c r="C6" s="114" t="s">
        <v>456</v>
      </c>
      <c r="D6" s="114" t="s">
        <v>381</v>
      </c>
      <c r="E6" s="56" t="s">
        <v>382</v>
      </c>
      <c r="F6" s="56" t="s">
        <v>383</v>
      </c>
      <c r="G6" s="56" t="s">
        <v>384</v>
      </c>
      <c r="H6" s="56" t="s">
        <v>385</v>
      </c>
      <c r="I6" s="56" t="s">
        <v>386</v>
      </c>
      <c r="J6" s="56" t="s">
        <v>387</v>
      </c>
      <c r="K6" s="56" t="s">
        <v>388</v>
      </c>
      <c r="L6" s="56" t="s">
        <v>389</v>
      </c>
      <c r="M6" s="56" t="s">
        <v>390</v>
      </c>
      <c r="N6" s="56" t="s">
        <v>401</v>
      </c>
      <c r="O6" s="56" t="s">
        <v>402</v>
      </c>
      <c r="P6" s="56" t="s">
        <v>403</v>
      </c>
      <c r="Q6" s="56" t="s">
        <v>404</v>
      </c>
      <c r="R6" s="56" t="s">
        <v>405</v>
      </c>
      <c r="S6" s="56" t="s">
        <v>406</v>
      </c>
      <c r="T6" s="56" t="s">
        <v>407</v>
      </c>
      <c r="U6" s="56" t="s">
        <v>408</v>
      </c>
      <c r="V6" s="56" t="s">
        <v>409</v>
      </c>
      <c r="W6" s="56" t="s">
        <v>410</v>
      </c>
      <c r="X6" s="56" t="s">
        <v>411</v>
      </c>
      <c r="Y6" s="56" t="s">
        <v>412</v>
      </c>
      <c r="Z6" s="56" t="s">
        <v>413</v>
      </c>
      <c r="AA6" s="56" t="s">
        <v>414</v>
      </c>
      <c r="AB6" s="56" t="s">
        <v>415</v>
      </c>
      <c r="AC6" s="56" t="s">
        <v>416</v>
      </c>
      <c r="AD6" s="56" t="s">
        <v>417</v>
      </c>
      <c r="AE6" s="56" t="s">
        <v>418</v>
      </c>
      <c r="AF6" s="56" t="s">
        <v>419</v>
      </c>
      <c r="AG6" s="56" t="s">
        <v>420</v>
      </c>
      <c r="AH6" s="56" t="s">
        <v>421</v>
      </c>
      <c r="AI6" s="56" t="s">
        <v>422</v>
      </c>
      <c r="AJ6" s="56" t="s">
        <v>423</v>
      </c>
      <c r="AK6" s="56" t="s">
        <v>424</v>
      </c>
      <c r="AL6" s="56" t="s">
        <v>425</v>
      </c>
      <c r="AM6" s="56" t="s">
        <v>426</v>
      </c>
      <c r="AN6" s="56" t="s">
        <v>427</v>
      </c>
      <c r="AO6" s="56" t="s">
        <v>428</v>
      </c>
      <c r="AP6" s="56" t="s">
        <v>429</v>
      </c>
      <c r="AQ6" s="56" t="s">
        <v>430</v>
      </c>
      <c r="AX6" s="14"/>
    </row>
    <row r="7" spans="1:50" ht="12.95" customHeight="1" x14ac:dyDescent="0.2">
      <c r="B7" s="81"/>
      <c r="C7" s="81"/>
      <c r="D7" s="81"/>
    </row>
    <row r="8" spans="1:50" ht="12.95" customHeight="1" x14ac:dyDescent="0.2">
      <c r="B8" s="253" t="s">
        <v>497</v>
      </c>
      <c r="C8" s="311">
        <v>0</v>
      </c>
      <c r="D8" s="311">
        <v>1</v>
      </c>
      <c r="E8" s="311">
        <v>2</v>
      </c>
      <c r="F8" s="311">
        <v>3</v>
      </c>
      <c r="G8" s="311">
        <v>4</v>
      </c>
      <c r="H8" s="311">
        <v>5</v>
      </c>
      <c r="I8" s="311">
        <v>6</v>
      </c>
      <c r="J8" s="311">
        <v>7</v>
      </c>
      <c r="K8" s="311">
        <v>8</v>
      </c>
      <c r="L8" s="311">
        <v>9</v>
      </c>
      <c r="M8" s="311">
        <v>10</v>
      </c>
      <c r="N8" s="311">
        <v>11</v>
      </c>
      <c r="O8" s="311">
        <v>12</v>
      </c>
      <c r="P8" s="311">
        <v>13</v>
      </c>
      <c r="Q8" s="311">
        <v>14</v>
      </c>
      <c r="R8" s="311">
        <v>15</v>
      </c>
      <c r="S8" s="311">
        <v>16</v>
      </c>
      <c r="T8" s="311">
        <v>17</v>
      </c>
      <c r="U8" s="311">
        <v>18</v>
      </c>
      <c r="V8" s="311">
        <v>19</v>
      </c>
      <c r="W8" s="311">
        <v>20</v>
      </c>
      <c r="X8" s="311">
        <v>21</v>
      </c>
      <c r="Y8" s="311">
        <v>22</v>
      </c>
      <c r="Z8" s="311">
        <v>23</v>
      </c>
      <c r="AA8" s="311">
        <v>24</v>
      </c>
      <c r="AB8" s="311">
        <v>25</v>
      </c>
      <c r="AC8" s="311">
        <v>26</v>
      </c>
      <c r="AD8" s="311">
        <v>27</v>
      </c>
      <c r="AE8" s="311">
        <v>28</v>
      </c>
      <c r="AF8" s="311">
        <v>29</v>
      </c>
      <c r="AG8" s="311">
        <v>30</v>
      </c>
      <c r="AH8" s="311">
        <v>31</v>
      </c>
      <c r="AI8" s="311">
        <v>32</v>
      </c>
      <c r="AJ8" s="311">
        <v>33</v>
      </c>
      <c r="AK8" s="311">
        <v>34</v>
      </c>
      <c r="AL8" s="311">
        <v>35</v>
      </c>
      <c r="AM8" s="311">
        <v>36</v>
      </c>
      <c r="AN8" s="311">
        <v>37</v>
      </c>
      <c r="AO8" s="311">
        <v>38</v>
      </c>
      <c r="AP8" s="311">
        <v>39</v>
      </c>
      <c r="AQ8" s="311">
        <v>40</v>
      </c>
    </row>
    <row r="9" spans="1:50" ht="12.95" customHeight="1" x14ac:dyDescent="0.2">
      <c r="B9" s="21" t="s">
        <v>932</v>
      </c>
      <c r="C9" s="312">
        <v>0</v>
      </c>
      <c r="D9" s="146">
        <f>params!$F$64</f>
        <v>0.25224665279999997</v>
      </c>
      <c r="E9" s="146">
        <f>D9+$D$9</f>
        <v>0.50449330559999994</v>
      </c>
      <c r="F9" s="146">
        <f t="shared" ref="F9:AQ9" si="0">E9+$D$9</f>
        <v>0.75673995839999986</v>
      </c>
      <c r="G9" s="146">
        <f t="shared" si="0"/>
        <v>1.0089866111999999</v>
      </c>
      <c r="H9" s="146">
        <f t="shared" si="0"/>
        <v>1.2612332639999999</v>
      </c>
      <c r="I9" s="146">
        <f t="shared" si="0"/>
        <v>1.5134799167999999</v>
      </c>
      <c r="J9" s="146">
        <f t="shared" si="0"/>
        <v>1.7657265696</v>
      </c>
      <c r="K9" s="146">
        <f t="shared" si="0"/>
        <v>2.0179732223999998</v>
      </c>
      <c r="L9" s="146">
        <f t="shared" si="0"/>
        <v>2.2702198751999996</v>
      </c>
      <c r="M9" s="146">
        <f t="shared" si="0"/>
        <v>2.5224665279999994</v>
      </c>
      <c r="N9" s="146">
        <f t="shared" si="0"/>
        <v>2.7747131807999992</v>
      </c>
      <c r="O9" s="146">
        <f t="shared" si="0"/>
        <v>3.026959833599999</v>
      </c>
      <c r="P9" s="146">
        <f t="shared" si="0"/>
        <v>3.2792064863999988</v>
      </c>
      <c r="Q9" s="146">
        <f t="shared" si="0"/>
        <v>3.5314531391999986</v>
      </c>
      <c r="R9" s="146">
        <f t="shared" si="0"/>
        <v>3.7836997919999984</v>
      </c>
      <c r="S9" s="146">
        <f t="shared" si="0"/>
        <v>4.0359464447999986</v>
      </c>
      <c r="T9" s="146">
        <f t="shared" si="0"/>
        <v>4.2881930975999989</v>
      </c>
      <c r="U9" s="146">
        <f t="shared" si="0"/>
        <v>4.5404397503999991</v>
      </c>
      <c r="V9" s="146">
        <f t="shared" si="0"/>
        <v>4.7926864031999994</v>
      </c>
      <c r="W9" s="146">
        <f t="shared" si="0"/>
        <v>5.0449330559999996</v>
      </c>
      <c r="X9" s="146">
        <f t="shared" si="0"/>
        <v>5.2971797087999999</v>
      </c>
      <c r="Y9" s="146">
        <f t="shared" si="0"/>
        <v>5.5494263616000001</v>
      </c>
      <c r="Z9" s="146">
        <f t="shared" si="0"/>
        <v>5.8016730144000004</v>
      </c>
      <c r="AA9" s="146">
        <f t="shared" si="0"/>
        <v>6.0539196672000006</v>
      </c>
      <c r="AB9" s="146">
        <f t="shared" si="0"/>
        <v>6.3061663200000009</v>
      </c>
      <c r="AC9" s="146">
        <f t="shared" si="0"/>
        <v>6.5584129728000011</v>
      </c>
      <c r="AD9" s="146">
        <f t="shared" si="0"/>
        <v>6.8106596256000014</v>
      </c>
      <c r="AE9" s="146">
        <f t="shared" si="0"/>
        <v>7.0629062784000016</v>
      </c>
      <c r="AF9" s="146">
        <f t="shared" si="0"/>
        <v>7.3151529312000019</v>
      </c>
      <c r="AG9" s="146">
        <f t="shared" si="0"/>
        <v>7.5673995840000021</v>
      </c>
      <c r="AH9" s="146">
        <f t="shared" si="0"/>
        <v>7.8196462368000024</v>
      </c>
      <c r="AI9" s="146">
        <f t="shared" si="0"/>
        <v>8.0718928896000026</v>
      </c>
      <c r="AJ9" s="146">
        <f t="shared" si="0"/>
        <v>8.3241395424000029</v>
      </c>
      <c r="AK9" s="146">
        <f t="shared" si="0"/>
        <v>8.5763861952000031</v>
      </c>
      <c r="AL9" s="146">
        <f t="shared" si="0"/>
        <v>8.8286328480000034</v>
      </c>
      <c r="AM9" s="146">
        <f t="shared" si="0"/>
        <v>9.0808795008000036</v>
      </c>
      <c r="AN9" s="146">
        <f t="shared" si="0"/>
        <v>9.3331261536000039</v>
      </c>
      <c r="AO9" s="146">
        <f t="shared" si="0"/>
        <v>9.5853728064000041</v>
      </c>
      <c r="AP9" s="146">
        <f t="shared" si="0"/>
        <v>9.8376194592000044</v>
      </c>
      <c r="AQ9" s="146">
        <f t="shared" si="0"/>
        <v>10.089866112000005</v>
      </c>
    </row>
    <row r="10" spans="1:50" ht="12.95" customHeight="1" x14ac:dyDescent="0.2">
      <c r="B10" s="152" t="s">
        <v>929</v>
      </c>
      <c r="C10" s="312">
        <v>0</v>
      </c>
      <c r="D10" s="146">
        <f>params!$F$67</f>
        <v>3.174080184970308</v>
      </c>
      <c r="E10" s="146">
        <f>D10+$D$10</f>
        <v>6.3481603699406159</v>
      </c>
      <c r="F10" s="146">
        <f t="shared" ref="F10:AQ10" si="1">E10+$D$10</f>
        <v>9.5222405549109244</v>
      </c>
      <c r="G10" s="146">
        <f t="shared" si="1"/>
        <v>12.696320739881232</v>
      </c>
      <c r="H10" s="146">
        <f t="shared" si="1"/>
        <v>15.870400924851539</v>
      </c>
      <c r="I10" s="146">
        <f t="shared" si="1"/>
        <v>19.044481109821849</v>
      </c>
      <c r="J10" s="146">
        <f t="shared" si="1"/>
        <v>22.218561294792156</v>
      </c>
      <c r="K10" s="146">
        <f t="shared" si="1"/>
        <v>25.392641479762464</v>
      </c>
      <c r="L10" s="146">
        <f t="shared" si="1"/>
        <v>28.566721664732771</v>
      </c>
      <c r="M10" s="146">
        <f t="shared" si="1"/>
        <v>31.740801849703079</v>
      </c>
      <c r="N10" s="146">
        <f t="shared" si="1"/>
        <v>34.91488203467339</v>
      </c>
      <c r="O10" s="146">
        <f t="shared" si="1"/>
        <v>38.088962219643697</v>
      </c>
      <c r="P10" s="146">
        <f t="shared" si="1"/>
        <v>41.263042404614005</v>
      </c>
      <c r="Q10" s="146">
        <f t="shared" si="1"/>
        <v>44.437122589584312</v>
      </c>
      <c r="R10" s="146">
        <f t="shared" si="1"/>
        <v>47.61120277455462</v>
      </c>
      <c r="S10" s="146">
        <f t="shared" si="1"/>
        <v>50.785282959524928</v>
      </c>
      <c r="T10" s="146">
        <f t="shared" si="1"/>
        <v>53.959363144495235</v>
      </c>
      <c r="U10" s="146">
        <f t="shared" si="1"/>
        <v>57.133443329465543</v>
      </c>
      <c r="V10" s="146">
        <f t="shared" si="1"/>
        <v>60.30752351443585</v>
      </c>
      <c r="W10" s="146">
        <f t="shared" si="1"/>
        <v>63.481603699406158</v>
      </c>
      <c r="X10" s="146">
        <f t="shared" si="1"/>
        <v>66.655683884376472</v>
      </c>
      <c r="Y10" s="146">
        <f t="shared" si="1"/>
        <v>69.82976406934678</v>
      </c>
      <c r="Z10" s="146">
        <f t="shared" si="1"/>
        <v>73.003844254317087</v>
      </c>
      <c r="AA10" s="146">
        <f t="shared" si="1"/>
        <v>76.177924439287395</v>
      </c>
      <c r="AB10" s="146">
        <f t="shared" si="1"/>
        <v>79.352004624257702</v>
      </c>
      <c r="AC10" s="146">
        <f t="shared" si="1"/>
        <v>82.52608480922801</v>
      </c>
      <c r="AD10" s="146">
        <f t="shared" si="1"/>
        <v>85.700164994198317</v>
      </c>
      <c r="AE10" s="146">
        <f t="shared" si="1"/>
        <v>88.874245179168625</v>
      </c>
      <c r="AF10" s="146">
        <f t="shared" si="1"/>
        <v>92.048325364138933</v>
      </c>
      <c r="AG10" s="146">
        <f t="shared" si="1"/>
        <v>95.22240554910924</v>
      </c>
      <c r="AH10" s="146">
        <f t="shared" si="1"/>
        <v>98.396485734079548</v>
      </c>
      <c r="AI10" s="146">
        <f t="shared" si="1"/>
        <v>101.57056591904986</v>
      </c>
      <c r="AJ10" s="146">
        <f t="shared" si="1"/>
        <v>104.74464610402016</v>
      </c>
      <c r="AK10" s="146">
        <f t="shared" si="1"/>
        <v>107.91872628899047</v>
      </c>
      <c r="AL10" s="146">
        <f t="shared" si="1"/>
        <v>111.09280647396078</v>
      </c>
      <c r="AM10" s="146">
        <f t="shared" si="1"/>
        <v>114.26688665893109</v>
      </c>
      <c r="AN10" s="146">
        <f t="shared" si="1"/>
        <v>117.44096684390139</v>
      </c>
      <c r="AO10" s="146">
        <f t="shared" si="1"/>
        <v>120.6150470288717</v>
      </c>
      <c r="AP10" s="146">
        <f t="shared" si="1"/>
        <v>123.78912721384201</v>
      </c>
      <c r="AQ10" s="146">
        <f t="shared" si="1"/>
        <v>126.96320739881232</v>
      </c>
    </row>
    <row r="11" spans="1:50" ht="12.95" customHeight="1" x14ac:dyDescent="0.2">
      <c r="B11" s="152" t="s">
        <v>928</v>
      </c>
      <c r="C11" s="146">
        <f>SUM(C9:C10)</f>
        <v>0</v>
      </c>
      <c r="D11" s="146">
        <f>SUM(D9:D10)</f>
        <v>3.4263268377703078</v>
      </c>
      <c r="E11" s="146">
        <f>SUM(E9:E10)</f>
        <v>6.8526536755406156</v>
      </c>
      <c r="F11" s="146">
        <f t="shared" ref="F11:AQ11" si="2">SUM(F9:F10)</f>
        <v>10.278980513310923</v>
      </c>
      <c r="G11" s="146">
        <f t="shared" si="2"/>
        <v>13.705307351081231</v>
      </c>
      <c r="H11" s="146">
        <f t="shared" si="2"/>
        <v>17.131634188851539</v>
      </c>
      <c r="I11" s="146">
        <f t="shared" si="2"/>
        <v>20.55796102662185</v>
      </c>
      <c r="J11" s="146">
        <f t="shared" si="2"/>
        <v>23.984287864392158</v>
      </c>
      <c r="K11" s="146">
        <f t="shared" si="2"/>
        <v>27.410614702162462</v>
      </c>
      <c r="L11" s="146">
        <f t="shared" si="2"/>
        <v>30.83694153993277</v>
      </c>
      <c r="M11" s="146">
        <f t="shared" si="2"/>
        <v>34.263268377703078</v>
      </c>
      <c r="N11" s="146">
        <f t="shared" si="2"/>
        <v>37.689595215473389</v>
      </c>
      <c r="O11" s="146">
        <f t="shared" si="2"/>
        <v>41.115922053243693</v>
      </c>
      <c r="P11" s="146">
        <f t="shared" si="2"/>
        <v>44.542248891014005</v>
      </c>
      <c r="Q11" s="146">
        <f t="shared" si="2"/>
        <v>47.968575728784309</v>
      </c>
      <c r="R11" s="146">
        <f t="shared" si="2"/>
        <v>51.39490256655462</v>
      </c>
      <c r="S11" s="146">
        <f t="shared" si="2"/>
        <v>54.821229404324924</v>
      </c>
      <c r="T11" s="146">
        <f t="shared" si="2"/>
        <v>58.247556242095236</v>
      </c>
      <c r="U11" s="146">
        <f t="shared" si="2"/>
        <v>61.67388307986554</v>
      </c>
      <c r="V11" s="146">
        <f t="shared" si="2"/>
        <v>65.100209917635851</v>
      </c>
      <c r="W11" s="146">
        <f t="shared" si="2"/>
        <v>68.526536755406156</v>
      </c>
      <c r="X11" s="146">
        <f t="shared" si="2"/>
        <v>71.952863593176474</v>
      </c>
      <c r="Y11" s="146">
        <f t="shared" si="2"/>
        <v>75.379190430946778</v>
      </c>
      <c r="Z11" s="146">
        <f t="shared" si="2"/>
        <v>78.805517268717082</v>
      </c>
      <c r="AA11" s="146">
        <f t="shared" si="2"/>
        <v>82.231844106487401</v>
      </c>
      <c r="AB11" s="146">
        <f t="shared" si="2"/>
        <v>85.658170944257705</v>
      </c>
      <c r="AC11" s="146">
        <f t="shared" si="2"/>
        <v>89.084497782028009</v>
      </c>
      <c r="AD11" s="146">
        <f t="shared" si="2"/>
        <v>92.510824619798314</v>
      </c>
      <c r="AE11" s="146">
        <f t="shared" si="2"/>
        <v>95.937151457568632</v>
      </c>
      <c r="AF11" s="146">
        <f t="shared" si="2"/>
        <v>99.363478295338936</v>
      </c>
      <c r="AG11" s="146">
        <f t="shared" si="2"/>
        <v>102.78980513310924</v>
      </c>
      <c r="AH11" s="146">
        <f t="shared" si="2"/>
        <v>106.21613197087954</v>
      </c>
      <c r="AI11" s="146">
        <f t="shared" si="2"/>
        <v>109.64245880864986</v>
      </c>
      <c r="AJ11" s="146">
        <f t="shared" si="2"/>
        <v>113.06878564642017</v>
      </c>
      <c r="AK11" s="146">
        <f t="shared" si="2"/>
        <v>116.49511248419047</v>
      </c>
      <c r="AL11" s="146">
        <f t="shared" si="2"/>
        <v>119.92143932196078</v>
      </c>
      <c r="AM11" s="146">
        <f t="shared" si="2"/>
        <v>123.34776615973109</v>
      </c>
      <c r="AN11" s="146">
        <f t="shared" si="2"/>
        <v>126.7740929975014</v>
      </c>
      <c r="AO11" s="146">
        <f t="shared" si="2"/>
        <v>130.2004198352717</v>
      </c>
      <c r="AP11" s="146">
        <f t="shared" si="2"/>
        <v>133.62674667304202</v>
      </c>
      <c r="AQ11" s="146">
        <f t="shared" si="2"/>
        <v>137.05307351081231</v>
      </c>
    </row>
    <row r="12" spans="1:50" customFormat="1" ht="12.95" customHeight="1" x14ac:dyDescent="0.2">
      <c r="C12" s="253"/>
    </row>
    <row r="13" spans="1:50" customFormat="1" ht="12.95" customHeight="1" x14ac:dyDescent="0.2">
      <c r="C13" s="253"/>
    </row>
    <row r="14" spans="1:50" customFormat="1" ht="12.95" customHeight="1" x14ac:dyDescent="0.2">
      <c r="C14" s="253"/>
    </row>
    <row r="15" spans="1:50" customFormat="1" ht="12.95" customHeight="1" x14ac:dyDescent="0.2">
      <c r="C15" s="253"/>
    </row>
    <row r="16" spans="1:50" customFormat="1" ht="12.95" customHeight="1" x14ac:dyDescent="0.2">
      <c r="C16" s="253"/>
    </row>
    <row r="17" spans="3:3" customFormat="1" ht="12.95" customHeight="1" x14ac:dyDescent="0.2">
      <c r="C17" s="253"/>
    </row>
    <row r="18" spans="3:3" customFormat="1" ht="12.95" customHeight="1" x14ac:dyDescent="0.2">
      <c r="C18" s="253"/>
    </row>
    <row r="19" spans="3:3" customFormat="1" ht="12.95" customHeight="1" x14ac:dyDescent="0.2">
      <c r="C19" s="253"/>
    </row>
    <row r="20" spans="3:3" customFormat="1" ht="12.95" customHeight="1" x14ac:dyDescent="0.2">
      <c r="C20" s="253"/>
    </row>
    <row r="21" spans="3:3" customFormat="1" ht="12.95" customHeight="1" x14ac:dyDescent="0.2">
      <c r="C21" s="253"/>
    </row>
    <row r="22" spans="3:3" customFormat="1" ht="12.95" customHeight="1" x14ac:dyDescent="0.2">
      <c r="C22" s="253"/>
    </row>
    <row r="23" spans="3:3" customFormat="1" ht="12.95" customHeight="1" x14ac:dyDescent="0.2">
      <c r="C23" s="253"/>
    </row>
    <row r="24" spans="3:3" customFormat="1" ht="12.95" customHeight="1" x14ac:dyDescent="0.2">
      <c r="C24" s="253"/>
    </row>
  </sheetData>
  <hyperlinks>
    <hyperlink ref="B2" location="cover!B18" display="return to TOC" xr:uid="{817E45F5-E5FE-4C1F-9619-1B7A39AC38A6}"/>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codeName="Sheet1">
    <tabColor rgb="FF2171B5"/>
  </sheetPr>
  <dimension ref="A1:J330"/>
  <sheetViews>
    <sheetView workbookViewId="0"/>
  </sheetViews>
  <sheetFormatPr defaultColWidth="10.83203125" defaultRowHeight="12.95" customHeight="1" x14ac:dyDescent="0.2"/>
  <cols>
    <col min="1" max="1" width="1.83203125" style="54" customWidth="1"/>
    <col min="2" max="4" width="2.83203125" style="54" customWidth="1"/>
    <col min="5" max="5" width="32.83203125" style="54" customWidth="1"/>
    <col min="6" max="6" width="10.83203125" style="54" customWidth="1"/>
    <col min="7" max="7" width="11.83203125" style="54" customWidth="1"/>
    <col min="8" max="8" width="8.83203125" style="12" customWidth="1"/>
    <col min="9" max="9" width="75.83203125" style="54" customWidth="1"/>
    <col min="10" max="10" width="10.83203125" style="54" customWidth="1"/>
    <col min="11" max="16384" width="10.83203125" style="54"/>
  </cols>
  <sheetData>
    <row r="1" spans="1:10" ht="30" customHeight="1" x14ac:dyDescent="0.2">
      <c r="A1" s="85"/>
      <c r="B1" s="86" t="s">
        <v>480</v>
      </c>
      <c r="C1" s="45"/>
      <c r="D1" s="45"/>
      <c r="E1" s="45"/>
      <c r="F1" s="14"/>
      <c r="G1" s="14"/>
      <c r="H1" s="55"/>
      <c r="I1" s="14"/>
      <c r="J1" s="14"/>
    </row>
    <row r="2" spans="1:10" ht="12.95" customHeight="1" x14ac:dyDescent="0.2">
      <c r="A2" s="85"/>
      <c r="B2" s="81" t="s">
        <v>349</v>
      </c>
      <c r="C2" s="21"/>
      <c r="D2" s="21"/>
      <c r="E2" s="21"/>
      <c r="H2" s="54"/>
    </row>
    <row r="3" spans="1:10" ht="12.95" customHeight="1" x14ac:dyDescent="0.2">
      <c r="B3" s="21"/>
      <c r="C3" s="21"/>
      <c r="D3" s="21"/>
      <c r="E3" s="21"/>
      <c r="G3" s="81"/>
      <c r="H3" s="54"/>
    </row>
    <row r="4" spans="1:10" ht="12.95" customHeight="1" x14ac:dyDescent="0.25">
      <c r="B4" s="105" t="s">
        <v>458</v>
      </c>
      <c r="C4" s="106"/>
      <c r="D4" s="106"/>
      <c r="E4" s="106"/>
      <c r="F4" s="106"/>
      <c r="G4" s="106"/>
      <c r="H4" s="107"/>
      <c r="I4" s="108"/>
    </row>
    <row r="5" spans="1:10" ht="12.95" customHeight="1" x14ac:dyDescent="0.25">
      <c r="B5" s="19" t="s">
        <v>300</v>
      </c>
      <c r="C5" s="75"/>
      <c r="D5" s="75"/>
      <c r="E5" s="74"/>
      <c r="F5" s="46" t="s">
        <v>0</v>
      </c>
      <c r="G5" s="20" t="s">
        <v>1</v>
      </c>
      <c r="H5" s="56" t="s">
        <v>305</v>
      </c>
      <c r="I5" s="5" t="s">
        <v>2</v>
      </c>
      <c r="J5" s="14"/>
    </row>
    <row r="6" spans="1:10" ht="12.95" customHeight="1" x14ac:dyDescent="0.2">
      <c r="F6" s="84"/>
      <c r="H6" s="54"/>
    </row>
    <row r="7" spans="1:10" ht="12.95" customHeight="1" x14ac:dyDescent="0.2">
      <c r="B7" s="54" t="s">
        <v>452</v>
      </c>
      <c r="F7" s="126">
        <v>40</v>
      </c>
      <c r="G7" s="54" t="s">
        <v>4</v>
      </c>
      <c r="H7" s="54"/>
      <c r="I7" s="54" t="s">
        <v>453</v>
      </c>
    </row>
    <row r="8" spans="1:10" s="253" customFormat="1" ht="12.95" customHeight="1" x14ac:dyDescent="0.2">
      <c r="B8" s="253" t="s">
        <v>1099</v>
      </c>
      <c r="F8" s="186">
        <v>0.12</v>
      </c>
      <c r="I8" s="253" t="s">
        <v>1100</v>
      </c>
    </row>
    <row r="9" spans="1:10" ht="12.95" customHeight="1" x14ac:dyDescent="0.2">
      <c r="B9" s="14" t="s">
        <v>547</v>
      </c>
      <c r="F9" s="186">
        <v>7.0000000000000007E-2</v>
      </c>
      <c r="H9" s="54"/>
    </row>
    <row r="10" spans="1:10" s="253" customFormat="1" ht="12.95" customHeight="1" x14ac:dyDescent="0.2">
      <c r="A10" s="127"/>
      <c r="B10" s="21" t="s">
        <v>1212</v>
      </c>
      <c r="C10" s="21"/>
      <c r="D10" s="21"/>
      <c r="E10" s="21"/>
      <c r="F10" s="128">
        <v>1.0079400000000001</v>
      </c>
      <c r="G10" s="129" t="s">
        <v>460</v>
      </c>
      <c r="H10" s="130" t="s">
        <v>362</v>
      </c>
    </row>
    <row r="11" spans="1:10" ht="12.95" customHeight="1" x14ac:dyDescent="0.2">
      <c r="A11" s="127"/>
      <c r="B11" s="21" t="s">
        <v>459</v>
      </c>
      <c r="C11" s="21"/>
      <c r="D11" s="21"/>
      <c r="E11" s="21"/>
      <c r="F11" s="128">
        <v>12.011150000000001</v>
      </c>
      <c r="G11" s="129" t="s">
        <v>460</v>
      </c>
      <c r="H11" s="130" t="s">
        <v>362</v>
      </c>
    </row>
    <row r="12" spans="1:10" ht="12.95" customHeight="1" x14ac:dyDescent="0.2">
      <c r="A12" s="127"/>
      <c r="B12" s="21" t="s">
        <v>461</v>
      </c>
      <c r="C12" s="21"/>
      <c r="D12" s="21"/>
      <c r="E12" s="21"/>
      <c r="F12" s="131">
        <v>15.9994</v>
      </c>
      <c r="G12" s="129" t="s">
        <v>460</v>
      </c>
      <c r="H12" s="130" t="s">
        <v>362</v>
      </c>
    </row>
    <row r="13" spans="1:10" ht="12.95" customHeight="1" x14ac:dyDescent="0.2">
      <c r="B13" s="14" t="s">
        <v>1252</v>
      </c>
      <c r="F13" s="132">
        <f>(F11+2*F12)/F11</f>
        <v>3.6640912818506139</v>
      </c>
      <c r="G13" s="54" t="s">
        <v>396</v>
      </c>
      <c r="H13" s="54"/>
    </row>
    <row r="14" spans="1:10" ht="12.95" customHeight="1" x14ac:dyDescent="0.2">
      <c r="B14" s="14"/>
      <c r="F14" s="132"/>
      <c r="H14" s="54"/>
    </row>
    <row r="15" spans="1:10" ht="12.95" customHeight="1" x14ac:dyDescent="0.2">
      <c r="A15" s="127"/>
      <c r="B15" s="133" t="s">
        <v>1249</v>
      </c>
      <c r="C15" s="133"/>
      <c r="D15" s="133"/>
      <c r="E15" s="133"/>
      <c r="F15" s="134">
        <v>28</v>
      </c>
      <c r="G15" s="129" t="s">
        <v>396</v>
      </c>
      <c r="H15" s="135" t="s">
        <v>462</v>
      </c>
    </row>
    <row r="16" spans="1:10" ht="12.95" customHeight="1" x14ac:dyDescent="0.2">
      <c r="A16" s="127"/>
      <c r="B16" s="133" t="s">
        <v>1250</v>
      </c>
      <c r="C16" s="133"/>
      <c r="D16" s="133"/>
      <c r="E16" s="133"/>
      <c r="F16" s="134">
        <v>265</v>
      </c>
      <c r="G16" s="129" t="s">
        <v>396</v>
      </c>
      <c r="H16" s="135" t="s">
        <v>462</v>
      </c>
    </row>
    <row r="17" spans="1:9" s="253" customFormat="1" ht="12.95" customHeight="1" x14ac:dyDescent="0.2">
      <c r="A17" s="127"/>
      <c r="B17" s="133" t="s">
        <v>1251</v>
      </c>
      <c r="C17" s="133"/>
      <c r="D17" s="133"/>
      <c r="E17" s="133"/>
      <c r="H17" s="23"/>
    </row>
    <row r="18" spans="1:9" ht="12.95" customHeight="1" x14ac:dyDescent="0.2">
      <c r="C18" s="253" t="s">
        <v>1254</v>
      </c>
      <c r="F18" s="343">
        <f>params!F11+4*params!F10</f>
        <v>16.042909999999999</v>
      </c>
    </row>
    <row r="19" spans="1:9" ht="12.95" customHeight="1" x14ac:dyDescent="0.2">
      <c r="C19" s="253" t="s">
        <v>1255</v>
      </c>
      <c r="F19" s="343">
        <f>params!F11+2*params!F12</f>
        <v>44.009950000000003</v>
      </c>
    </row>
    <row r="20" spans="1:9" ht="12.95" customHeight="1" x14ac:dyDescent="0.2">
      <c r="C20" s="253" t="s">
        <v>1211</v>
      </c>
      <c r="F20" s="28">
        <f>F18/F19</f>
        <v>0.36452915761094928</v>
      </c>
    </row>
    <row r="21" spans="1:9" ht="12.95" customHeight="1" x14ac:dyDescent="0.2">
      <c r="C21" s="253" t="s">
        <v>1253</v>
      </c>
      <c r="F21" s="29">
        <f>F15*F20</f>
        <v>10.20681641310658</v>
      </c>
    </row>
    <row r="22" spans="1:9" s="253" customFormat="1" ht="12.95" customHeight="1" x14ac:dyDescent="0.2">
      <c r="A22" s="127"/>
      <c r="B22" s="133"/>
      <c r="C22" s="133"/>
      <c r="D22" s="133"/>
      <c r="E22" s="133"/>
      <c r="H22" s="23"/>
    </row>
    <row r="23" spans="1:9" ht="12.95" customHeight="1" x14ac:dyDescent="0.2">
      <c r="A23" s="127"/>
      <c r="B23" s="133" t="s">
        <v>467</v>
      </c>
      <c r="C23" s="133"/>
      <c r="D23" s="133"/>
      <c r="E23" s="133"/>
      <c r="F23"/>
      <c r="G23"/>
      <c r="H23"/>
      <c r="I23"/>
    </row>
    <row r="24" spans="1:9" ht="12.95" customHeight="1" x14ac:dyDescent="0.2">
      <c r="A24" s="127"/>
      <c r="B24" s="140"/>
      <c r="C24" s="54" t="s">
        <v>468</v>
      </c>
      <c r="D24" s="136"/>
      <c r="E24" s="136"/>
      <c r="F24" s="137">
        <v>53.06</v>
      </c>
      <c r="G24" s="133" t="s">
        <v>463</v>
      </c>
      <c r="H24" s="130" t="s">
        <v>464</v>
      </c>
      <c r="I24" s="54" t="s">
        <v>465</v>
      </c>
    </row>
    <row r="25" spans="1:9" ht="12.95" customHeight="1" x14ac:dyDescent="0.2">
      <c r="A25" s="127"/>
      <c r="B25" s="136"/>
      <c r="C25" s="54" t="s">
        <v>469</v>
      </c>
      <c r="D25" s="136"/>
      <c r="E25" s="136"/>
      <c r="F25" s="138">
        <v>1</v>
      </c>
      <c r="G25" s="139" t="s">
        <v>466</v>
      </c>
      <c r="H25" s="130" t="s">
        <v>464</v>
      </c>
      <c r="I25" s="54" t="s">
        <v>465</v>
      </c>
    </row>
    <row r="26" spans="1:9" ht="12.95" customHeight="1" x14ac:dyDescent="0.2">
      <c r="A26" s="127"/>
      <c r="B26" s="136"/>
      <c r="C26" s="54" t="s">
        <v>470</v>
      </c>
      <c r="D26" s="136"/>
      <c r="E26" s="136"/>
      <c r="F26" s="137">
        <v>0.1</v>
      </c>
      <c r="G26" s="139" t="s">
        <v>466</v>
      </c>
      <c r="H26" s="130" t="s">
        <v>464</v>
      </c>
      <c r="I26" s="54" t="s">
        <v>465</v>
      </c>
    </row>
    <row r="27" spans="1:9" ht="12.95" customHeight="1" x14ac:dyDescent="0.2">
      <c r="A27" s="127"/>
      <c r="B27" s="136"/>
      <c r="C27" s="54" t="s">
        <v>467</v>
      </c>
      <c r="D27" s="136"/>
      <c r="E27" s="136"/>
      <c r="F27" s="141">
        <f>(F24/1000+F25/10^6*c_GWPCH4+F26/10^6*c_GWPN2O)/mmBtuTOTJ</f>
        <v>50.384659166366276</v>
      </c>
      <c r="G27" s="133" t="s">
        <v>471</v>
      </c>
      <c r="H27" s="54"/>
    </row>
    <row r="28" spans="1:9" ht="12.95" customHeight="1" x14ac:dyDescent="0.2">
      <c r="A28" s="14"/>
      <c r="B28" s="136" t="s">
        <v>521</v>
      </c>
      <c r="D28" s="136"/>
      <c r="E28" s="136"/>
      <c r="F28" s="141"/>
      <c r="G28" s="133"/>
      <c r="H28" s="54"/>
    </row>
    <row r="29" spans="1:9" ht="12.95" customHeight="1" x14ac:dyDescent="0.2">
      <c r="A29" s="14"/>
      <c r="C29" s="136" t="s">
        <v>522</v>
      </c>
      <c r="D29" s="136"/>
      <c r="E29" s="136"/>
      <c r="F29" s="137">
        <v>100</v>
      </c>
      <c r="G29" s="133" t="s">
        <v>516</v>
      </c>
      <c r="H29" s="130"/>
    </row>
    <row r="30" spans="1:9" ht="12.95" customHeight="1" x14ac:dyDescent="0.2">
      <c r="A30" s="14"/>
      <c r="C30" s="136" t="s">
        <v>523</v>
      </c>
      <c r="D30" s="136"/>
      <c r="E30" s="136"/>
      <c r="F30" s="181">
        <f>F29/10^6</f>
        <v>1E-4</v>
      </c>
      <c r="G30" s="133" t="s">
        <v>612</v>
      </c>
      <c r="H30" s="54"/>
    </row>
    <row r="31" spans="1:9" s="215" customFormat="1" ht="12.95" customHeight="1" x14ac:dyDescent="0.2">
      <c r="A31" s="14"/>
      <c r="B31" s="136" t="s">
        <v>731</v>
      </c>
      <c r="D31" s="136"/>
      <c r="E31" s="136"/>
      <c r="F31" s="141"/>
      <c r="G31" s="133"/>
    </row>
    <row r="32" spans="1:9" s="215" customFormat="1" ht="12.95" customHeight="1" x14ac:dyDescent="0.2">
      <c r="A32" s="14"/>
      <c r="C32" s="136" t="s">
        <v>732</v>
      </c>
      <c r="D32" s="136"/>
      <c r="E32" s="136"/>
      <c r="F32" s="138">
        <v>112</v>
      </c>
      <c r="G32" s="133" t="s">
        <v>730</v>
      </c>
      <c r="H32" s="218"/>
      <c r="I32" s="215" t="s">
        <v>729</v>
      </c>
    </row>
    <row r="33" spans="1:9" s="215" customFormat="1" ht="12.95" customHeight="1" x14ac:dyDescent="0.2">
      <c r="A33" s="14"/>
      <c r="C33" s="136" t="s">
        <v>731</v>
      </c>
      <c r="D33" s="136"/>
      <c r="E33" s="136"/>
      <c r="F33" s="26">
        <f>F32*0.001*F53</f>
        <v>2.1280000000000001</v>
      </c>
      <c r="G33" s="133" t="s">
        <v>733</v>
      </c>
    </row>
    <row r="34" spans="1:9" ht="12.95" customHeight="1" x14ac:dyDescent="0.2">
      <c r="A34" s="14"/>
      <c r="B34" s="136"/>
      <c r="D34" s="136"/>
      <c r="E34" s="136"/>
      <c r="F34" s="141"/>
      <c r="G34" s="133"/>
      <c r="H34" s="54"/>
    </row>
    <row r="35" spans="1:9" ht="12.95" customHeight="1" x14ac:dyDescent="0.2">
      <c r="A35" s="14"/>
      <c r="B35" s="136" t="s">
        <v>651</v>
      </c>
      <c r="D35" s="136"/>
      <c r="E35" s="136"/>
      <c r="F35" s="182">
        <v>0.12</v>
      </c>
      <c r="G35" s="209"/>
      <c r="H35" s="210" t="s">
        <v>652</v>
      </c>
      <c r="I35" s="204" t="s">
        <v>653</v>
      </c>
    </row>
    <row r="36" spans="1:9" ht="12.95" customHeight="1" x14ac:dyDescent="0.2">
      <c r="A36" s="14"/>
      <c r="B36" s="136"/>
      <c r="D36" s="136"/>
      <c r="E36" s="136"/>
      <c r="F36" s="141"/>
      <c r="G36" s="133"/>
      <c r="H36" s="54"/>
    </row>
    <row r="37" spans="1:9" ht="12.95" customHeight="1" x14ac:dyDescent="0.2">
      <c r="A37" s="14"/>
      <c r="B37" s="136" t="s">
        <v>637</v>
      </c>
      <c r="D37" s="136"/>
      <c r="E37" s="136"/>
      <c r="F37" s="141"/>
      <c r="G37" s="133"/>
      <c r="H37" s="54"/>
    </row>
    <row r="38" spans="1:9" ht="12.95" customHeight="1" x14ac:dyDescent="0.2">
      <c r="A38" s="14"/>
      <c r="C38" s="136" t="s">
        <v>705</v>
      </c>
      <c r="D38" s="136"/>
      <c r="E38" s="136"/>
      <c r="F38" s="59">
        <v>25</v>
      </c>
      <c r="G38" s="133" t="s">
        <v>638</v>
      </c>
      <c r="H38" s="130" t="s">
        <v>362</v>
      </c>
      <c r="I38" s="54" t="s">
        <v>708</v>
      </c>
    </row>
    <row r="39" spans="1:9" ht="12.95" customHeight="1" x14ac:dyDescent="0.2">
      <c r="A39" s="14"/>
      <c r="C39" s="136" t="s">
        <v>706</v>
      </c>
      <c r="D39" s="136"/>
      <c r="E39" s="136"/>
      <c r="F39" s="59">
        <v>25</v>
      </c>
      <c r="G39" s="133" t="s">
        <v>638</v>
      </c>
      <c r="H39" s="130" t="s">
        <v>362</v>
      </c>
      <c r="I39" s="215" t="s">
        <v>708</v>
      </c>
    </row>
    <row r="40" spans="1:9" ht="12.95" customHeight="1" x14ac:dyDescent="0.2">
      <c r="A40" s="14"/>
      <c r="C40" s="136" t="s">
        <v>707</v>
      </c>
      <c r="D40" s="136"/>
      <c r="E40" s="136"/>
      <c r="F40" s="59">
        <v>35</v>
      </c>
      <c r="G40" s="133" t="s">
        <v>638</v>
      </c>
      <c r="H40" s="130" t="s">
        <v>362</v>
      </c>
      <c r="I40" s="215" t="s">
        <v>708</v>
      </c>
    </row>
    <row r="41" spans="1:9" s="215" customFormat="1" ht="12.95" customHeight="1" x14ac:dyDescent="0.2">
      <c r="A41" s="14"/>
      <c r="C41" s="136" t="s">
        <v>704</v>
      </c>
      <c r="D41" s="136"/>
      <c r="E41" s="136"/>
      <c r="F41" s="59">
        <v>35</v>
      </c>
      <c r="G41" s="139" t="s">
        <v>638</v>
      </c>
      <c r="H41" s="130" t="s">
        <v>702</v>
      </c>
      <c r="I41" s="14" t="s">
        <v>703</v>
      </c>
    </row>
    <row r="42" spans="1:9" s="215" customFormat="1" ht="12.95" customHeight="1" x14ac:dyDescent="0.2">
      <c r="A42" s="14"/>
      <c r="C42" s="136" t="s">
        <v>709</v>
      </c>
      <c r="D42" s="136"/>
      <c r="E42" s="136"/>
      <c r="F42" s="59">
        <v>41</v>
      </c>
      <c r="G42" s="139" t="s">
        <v>638</v>
      </c>
      <c r="H42" s="130" t="s">
        <v>702</v>
      </c>
      <c r="I42" s="14" t="s">
        <v>710</v>
      </c>
    </row>
    <row r="43" spans="1:9" ht="12.95" customHeight="1" x14ac:dyDescent="0.2">
      <c r="A43" s="14"/>
      <c r="C43" s="136" t="s">
        <v>650</v>
      </c>
      <c r="D43" s="136"/>
      <c r="E43" s="136"/>
      <c r="F43" s="59">
        <v>1026</v>
      </c>
      <c r="G43" s="139" t="s">
        <v>649</v>
      </c>
      <c r="H43" s="130" t="s">
        <v>647</v>
      </c>
      <c r="I43" s="14" t="s">
        <v>648</v>
      </c>
    </row>
    <row r="44" spans="1:9" ht="12.95" customHeight="1" x14ac:dyDescent="0.2">
      <c r="A44" s="14"/>
      <c r="B44" s="136"/>
      <c r="D44" s="136"/>
      <c r="E44" s="136"/>
      <c r="F44" s="141"/>
      <c r="G44" s="133"/>
      <c r="H44" s="54"/>
    </row>
    <row r="45" spans="1:9" ht="12.95" customHeight="1" x14ac:dyDescent="0.2">
      <c r="A45" s="14"/>
      <c r="B45" s="136" t="s">
        <v>639</v>
      </c>
      <c r="D45" s="136"/>
      <c r="E45" s="136"/>
      <c r="F45" s="141"/>
      <c r="G45" s="133"/>
      <c r="H45" s="54"/>
    </row>
    <row r="46" spans="1:9" ht="12.95" customHeight="1" x14ac:dyDescent="0.2">
      <c r="A46" s="14"/>
      <c r="C46" s="136" t="s">
        <v>641</v>
      </c>
      <c r="D46" s="136"/>
      <c r="E46" s="136"/>
      <c r="F46" s="208">
        <v>20.3</v>
      </c>
      <c r="G46" s="133" t="s">
        <v>269</v>
      </c>
      <c r="H46" s="130" t="s">
        <v>643</v>
      </c>
      <c r="I46" s="54" t="s">
        <v>640</v>
      </c>
    </row>
    <row r="47" spans="1:9" ht="12.95" customHeight="1" x14ac:dyDescent="0.2">
      <c r="A47" s="14"/>
      <c r="C47" s="136" t="s">
        <v>642</v>
      </c>
      <c r="D47" s="136"/>
      <c r="E47" s="136"/>
      <c r="F47" s="62">
        <v>21.24</v>
      </c>
      <c r="G47" s="139" t="s">
        <v>269</v>
      </c>
      <c r="H47" s="130" t="s">
        <v>643</v>
      </c>
      <c r="I47" s="14" t="s">
        <v>644</v>
      </c>
    </row>
    <row r="48" spans="1:9" ht="12.95" customHeight="1" x14ac:dyDescent="0.2">
      <c r="A48" s="14"/>
      <c r="C48" s="136" t="s">
        <v>645</v>
      </c>
      <c r="D48" s="136"/>
      <c r="E48" s="136"/>
      <c r="F48" s="62">
        <v>18.05</v>
      </c>
      <c r="G48" s="139" t="s">
        <v>269</v>
      </c>
      <c r="H48" s="130" t="s">
        <v>643</v>
      </c>
      <c r="I48" s="14" t="s">
        <v>646</v>
      </c>
    </row>
    <row r="49" spans="1:10" s="215" customFormat="1" ht="12.95" customHeight="1" x14ac:dyDescent="0.2">
      <c r="A49" s="14"/>
      <c r="B49" s="136"/>
      <c r="D49" s="136"/>
      <c r="E49" s="136"/>
      <c r="F49" s="141"/>
      <c r="G49" s="133"/>
    </row>
    <row r="50" spans="1:10" s="215" customFormat="1" ht="12.95" customHeight="1" x14ac:dyDescent="0.2">
      <c r="A50" s="14"/>
      <c r="B50" s="136" t="s">
        <v>724</v>
      </c>
      <c r="D50" s="136"/>
      <c r="E50" s="136"/>
      <c r="F50" s="141"/>
      <c r="G50" s="133"/>
    </row>
    <row r="51" spans="1:10" s="215" customFormat="1" ht="12.95" customHeight="1" x14ac:dyDescent="0.2">
      <c r="A51" s="14"/>
      <c r="C51" s="136" t="s">
        <v>727</v>
      </c>
      <c r="D51" s="136"/>
      <c r="E51" s="136"/>
      <c r="F51" s="59">
        <v>20</v>
      </c>
      <c r="G51" s="133" t="s">
        <v>269</v>
      </c>
      <c r="H51" s="130" t="s">
        <v>725</v>
      </c>
      <c r="I51" s="215" t="s">
        <v>726</v>
      </c>
    </row>
    <row r="52" spans="1:10" s="215" customFormat="1" ht="12.95" customHeight="1" x14ac:dyDescent="0.2">
      <c r="A52" s="14"/>
      <c r="C52" s="136" t="s">
        <v>51</v>
      </c>
      <c r="D52" s="136"/>
      <c r="E52" s="136"/>
      <c r="F52" s="59">
        <v>18</v>
      </c>
      <c r="G52" s="133" t="s">
        <v>269</v>
      </c>
      <c r="H52" s="130" t="s">
        <v>725</v>
      </c>
      <c r="I52" s="215" t="s">
        <v>726</v>
      </c>
    </row>
    <row r="53" spans="1:10" s="215" customFormat="1" ht="12.95" customHeight="1" x14ac:dyDescent="0.2">
      <c r="A53" s="14"/>
      <c r="C53" s="136" t="s">
        <v>728</v>
      </c>
      <c r="D53" s="136"/>
      <c r="E53" s="136"/>
      <c r="F53" s="29">
        <f>AVERAGE(F51:F52)</f>
        <v>19</v>
      </c>
      <c r="G53" s="139" t="s">
        <v>269</v>
      </c>
    </row>
    <row r="54" spans="1:10" s="215" customFormat="1" ht="12.95" customHeight="1" x14ac:dyDescent="0.2">
      <c r="C54" s="136"/>
      <c r="D54" s="136"/>
      <c r="E54" s="136"/>
      <c r="F54" s="211"/>
      <c r="G54" s="21"/>
    </row>
    <row r="55" spans="1:10" ht="12.95" customHeight="1" x14ac:dyDescent="0.25">
      <c r="B55" s="105" t="s">
        <v>447</v>
      </c>
      <c r="C55" s="106"/>
      <c r="D55" s="106"/>
      <c r="E55" s="106"/>
      <c r="F55" s="106"/>
      <c r="G55" s="106"/>
      <c r="H55" s="107"/>
      <c r="I55" s="108"/>
    </row>
    <row r="56" spans="1:10" ht="12.95" customHeight="1" x14ac:dyDescent="0.25">
      <c r="B56" s="19" t="s">
        <v>300</v>
      </c>
      <c r="C56" s="75"/>
      <c r="D56" s="75"/>
      <c r="E56" s="74"/>
      <c r="F56" s="46" t="s">
        <v>0</v>
      </c>
      <c r="G56" s="20" t="s">
        <v>1</v>
      </c>
      <c r="H56" s="56" t="s">
        <v>305</v>
      </c>
      <c r="I56" s="5" t="s">
        <v>2</v>
      </c>
      <c r="J56" s="14"/>
    </row>
    <row r="57" spans="1:10" ht="12.95" customHeight="1" x14ac:dyDescent="0.2">
      <c r="F57" s="123"/>
      <c r="H57" s="54"/>
    </row>
    <row r="58" spans="1:10" ht="12.95" customHeight="1" x14ac:dyDescent="0.2">
      <c r="B58" s="121" t="s">
        <v>439</v>
      </c>
      <c r="F58" s="84"/>
      <c r="H58" s="54"/>
    </row>
    <row r="59" spans="1:10" ht="12.95" customHeight="1" x14ac:dyDescent="0.2">
      <c r="B59" s="54" t="s">
        <v>438</v>
      </c>
      <c r="F59" s="123">
        <f>F73/dashboard!D7</f>
        <v>63061.663199999995</v>
      </c>
      <c r="G59" s="54" t="s">
        <v>441</v>
      </c>
      <c r="H59" s="54"/>
    </row>
    <row r="60" spans="1:10" ht="12.95" customHeight="1" x14ac:dyDescent="0.2">
      <c r="B60" s="54" t="s">
        <v>511</v>
      </c>
      <c r="F60" s="125"/>
      <c r="H60" s="54"/>
    </row>
    <row r="61" spans="1:10" ht="12.95" customHeight="1" x14ac:dyDescent="0.2">
      <c r="C61" s="21" t="s">
        <v>1056</v>
      </c>
      <c r="D61" s="21"/>
      <c r="E61" s="21"/>
      <c r="F61" s="181">
        <v>3</v>
      </c>
      <c r="G61" s="133" t="s">
        <v>471</v>
      </c>
      <c r="H61" s="54"/>
    </row>
    <row r="62" spans="1:10" ht="12.95" customHeight="1" x14ac:dyDescent="0.2">
      <c r="C62" s="21" t="s">
        <v>509</v>
      </c>
      <c r="F62" s="181">
        <v>1</v>
      </c>
      <c r="G62" s="133" t="s">
        <v>471</v>
      </c>
      <c r="I62" s="54" t="s">
        <v>503</v>
      </c>
    </row>
    <row r="63" spans="1:10" ht="12.95" customHeight="1" x14ac:dyDescent="0.2">
      <c r="C63" s="21" t="s">
        <v>510</v>
      </c>
      <c r="F63" s="141">
        <f>SUM(F61:F62)</f>
        <v>4</v>
      </c>
      <c r="G63" s="133" t="s">
        <v>471</v>
      </c>
    </row>
    <row r="64" spans="1:10" ht="12.95" customHeight="1" x14ac:dyDescent="0.2">
      <c r="B64" s="54" t="s">
        <v>500</v>
      </c>
      <c r="C64" s="21"/>
      <c r="F64" s="174">
        <f>F63*F59/10^6</f>
        <v>0.25224665279999997</v>
      </c>
      <c r="G64" s="133" t="s">
        <v>512</v>
      </c>
    </row>
    <row r="65" spans="2:9" ht="12.95" customHeight="1" x14ac:dyDescent="0.2">
      <c r="B65" s="54" t="s">
        <v>513</v>
      </c>
      <c r="C65" s="21"/>
      <c r="F65" s="174">
        <f>F59*F230/10^6</f>
        <v>3.174080184970308</v>
      </c>
      <c r="G65" s="133" t="s">
        <v>512</v>
      </c>
    </row>
    <row r="66" spans="2:9" ht="12.95" customHeight="1" x14ac:dyDescent="0.2">
      <c r="B66" s="54" t="s">
        <v>508</v>
      </c>
      <c r="F66" s="125">
        <f>1-dashboard!D9</f>
        <v>1</v>
      </c>
      <c r="H66" s="54"/>
    </row>
    <row r="67" spans="2:9" ht="12.95" customHeight="1" x14ac:dyDescent="0.2">
      <c r="B67" s="54" t="s">
        <v>517</v>
      </c>
      <c r="F67" s="174">
        <f>F65*F66</f>
        <v>3.174080184970308</v>
      </c>
      <c r="G67" s="133" t="s">
        <v>512</v>
      </c>
      <c r="H67" s="54"/>
    </row>
    <row r="68" spans="2:9" ht="12.95" customHeight="1" x14ac:dyDescent="0.2">
      <c r="F68" s="84"/>
      <c r="H68" s="54"/>
    </row>
    <row r="69" spans="2:9" ht="12.95" customHeight="1" x14ac:dyDescent="0.2">
      <c r="B69" s="121" t="s">
        <v>437</v>
      </c>
      <c r="F69" s="84"/>
      <c r="H69" s="54"/>
    </row>
    <row r="70" spans="2:9" s="253" customFormat="1" ht="12.95" customHeight="1" x14ac:dyDescent="0.2">
      <c r="B70" s="253" t="s">
        <v>1354</v>
      </c>
      <c r="F70" s="359">
        <f>dashboard!C7/(1+dashboard!C8)</f>
        <v>0.33565891472868215</v>
      </c>
    </row>
    <row r="71" spans="2:9" s="253" customFormat="1" ht="12.95" customHeight="1" x14ac:dyDescent="0.2">
      <c r="B71" s="21" t="s">
        <v>1248</v>
      </c>
      <c r="F71" s="29">
        <f>MWhTOmmBtu/F70</f>
        <v>10.172308256424968</v>
      </c>
      <c r="G71" s="54" t="s">
        <v>235</v>
      </c>
    </row>
    <row r="72" spans="2:9" s="253" customFormat="1" ht="12.95" customHeight="1" x14ac:dyDescent="0.2">
      <c r="B72" s="253" t="s">
        <v>598</v>
      </c>
      <c r="F72" s="183">
        <f>dashboard!C5*dashboard!C6*yrTOhr/10^6</f>
        <v>8.76</v>
      </c>
      <c r="G72" s="253" t="s">
        <v>215</v>
      </c>
    </row>
    <row r="73" spans="2:9" ht="12.95" customHeight="1" x14ac:dyDescent="0.2">
      <c r="C73" s="54" t="s">
        <v>515</v>
      </c>
      <c r="F73" s="168">
        <f>F72*WhTOJ</f>
        <v>31530.831599999998</v>
      </c>
      <c r="G73" s="54" t="s">
        <v>441</v>
      </c>
      <c r="H73" s="54"/>
    </row>
    <row r="74" spans="2:9" s="253" customFormat="1" ht="12.95" customHeight="1" x14ac:dyDescent="0.2">
      <c r="B74" s="253" t="s">
        <v>564</v>
      </c>
      <c r="F74" s="123">
        <f>F73/F70</f>
        <v>93937.119547344104</v>
      </c>
      <c r="G74" s="54" t="s">
        <v>441</v>
      </c>
    </row>
    <row r="75" spans="2:9" ht="12.95" customHeight="1" x14ac:dyDescent="0.2">
      <c r="B75" s="54" t="s">
        <v>565</v>
      </c>
      <c r="F75" s="26"/>
      <c r="H75" s="54"/>
      <c r="I75" s="54" t="s">
        <v>569</v>
      </c>
    </row>
    <row r="76" spans="2:9" ht="12.95" customHeight="1" x14ac:dyDescent="0.2">
      <c r="C76" s="54" t="s">
        <v>1008</v>
      </c>
      <c r="F76" s="30">
        <f>1000*HERB!$F$21/HERB!$F$39</f>
        <v>0</v>
      </c>
      <c r="G76" s="54" t="s">
        <v>561</v>
      </c>
      <c r="H76" s="54"/>
      <c r="I76" s="54" t="s">
        <v>567</v>
      </c>
    </row>
    <row r="77" spans="2:9" ht="12.95" customHeight="1" x14ac:dyDescent="0.2">
      <c r="C77" s="54" t="s">
        <v>446</v>
      </c>
      <c r="F77" s="30">
        <f>1000*SRWC!$F$21/SRWC!$F$41</f>
        <v>0</v>
      </c>
      <c r="G77" s="54" t="s">
        <v>561</v>
      </c>
      <c r="H77" s="54"/>
      <c r="I77" s="54" t="s">
        <v>568</v>
      </c>
    </row>
    <row r="78" spans="2:9" ht="12.95" customHeight="1" x14ac:dyDescent="0.2">
      <c r="C78" s="54" t="s">
        <v>1006</v>
      </c>
      <c r="F78" s="30">
        <f>1000*LOG!$F$21/LOG!$F$42</f>
        <v>2645071.5240962687</v>
      </c>
      <c r="G78" s="54" t="s">
        <v>561</v>
      </c>
      <c r="H78" s="54"/>
    </row>
    <row r="79" spans="2:9" ht="12.95" customHeight="1" x14ac:dyDescent="0.2">
      <c r="C79" s="54" t="s">
        <v>1007</v>
      </c>
      <c r="F79" s="30">
        <f>1000*THIN!$F$24/THIN!$F$49</f>
        <v>2645071.5240962687</v>
      </c>
      <c r="G79" s="54" t="s">
        <v>561</v>
      </c>
      <c r="H79" s="54"/>
    </row>
    <row r="80" spans="2:9" ht="12.95" customHeight="1" x14ac:dyDescent="0.2">
      <c r="C80" s="54" t="s">
        <v>1025</v>
      </c>
      <c r="F80" s="30">
        <f>1000*SLASH!$F$24/SLASH!$F$43</f>
        <v>0</v>
      </c>
      <c r="G80" s="54" t="s">
        <v>561</v>
      </c>
      <c r="H80" s="54"/>
    </row>
    <row r="81" spans="2:9" ht="12.95" customHeight="1" x14ac:dyDescent="0.2">
      <c r="C81" s="54" t="s">
        <v>1009</v>
      </c>
      <c r="F81" s="30">
        <f>1000*AG!$F$23/AG!$F$42</f>
        <v>0</v>
      </c>
      <c r="G81" s="54" t="s">
        <v>561</v>
      </c>
      <c r="H81" s="54"/>
    </row>
    <row r="82" spans="2:9" ht="12.95" customHeight="1" x14ac:dyDescent="0.2">
      <c r="C82" s="54" t="s">
        <v>1010</v>
      </c>
      <c r="F82" s="30">
        <f>1000*MILL!$F$18/MILL!$F$33</f>
        <v>0</v>
      </c>
      <c r="G82" s="54" t="s">
        <v>561</v>
      </c>
      <c r="H82" s="54"/>
    </row>
    <row r="83" spans="2:9" ht="12.95" customHeight="1" x14ac:dyDescent="0.2">
      <c r="C83" s="54" t="s">
        <v>566</v>
      </c>
      <c r="F83" s="30">
        <f>SUM(F76:F82)</f>
        <v>5290143.0481925374</v>
      </c>
      <c r="G83" s="54" t="s">
        <v>561</v>
      </c>
      <c r="H83" s="54"/>
    </row>
    <row r="84" spans="2:9" ht="12.95" customHeight="1" x14ac:dyDescent="0.2">
      <c r="B84" s="54" t="s">
        <v>983</v>
      </c>
      <c r="F84" s="26">
        <f>F83*F240/10^9</f>
        <v>0.83584260161442092</v>
      </c>
      <c r="G84" s="54" t="s">
        <v>504</v>
      </c>
      <c r="H84" s="54"/>
      <c r="I84" s="54" t="s">
        <v>1090</v>
      </c>
    </row>
    <row r="85" spans="2:9" ht="12.95" customHeight="1" x14ac:dyDescent="0.2">
      <c r="B85" s="54" t="s">
        <v>984</v>
      </c>
      <c r="F85" s="26">
        <f>F83*dashboard!$C$10*F242/10^9</f>
        <v>0.34515455555065666</v>
      </c>
      <c r="G85" s="54" t="s">
        <v>504</v>
      </c>
      <c r="H85" s="54"/>
    </row>
    <row r="86" spans="2:9" ht="12.95" customHeight="1" x14ac:dyDescent="0.2">
      <c r="B86" s="54" t="s">
        <v>513</v>
      </c>
      <c r="F86" s="174"/>
      <c r="G86" s="133"/>
    </row>
    <row r="87" spans="2:9" ht="12.95" customHeight="1" x14ac:dyDescent="0.2">
      <c r="C87" s="253" t="s">
        <v>1008</v>
      </c>
      <c r="F87" s="26">
        <f>HERB!$F$41</f>
        <v>0</v>
      </c>
      <c r="G87" s="54" t="s">
        <v>504</v>
      </c>
      <c r="H87" s="54"/>
    </row>
    <row r="88" spans="2:9" ht="12.95" customHeight="1" x14ac:dyDescent="0.2">
      <c r="C88" s="253" t="s">
        <v>446</v>
      </c>
      <c r="F88" s="26">
        <f>SRWC!$F$43</f>
        <v>0</v>
      </c>
      <c r="G88" s="54" t="s">
        <v>504</v>
      </c>
      <c r="H88" s="54"/>
    </row>
    <row r="89" spans="2:9" ht="12.95" customHeight="1" x14ac:dyDescent="0.2">
      <c r="C89" s="253" t="s">
        <v>1006</v>
      </c>
      <c r="F89" s="26">
        <f>LOG!$F$44</f>
        <v>4.5288707996787156</v>
      </c>
      <c r="G89" s="54" t="s">
        <v>504</v>
      </c>
      <c r="H89" s="54"/>
    </row>
    <row r="90" spans="2:9" ht="12.95" customHeight="1" x14ac:dyDescent="0.2">
      <c r="C90" s="253" t="s">
        <v>1007</v>
      </c>
      <c r="F90" s="26">
        <f>THIN!$F$51</f>
        <v>4.5288707996787156</v>
      </c>
      <c r="G90" s="54" t="s">
        <v>504</v>
      </c>
      <c r="H90" s="54"/>
    </row>
    <row r="91" spans="2:9" ht="12.95" customHeight="1" x14ac:dyDescent="0.2">
      <c r="C91" s="253" t="s">
        <v>1025</v>
      </c>
      <c r="F91" s="26">
        <f>SLASH!$F$45</f>
        <v>0</v>
      </c>
      <c r="G91" s="54" t="s">
        <v>504</v>
      </c>
      <c r="H91" s="54"/>
    </row>
    <row r="92" spans="2:9" ht="12.95" customHeight="1" x14ac:dyDescent="0.2">
      <c r="C92" s="253" t="s">
        <v>1009</v>
      </c>
      <c r="F92" s="26">
        <f>AG!$F$44</f>
        <v>0</v>
      </c>
      <c r="G92" s="54" t="s">
        <v>504</v>
      </c>
      <c r="H92" s="54"/>
    </row>
    <row r="93" spans="2:9" ht="12.95" customHeight="1" x14ac:dyDescent="0.2">
      <c r="C93" s="253" t="s">
        <v>1010</v>
      </c>
      <c r="F93" s="26">
        <f>MILL!$F$35</f>
        <v>0</v>
      </c>
      <c r="G93" s="54" t="s">
        <v>504</v>
      </c>
      <c r="H93" s="54"/>
    </row>
    <row r="94" spans="2:9" ht="12.95" customHeight="1" x14ac:dyDescent="0.2">
      <c r="C94" s="54" t="s">
        <v>562</v>
      </c>
      <c r="F94" s="175">
        <f>SUM(F87:F93)</f>
        <v>9.0577415993574313</v>
      </c>
      <c r="G94" s="54" t="s">
        <v>504</v>
      </c>
      <c r="H94" s="54"/>
    </row>
    <row r="95" spans="2:9" ht="12.95" customHeight="1" x14ac:dyDescent="0.2">
      <c r="B95" s="54" t="s">
        <v>508</v>
      </c>
      <c r="F95" s="125">
        <f>1-dashboard!$C$9</f>
        <v>9.9999999999999978E-2</v>
      </c>
      <c r="H95" s="54"/>
    </row>
    <row r="96" spans="2:9" ht="12.95" customHeight="1" x14ac:dyDescent="0.2">
      <c r="B96" s="54" t="s">
        <v>517</v>
      </c>
      <c r="F96" s="174">
        <f>F94*F95</f>
        <v>0.90577415993574295</v>
      </c>
      <c r="G96" s="133" t="s">
        <v>512</v>
      </c>
      <c r="H96" s="54"/>
    </row>
    <row r="97" spans="2:9" s="253" customFormat="1" ht="12.95" customHeight="1" x14ac:dyDescent="0.2">
      <c r="F97" s="174"/>
      <c r="G97" s="133"/>
    </row>
    <row r="98" spans="2:9" s="253" customFormat="1" ht="12.95" customHeight="1" x14ac:dyDescent="0.2">
      <c r="B98" s="21" t="s">
        <v>1355</v>
      </c>
      <c r="F98" s="59">
        <v>10551</v>
      </c>
      <c r="G98" s="133" t="s">
        <v>1357</v>
      </c>
      <c r="H98" s="78" t="s">
        <v>652</v>
      </c>
      <c r="I98" s="253" t="s">
        <v>1356</v>
      </c>
    </row>
    <row r="99" spans="2:9" s="253" customFormat="1" ht="12.95" customHeight="1" x14ac:dyDescent="0.2">
      <c r="B99" s="21" t="s">
        <v>1358</v>
      </c>
      <c r="F99" s="198">
        <f>1/F98*kWhTOBtu</f>
        <v>0.32361159602286205</v>
      </c>
      <c r="G99" s="133"/>
    </row>
    <row r="100" spans="2:9" s="253" customFormat="1" ht="12.95" customHeight="1" x14ac:dyDescent="0.2">
      <c r="B100" s="21" t="s">
        <v>1359</v>
      </c>
      <c r="F100" s="349">
        <v>0.376</v>
      </c>
      <c r="G100" s="133"/>
      <c r="H100" s="78" t="s">
        <v>1360</v>
      </c>
      <c r="I100" s="253" t="s">
        <v>1361</v>
      </c>
    </row>
    <row r="101" spans="2:9" s="253" customFormat="1" ht="12.95" customHeight="1" x14ac:dyDescent="0.2">
      <c r="B101" s="21" t="s">
        <v>1355</v>
      </c>
      <c r="F101" s="28">
        <f>MWhTOmmBtu/F100</f>
        <v>9.0809200788223858</v>
      </c>
      <c r="G101" s="133" t="s">
        <v>235</v>
      </c>
    </row>
    <row r="102" spans="2:9" s="253" customFormat="1" ht="12.95" customHeight="1" x14ac:dyDescent="0.2">
      <c r="B102" s="21"/>
      <c r="F102" s="28"/>
      <c r="G102" s="133"/>
    </row>
    <row r="103" spans="2:9" s="253" customFormat="1" ht="12.95" customHeight="1" x14ac:dyDescent="0.2">
      <c r="B103" s="121" t="s">
        <v>1294</v>
      </c>
      <c r="F103" s="84"/>
    </row>
    <row r="104" spans="2:9" s="253" customFormat="1" ht="12.95" customHeight="1" x14ac:dyDescent="0.2">
      <c r="B104" s="21" t="s">
        <v>1309</v>
      </c>
      <c r="F104" s="84"/>
    </row>
    <row r="105" spans="2:9" s="253" customFormat="1" ht="12.95" customHeight="1" x14ac:dyDescent="0.2">
      <c r="C105" s="253" t="s">
        <v>1297</v>
      </c>
      <c r="F105" s="349">
        <v>0.222</v>
      </c>
      <c r="G105" s="133"/>
      <c r="H105" s="78" t="s">
        <v>1296</v>
      </c>
      <c r="I105" s="253" t="s">
        <v>1313</v>
      </c>
    </row>
    <row r="106" spans="2:9" s="253" customFormat="1" ht="12.95" customHeight="1" x14ac:dyDescent="0.2">
      <c r="D106" s="253" t="s">
        <v>1352</v>
      </c>
      <c r="F106" s="198">
        <f>F105/(1-F105)</f>
        <v>0.28534704370179947</v>
      </c>
      <c r="G106" s="133"/>
    </row>
    <row r="107" spans="2:9" s="253" customFormat="1" ht="12.95" customHeight="1" x14ac:dyDescent="0.2">
      <c r="C107" s="253" t="s">
        <v>1297</v>
      </c>
      <c r="F107" s="349">
        <v>0.22700000000000001</v>
      </c>
      <c r="G107" s="133"/>
      <c r="H107" s="78" t="s">
        <v>1296</v>
      </c>
      <c r="I107" s="253" t="s">
        <v>1298</v>
      </c>
    </row>
    <row r="108" spans="2:9" s="253" customFormat="1" ht="12.95" customHeight="1" x14ac:dyDescent="0.2">
      <c r="D108" s="253" t="s">
        <v>1352</v>
      </c>
      <c r="F108" s="198">
        <f>F107/(1-F107)</f>
        <v>0.29366106080206988</v>
      </c>
      <c r="G108" s="133"/>
    </row>
    <row r="109" spans="2:9" s="253" customFormat="1" ht="12.95" customHeight="1" x14ac:dyDescent="0.2">
      <c r="C109" s="253" t="s">
        <v>1307</v>
      </c>
      <c r="F109" s="62">
        <v>10.36</v>
      </c>
      <c r="G109" s="133" t="s">
        <v>1303</v>
      </c>
      <c r="H109" s="78" t="s">
        <v>1300</v>
      </c>
      <c r="I109" s="253" t="s">
        <v>1311</v>
      </c>
    </row>
    <row r="110" spans="2:9" s="253" customFormat="1" ht="12.95" customHeight="1" x14ac:dyDescent="0.2">
      <c r="C110" s="253" t="s">
        <v>1307</v>
      </c>
      <c r="F110" s="208">
        <v>10.5</v>
      </c>
      <c r="G110" s="133" t="s">
        <v>1303</v>
      </c>
      <c r="H110" s="78" t="s">
        <v>1300</v>
      </c>
      <c r="I110" s="253" t="s">
        <v>1312</v>
      </c>
    </row>
    <row r="111" spans="2:9" s="253" customFormat="1" ht="12.95" customHeight="1" x14ac:dyDescent="0.2">
      <c r="C111" s="253" t="s">
        <v>1307</v>
      </c>
      <c r="F111" s="59">
        <v>14</v>
      </c>
      <c r="G111" s="133" t="s">
        <v>1303</v>
      </c>
      <c r="H111" s="78" t="s">
        <v>1300</v>
      </c>
      <c r="I111" s="253" t="s">
        <v>1306</v>
      </c>
    </row>
    <row r="112" spans="2:9" s="253" customFormat="1" ht="12.95" customHeight="1" x14ac:dyDescent="0.2">
      <c r="C112" s="253" t="s">
        <v>1308</v>
      </c>
      <c r="F112" s="208">
        <v>9.6</v>
      </c>
      <c r="G112" s="133" t="s">
        <v>1303</v>
      </c>
      <c r="H112" s="78" t="s">
        <v>1300</v>
      </c>
      <c r="I112" s="253" t="s">
        <v>1310</v>
      </c>
    </row>
    <row r="113" spans="3:9" s="253" customFormat="1" ht="12.95" customHeight="1" x14ac:dyDescent="0.2">
      <c r="C113" s="253" t="s">
        <v>1315</v>
      </c>
      <c r="F113" s="208">
        <v>10.6</v>
      </c>
      <c r="G113" s="133" t="s">
        <v>1303</v>
      </c>
      <c r="H113" s="78" t="s">
        <v>1318</v>
      </c>
      <c r="I113" s="253" t="s">
        <v>1314</v>
      </c>
    </row>
    <row r="114" spans="3:9" s="253" customFormat="1" ht="12.95" customHeight="1" x14ac:dyDescent="0.2">
      <c r="D114" s="253" t="s">
        <v>1331</v>
      </c>
      <c r="F114" s="208">
        <v>45.6</v>
      </c>
      <c r="G114" s="133" t="s">
        <v>1303</v>
      </c>
      <c r="H114" s="78" t="s">
        <v>1318</v>
      </c>
      <c r="I114" s="253" t="s">
        <v>1332</v>
      </c>
    </row>
    <row r="115" spans="3:9" s="253" customFormat="1" ht="12.95" customHeight="1" x14ac:dyDescent="0.2">
      <c r="D115" s="253" t="s">
        <v>1352</v>
      </c>
      <c r="F115" s="198">
        <f>F114/(F114-F113)-1</f>
        <v>0.30285714285714294</v>
      </c>
      <c r="G115" s="133"/>
    </row>
    <row r="116" spans="3:9" s="253" customFormat="1" ht="12.95" customHeight="1" x14ac:dyDescent="0.2">
      <c r="C116" s="253" t="s">
        <v>1316</v>
      </c>
      <c r="F116" s="208">
        <v>0.9</v>
      </c>
      <c r="G116" s="133" t="s">
        <v>1303</v>
      </c>
      <c r="H116" s="78" t="s">
        <v>1318</v>
      </c>
      <c r="I116" s="253" t="s">
        <v>1317</v>
      </c>
    </row>
    <row r="117" spans="3:9" s="253" customFormat="1" ht="12.95" customHeight="1" x14ac:dyDescent="0.2">
      <c r="C117" s="253" t="s">
        <v>1320</v>
      </c>
      <c r="F117" s="348">
        <v>0.24</v>
      </c>
      <c r="G117" s="133"/>
      <c r="H117" s="78" t="s">
        <v>1319</v>
      </c>
      <c r="I117" s="253" t="s">
        <v>1322</v>
      </c>
    </row>
    <row r="118" spans="3:9" s="253" customFormat="1" ht="12.95" customHeight="1" x14ac:dyDescent="0.2">
      <c r="C118" s="253" t="s">
        <v>1321</v>
      </c>
      <c r="F118" s="348">
        <v>0.4</v>
      </c>
      <c r="G118" s="133"/>
      <c r="H118" s="78" t="s">
        <v>1319</v>
      </c>
      <c r="I118" s="253" t="s">
        <v>1322</v>
      </c>
    </row>
    <row r="119" spans="3:9" s="253" customFormat="1" ht="12.95" customHeight="1" x14ac:dyDescent="0.2">
      <c r="C119" s="253" t="s">
        <v>1323</v>
      </c>
      <c r="F119" s="348">
        <v>0.15</v>
      </c>
      <c r="G119" s="133"/>
      <c r="H119" s="78" t="s">
        <v>1319</v>
      </c>
      <c r="I119" s="253" t="s">
        <v>1325</v>
      </c>
    </row>
    <row r="120" spans="3:9" s="253" customFormat="1" ht="12.95" customHeight="1" x14ac:dyDescent="0.2">
      <c r="C120" s="253" t="s">
        <v>1324</v>
      </c>
      <c r="F120" s="348">
        <v>0.43</v>
      </c>
      <c r="G120" s="133"/>
      <c r="H120" s="78" t="s">
        <v>1319</v>
      </c>
      <c r="I120" s="253" t="s">
        <v>1325</v>
      </c>
    </row>
    <row r="121" spans="3:9" s="253" customFormat="1" ht="12.95" customHeight="1" x14ac:dyDescent="0.2">
      <c r="C121" s="253" t="s">
        <v>1327</v>
      </c>
      <c r="F121" s="348">
        <v>0.4</v>
      </c>
      <c r="G121" s="133"/>
      <c r="H121" s="78" t="s">
        <v>1328</v>
      </c>
      <c r="I121" s="253" t="s">
        <v>1326</v>
      </c>
    </row>
    <row r="122" spans="3:9" s="253" customFormat="1" ht="12.95" customHeight="1" x14ac:dyDescent="0.2">
      <c r="C122" s="253" t="s">
        <v>1329</v>
      </c>
      <c r="F122" s="348">
        <v>0.3</v>
      </c>
      <c r="G122" s="133"/>
      <c r="H122" s="78" t="s">
        <v>1328</v>
      </c>
      <c r="I122" s="253" t="s">
        <v>1326</v>
      </c>
    </row>
    <row r="123" spans="3:9" s="253" customFormat="1" ht="12.95" customHeight="1" x14ac:dyDescent="0.2">
      <c r="C123" s="253" t="s">
        <v>1330</v>
      </c>
      <c r="F123" s="348">
        <v>0.25</v>
      </c>
      <c r="G123" s="133"/>
      <c r="H123" s="78" t="s">
        <v>1328</v>
      </c>
      <c r="I123" s="253" t="s">
        <v>1326</v>
      </c>
    </row>
    <row r="124" spans="3:9" s="253" customFormat="1" ht="12.95" customHeight="1" x14ac:dyDescent="0.2">
      <c r="C124" s="253" t="s">
        <v>1335</v>
      </c>
      <c r="F124" s="208">
        <v>9.6999999999999993</v>
      </c>
      <c r="G124" s="133" t="s">
        <v>1303</v>
      </c>
      <c r="H124" s="78" t="s">
        <v>1333</v>
      </c>
      <c r="I124" s="253" t="s">
        <v>1334</v>
      </c>
    </row>
    <row r="125" spans="3:9" s="253" customFormat="1" ht="12.95" customHeight="1" x14ac:dyDescent="0.2">
      <c r="D125" s="253" t="s">
        <v>1331</v>
      </c>
      <c r="F125" s="208">
        <v>47.6</v>
      </c>
      <c r="G125" s="133" t="s">
        <v>1303</v>
      </c>
      <c r="H125" s="78" t="s">
        <v>1333</v>
      </c>
      <c r="I125" s="253" t="s">
        <v>1334</v>
      </c>
    </row>
    <row r="126" spans="3:9" s="253" customFormat="1" ht="12.95" customHeight="1" x14ac:dyDescent="0.2">
      <c r="D126" s="253" t="s">
        <v>1352</v>
      </c>
      <c r="F126" s="198">
        <f>F125/(F125-F124)-1</f>
        <v>0.25593667546174137</v>
      </c>
      <c r="G126" s="133"/>
    </row>
    <row r="127" spans="3:9" s="253" customFormat="1" ht="12.95" customHeight="1" x14ac:dyDescent="0.2">
      <c r="C127" s="253" t="s">
        <v>1336</v>
      </c>
      <c r="F127" s="208">
        <v>13.4</v>
      </c>
      <c r="G127" s="133" t="s">
        <v>1303</v>
      </c>
      <c r="H127" s="78" t="s">
        <v>1333</v>
      </c>
      <c r="I127" s="253" t="s">
        <v>1334</v>
      </c>
    </row>
    <row r="128" spans="3:9" s="253" customFormat="1" ht="12.95" customHeight="1" x14ac:dyDescent="0.2">
      <c r="D128" s="253" t="s">
        <v>1352</v>
      </c>
      <c r="F128" s="198">
        <f>$F$125/($F$125-F127)-1</f>
        <v>0.39181286549707606</v>
      </c>
      <c r="G128" s="133"/>
    </row>
    <row r="129" spans="2:10" s="253" customFormat="1" ht="12.95" customHeight="1" x14ac:dyDescent="0.2">
      <c r="C129" s="253" t="s">
        <v>1337</v>
      </c>
      <c r="F129" s="208">
        <v>10.8</v>
      </c>
      <c r="G129" s="133" t="s">
        <v>1303</v>
      </c>
      <c r="H129" s="78" t="s">
        <v>1333</v>
      </c>
      <c r="I129" s="253" t="s">
        <v>1334</v>
      </c>
    </row>
    <row r="130" spans="2:10" s="253" customFormat="1" ht="12.95" customHeight="1" x14ac:dyDescent="0.2">
      <c r="D130" s="253" t="s">
        <v>1352</v>
      </c>
      <c r="F130" s="198">
        <f>$F$125/($F$125-F129)-1</f>
        <v>0.29347826086956541</v>
      </c>
      <c r="G130" s="133"/>
    </row>
    <row r="131" spans="2:10" s="253" customFormat="1" ht="12.95" customHeight="1" x14ac:dyDescent="0.2">
      <c r="C131" s="253" t="s">
        <v>1338</v>
      </c>
      <c r="F131" s="208">
        <v>7.2</v>
      </c>
      <c r="G131" s="133" t="s">
        <v>1303</v>
      </c>
      <c r="H131" s="78" t="s">
        <v>1333</v>
      </c>
      <c r="I131" s="253" t="s">
        <v>1339</v>
      </c>
    </row>
    <row r="132" spans="2:10" s="253" customFormat="1" ht="12.95" customHeight="1" x14ac:dyDescent="0.2">
      <c r="D132" s="253" t="s">
        <v>1352</v>
      </c>
      <c r="F132" s="198">
        <f>$F$125/($F$125-F131)-1</f>
        <v>0.17821782178217838</v>
      </c>
      <c r="G132" s="133"/>
    </row>
    <row r="133" spans="2:10" s="253" customFormat="1" ht="12.95" customHeight="1" x14ac:dyDescent="0.2">
      <c r="B133" s="253" t="s">
        <v>1305</v>
      </c>
      <c r="F133"/>
      <c r="G133"/>
      <c r="H133"/>
    </row>
    <row r="134" spans="2:10" s="253" customFormat="1" ht="12.95" customHeight="1" x14ac:dyDescent="0.2">
      <c r="C134" s="253" t="s">
        <v>1302</v>
      </c>
      <c r="F134" s="59">
        <v>16</v>
      </c>
      <c r="G134" s="133" t="s">
        <v>1303</v>
      </c>
      <c r="H134" s="78" t="s">
        <v>1300</v>
      </c>
      <c r="I134" s="253" t="s">
        <v>1306</v>
      </c>
    </row>
    <row r="135" spans="2:10" s="253" customFormat="1" ht="12.95" customHeight="1" x14ac:dyDescent="0.2">
      <c r="F135" s="174"/>
      <c r="G135" s="133"/>
      <c r="H135" s="250"/>
    </row>
    <row r="136" spans="2:10" s="253" customFormat="1" ht="12.95" customHeight="1" x14ac:dyDescent="0.2">
      <c r="B136" s="253" t="s">
        <v>1304</v>
      </c>
      <c r="F136" s="174"/>
      <c r="G136" s="133"/>
      <c r="H136" s="250"/>
    </row>
    <row r="137" spans="2:10" s="253" customFormat="1" ht="12.95" customHeight="1" x14ac:dyDescent="0.2">
      <c r="C137" s="253" t="s">
        <v>1295</v>
      </c>
      <c r="F137" s="348">
        <v>0.9</v>
      </c>
      <c r="G137" s="133"/>
      <c r="H137" s="78" t="s">
        <v>1296</v>
      </c>
    </row>
    <row r="138" spans="2:10" s="253" customFormat="1" ht="12.95" customHeight="1" x14ac:dyDescent="0.2">
      <c r="C138" s="253" t="s">
        <v>1341</v>
      </c>
      <c r="F138" s="348">
        <v>0.95</v>
      </c>
      <c r="G138" s="133"/>
      <c r="H138" s="78" t="s">
        <v>1296</v>
      </c>
      <c r="I138" s="253" t="s">
        <v>1342</v>
      </c>
    </row>
    <row r="139" spans="2:10" s="253" customFormat="1" ht="12.95" customHeight="1" x14ac:dyDescent="0.2">
      <c r="C139" s="253" t="s">
        <v>1299</v>
      </c>
      <c r="F139" s="348">
        <v>0.9</v>
      </c>
      <c r="G139" s="133"/>
      <c r="H139" s="78" t="s">
        <v>1300</v>
      </c>
      <c r="I139" s="253" t="s">
        <v>1301</v>
      </c>
    </row>
    <row r="140" spans="2:10" ht="12.95" customHeight="1" x14ac:dyDescent="0.2">
      <c r="B140" s="14"/>
      <c r="F140" s="132"/>
      <c r="H140" s="54"/>
    </row>
    <row r="141" spans="2:10" s="253" customFormat="1" ht="12.95" customHeight="1" x14ac:dyDescent="0.25">
      <c r="B141" s="105" t="s">
        <v>1058</v>
      </c>
      <c r="C141" s="106"/>
      <c r="D141" s="106"/>
      <c r="E141" s="106"/>
      <c r="F141" s="106"/>
      <c r="G141" s="106"/>
      <c r="H141" s="107"/>
      <c r="I141" s="108"/>
    </row>
    <row r="142" spans="2:10" s="253" customFormat="1" ht="12.95" customHeight="1" x14ac:dyDescent="0.25">
      <c r="B142" s="19" t="s">
        <v>300</v>
      </c>
      <c r="C142" s="75"/>
      <c r="D142" s="75"/>
      <c r="E142" s="74"/>
      <c r="F142" s="46" t="s">
        <v>0</v>
      </c>
      <c r="G142" s="20" t="s">
        <v>1</v>
      </c>
      <c r="H142" s="56" t="s">
        <v>305</v>
      </c>
      <c r="I142" s="5" t="s">
        <v>2</v>
      </c>
      <c r="J142" s="14"/>
    </row>
    <row r="143" spans="2:10" s="253" customFormat="1" ht="12.95" customHeight="1" x14ac:dyDescent="0.2">
      <c r="B143" s="14"/>
      <c r="F143" s="132"/>
    </row>
    <row r="144" spans="2:10" s="253" customFormat="1" ht="12.95" customHeight="1" x14ac:dyDescent="0.2">
      <c r="B144" s="14" t="s">
        <v>1059</v>
      </c>
      <c r="F144" s="132"/>
    </row>
    <row r="145" spans="2:6" s="253" customFormat="1" ht="12.95" customHeight="1" x14ac:dyDescent="0.2">
      <c r="B145" s="14"/>
      <c r="C145" s="253" t="s">
        <v>1008</v>
      </c>
      <c r="F145" s="168">
        <v>0</v>
      </c>
    </row>
    <row r="146" spans="2:6" s="253" customFormat="1" ht="12.95" customHeight="1" x14ac:dyDescent="0.2">
      <c r="B146" s="14"/>
      <c r="C146" s="253" t="s">
        <v>446</v>
      </c>
      <c r="F146" s="168">
        <v>0</v>
      </c>
    </row>
    <row r="147" spans="2:6" s="253" customFormat="1" ht="12.95" customHeight="1" x14ac:dyDescent="0.2">
      <c r="B147" s="14"/>
      <c r="C147" s="253" t="s">
        <v>1006</v>
      </c>
      <c r="F147" s="168">
        <v>100</v>
      </c>
    </row>
    <row r="148" spans="2:6" s="253" customFormat="1" ht="12.95" customHeight="1" x14ac:dyDescent="0.2">
      <c r="B148" s="14"/>
      <c r="C148" s="253" t="s">
        <v>1007</v>
      </c>
      <c r="F148" s="168">
        <v>100</v>
      </c>
    </row>
    <row r="149" spans="2:6" s="253" customFormat="1" ht="12.95" customHeight="1" x14ac:dyDescent="0.2">
      <c r="B149" s="14"/>
      <c r="C149" s="253" t="s">
        <v>1025</v>
      </c>
      <c r="F149" s="168">
        <v>0</v>
      </c>
    </row>
    <row r="150" spans="2:6" s="253" customFormat="1" ht="12.95" customHeight="1" x14ac:dyDescent="0.2">
      <c r="B150" s="14"/>
      <c r="C150" s="253" t="s">
        <v>1009</v>
      </c>
      <c r="F150" s="168">
        <v>0</v>
      </c>
    </row>
    <row r="151" spans="2:6" s="253" customFormat="1" ht="12.95" customHeight="1" x14ac:dyDescent="0.2">
      <c r="B151" s="14"/>
      <c r="C151" s="253" t="s">
        <v>1010</v>
      </c>
      <c r="F151" s="168">
        <v>0</v>
      </c>
    </row>
    <row r="152" spans="2:6" s="253" customFormat="1" ht="12.95" customHeight="1" x14ac:dyDescent="0.2">
      <c r="B152" s="14"/>
      <c r="C152" s="253" t="s">
        <v>1063</v>
      </c>
      <c r="F152" s="168">
        <f>SUM(F145:F151)</f>
        <v>200</v>
      </c>
    </row>
    <row r="153" spans="2:6" s="253" customFormat="1" ht="12.95" customHeight="1" x14ac:dyDescent="0.2">
      <c r="B153" s="14" t="s">
        <v>1064</v>
      </c>
      <c r="F153" s="132"/>
    </row>
    <row r="154" spans="2:6" s="253" customFormat="1" ht="12.95" customHeight="1" x14ac:dyDescent="0.2">
      <c r="B154" s="14"/>
      <c r="C154" s="253" t="s">
        <v>1008</v>
      </c>
      <c r="F154" s="125">
        <f>F145/$F$152</f>
        <v>0</v>
      </c>
    </row>
    <row r="155" spans="2:6" s="253" customFormat="1" ht="12.95" customHeight="1" x14ac:dyDescent="0.2">
      <c r="B155" s="14"/>
      <c r="C155" s="253" t="s">
        <v>446</v>
      </c>
      <c r="F155" s="125">
        <f t="shared" ref="F155:F160" si="0">F146/$F$152</f>
        <v>0</v>
      </c>
    </row>
    <row r="156" spans="2:6" s="253" customFormat="1" ht="12.95" customHeight="1" x14ac:dyDescent="0.2">
      <c r="B156" s="14"/>
      <c r="C156" s="253" t="s">
        <v>1006</v>
      </c>
      <c r="F156" s="125">
        <f t="shared" si="0"/>
        <v>0.5</v>
      </c>
    </row>
    <row r="157" spans="2:6" s="253" customFormat="1" ht="12.95" customHeight="1" x14ac:dyDescent="0.2">
      <c r="B157" s="14"/>
      <c r="C157" s="253" t="s">
        <v>1007</v>
      </c>
      <c r="F157" s="125">
        <f t="shared" si="0"/>
        <v>0.5</v>
      </c>
    </row>
    <row r="158" spans="2:6" s="253" customFormat="1" ht="12.95" customHeight="1" x14ac:dyDescent="0.2">
      <c r="B158" s="14"/>
      <c r="C158" s="253" t="s">
        <v>1025</v>
      </c>
      <c r="F158" s="125">
        <f t="shared" si="0"/>
        <v>0</v>
      </c>
    </row>
    <row r="159" spans="2:6" s="253" customFormat="1" ht="12.95" customHeight="1" x14ac:dyDescent="0.2">
      <c r="B159" s="14"/>
      <c r="C159" s="253" t="s">
        <v>1009</v>
      </c>
      <c r="F159" s="125">
        <f t="shared" si="0"/>
        <v>0</v>
      </c>
    </row>
    <row r="160" spans="2:6" s="253" customFormat="1" ht="12.95" customHeight="1" x14ac:dyDescent="0.2">
      <c r="B160" s="14"/>
      <c r="C160" s="253" t="s">
        <v>1010</v>
      </c>
      <c r="F160" s="125">
        <f t="shared" si="0"/>
        <v>0</v>
      </c>
    </row>
    <row r="161" spans="2:10" s="215" customFormat="1" ht="12.95" customHeight="1" x14ac:dyDescent="0.2">
      <c r="B161" s="14"/>
      <c r="F161" s="132"/>
    </row>
    <row r="162" spans="2:10" s="215" customFormat="1" ht="12.95" customHeight="1" x14ac:dyDescent="0.25">
      <c r="B162" s="105" t="s">
        <v>791</v>
      </c>
      <c r="C162" s="106"/>
      <c r="D162" s="106"/>
      <c r="E162" s="106"/>
      <c r="F162" s="106"/>
      <c r="G162" s="106"/>
      <c r="H162" s="107"/>
      <c r="I162" s="108"/>
    </row>
    <row r="163" spans="2:10" s="215" customFormat="1" ht="12.95" customHeight="1" x14ac:dyDescent="0.25">
      <c r="B163" s="19" t="s">
        <v>300</v>
      </c>
      <c r="C163" s="75"/>
      <c r="D163" s="75"/>
      <c r="E163" s="74"/>
      <c r="F163" s="46" t="s">
        <v>0</v>
      </c>
      <c r="G163" s="20" t="s">
        <v>1</v>
      </c>
      <c r="H163" s="56" t="s">
        <v>305</v>
      </c>
      <c r="I163" s="5" t="s">
        <v>2</v>
      </c>
      <c r="J163" s="14"/>
    </row>
    <row r="165" spans="2:10" s="215" customFormat="1" ht="12.95" customHeight="1" x14ac:dyDescent="0.2">
      <c r="B165" s="215" t="s">
        <v>815</v>
      </c>
      <c r="H165" s="216"/>
    </row>
    <row r="166" spans="2:10" s="215" customFormat="1" ht="12.95" customHeight="1" x14ac:dyDescent="0.2">
      <c r="C166" s="215" t="s">
        <v>814</v>
      </c>
      <c r="F166" s="26">
        <f>1-F330</f>
        <v>0.81</v>
      </c>
      <c r="H166" s="216"/>
    </row>
    <row r="167" spans="2:10" s="215" customFormat="1" ht="12.95" customHeight="1" x14ac:dyDescent="0.2">
      <c r="C167" s="215" t="s">
        <v>818</v>
      </c>
      <c r="F167" s="26"/>
      <c r="H167" s="216"/>
    </row>
    <row r="168" spans="2:10" s="215" customFormat="1" ht="12.95" customHeight="1" x14ac:dyDescent="0.2">
      <c r="D168" s="215" t="s">
        <v>817</v>
      </c>
      <c r="F168" s="247">
        <v>0.1</v>
      </c>
      <c r="H168" s="216"/>
    </row>
    <row r="169" spans="2:10" s="215" customFormat="1" ht="12.95" customHeight="1" x14ac:dyDescent="0.2">
      <c r="D169" s="215" t="s">
        <v>813</v>
      </c>
      <c r="F169" s="26">
        <f>(F168/(1-F168))/$F$166</f>
        <v>0.13717421124828533</v>
      </c>
      <c r="H169" s="216"/>
    </row>
    <row r="170" spans="2:10" s="215" customFormat="1" ht="12.95" customHeight="1" x14ac:dyDescent="0.2">
      <c r="D170" s="215" t="s">
        <v>816</v>
      </c>
      <c r="F170" s="26">
        <f>F169*$F$33</f>
        <v>0.29190672153635117</v>
      </c>
      <c r="G170" s="172" t="s">
        <v>733</v>
      </c>
      <c r="H170" s="216"/>
    </row>
    <row r="171" spans="2:10" s="215" customFormat="1" ht="12.95" customHeight="1" x14ac:dyDescent="0.2">
      <c r="C171" s="215" t="s">
        <v>819</v>
      </c>
      <c r="F171" s="26"/>
      <c r="H171" s="216"/>
    </row>
    <row r="172" spans="2:10" s="215" customFormat="1" ht="12.95" customHeight="1" x14ac:dyDescent="0.2">
      <c r="D172" s="215" t="s">
        <v>820</v>
      </c>
      <c r="F172" s="247">
        <v>0.2</v>
      </c>
      <c r="H172" s="216"/>
    </row>
    <row r="173" spans="2:10" s="215" customFormat="1" ht="12.95" customHeight="1" x14ac:dyDescent="0.2">
      <c r="D173" s="215" t="s">
        <v>813</v>
      </c>
      <c r="F173" s="26">
        <f>(F172/(1-F172))/$F$166</f>
        <v>0.30864197530864196</v>
      </c>
      <c r="H173" s="216"/>
    </row>
    <row r="174" spans="2:10" s="215" customFormat="1" ht="12.95" customHeight="1" x14ac:dyDescent="0.2">
      <c r="D174" s="215" t="s">
        <v>816</v>
      </c>
      <c r="F174" s="26">
        <f>F173*$F$33</f>
        <v>0.65679012345679011</v>
      </c>
      <c r="G174" s="172" t="s">
        <v>733</v>
      </c>
      <c r="H174" s="216"/>
    </row>
    <row r="175" spans="2:10" s="215" customFormat="1" ht="12.95" customHeight="1" x14ac:dyDescent="0.2">
      <c r="B175" s="215" t="s">
        <v>771</v>
      </c>
      <c r="H175" s="216"/>
      <c r="I175" s="215" t="s">
        <v>773</v>
      </c>
    </row>
    <row r="176" spans="2:10" s="215" customFormat="1" ht="12.95" customHeight="1" x14ac:dyDescent="0.2">
      <c r="H176" s="216"/>
      <c r="I176" s="215" t="s">
        <v>774</v>
      </c>
    </row>
    <row r="177" spans="1:9" s="215" customFormat="1" ht="12.95" customHeight="1" x14ac:dyDescent="0.2">
      <c r="C177" s="215" t="s">
        <v>772</v>
      </c>
      <c r="F177" s="184">
        <v>500</v>
      </c>
      <c r="G177" s="133" t="s">
        <v>781</v>
      </c>
      <c r="H177" s="130" t="s">
        <v>792</v>
      </c>
      <c r="I177" s="139" t="s">
        <v>793</v>
      </c>
    </row>
    <row r="178" spans="1:9" s="215" customFormat="1" ht="12.95" customHeight="1" x14ac:dyDescent="0.2">
      <c r="D178" s="215" t="s">
        <v>515</v>
      </c>
      <c r="F178" s="26">
        <f>F177*lbTOMg/cordTOm3</f>
        <v>6.2572421784472768E-2</v>
      </c>
      <c r="G178" s="215" t="s">
        <v>782</v>
      </c>
      <c r="H178" s="216"/>
    </row>
    <row r="179" spans="1:9" s="215" customFormat="1" ht="12.95" customHeight="1" x14ac:dyDescent="0.2">
      <c r="C179" s="215" t="s">
        <v>778</v>
      </c>
      <c r="F179" s="26"/>
      <c r="H179" s="216"/>
    </row>
    <row r="180" spans="1:9" s="215" customFormat="1" ht="12.95" customHeight="1" x14ac:dyDescent="0.2">
      <c r="D180" s="215" t="s">
        <v>779</v>
      </c>
      <c r="F180" s="30">
        <f>F41</f>
        <v>35</v>
      </c>
      <c r="G180" s="215" t="s">
        <v>638</v>
      </c>
      <c r="H180" s="216"/>
    </row>
    <row r="181" spans="1:9" s="215" customFormat="1" ht="12.95" customHeight="1" x14ac:dyDescent="0.2">
      <c r="E181" s="215" t="s">
        <v>515</v>
      </c>
      <c r="F181" s="26">
        <f>F180*lbTOMg/ft3TOm3</f>
        <v>0.56059322033898307</v>
      </c>
      <c r="G181" s="14" t="s">
        <v>715</v>
      </c>
      <c r="H181" s="216"/>
    </row>
    <row r="182" spans="1:9" s="215" customFormat="1" ht="12.95" customHeight="1" x14ac:dyDescent="0.2">
      <c r="D182" s="215" t="s">
        <v>780</v>
      </c>
      <c r="F182" s="185">
        <f>F181/(1+0.12)</f>
        <v>0.50052966101694907</v>
      </c>
      <c r="G182" s="14" t="s">
        <v>715</v>
      </c>
      <c r="H182" s="216"/>
    </row>
    <row r="183" spans="1:9" s="215" customFormat="1" ht="12.95" customHeight="1" x14ac:dyDescent="0.2">
      <c r="C183" s="215" t="s">
        <v>770</v>
      </c>
      <c r="F183" s="243">
        <f>F178/(F178+F182)</f>
        <v>0.11112092051440513</v>
      </c>
      <c r="H183" s="216"/>
    </row>
    <row r="184" spans="1:9" s="215" customFormat="1" ht="12.95" customHeight="1" x14ac:dyDescent="0.2">
      <c r="C184" s="215" t="s">
        <v>813</v>
      </c>
      <c r="F184" s="26">
        <f>(F183/(1-F183))/$F$166</f>
        <v>0.1543363150161142</v>
      </c>
      <c r="H184" s="216"/>
    </row>
    <row r="185" spans="1:9" s="215" customFormat="1" ht="12.95" customHeight="1" x14ac:dyDescent="0.2">
      <c r="C185" s="215" t="s">
        <v>816</v>
      </c>
      <c r="F185" s="26">
        <f>F184*$F$33</f>
        <v>0.32842767835429104</v>
      </c>
      <c r="G185" s="172" t="s">
        <v>733</v>
      </c>
      <c r="H185" s="216"/>
    </row>
    <row r="186" spans="1:9" s="215" customFormat="1" ht="12.95" customHeight="1" x14ac:dyDescent="0.2">
      <c r="B186" s="215" t="s">
        <v>756</v>
      </c>
    </row>
    <row r="187" spans="1:9" s="215" customFormat="1" ht="12.95" customHeight="1" x14ac:dyDescent="0.2">
      <c r="C187" s="215" t="s">
        <v>757</v>
      </c>
    </row>
    <row r="188" spans="1:9" s="215" customFormat="1" ht="12.95" customHeight="1" x14ac:dyDescent="0.2">
      <c r="D188" s="215" t="s">
        <v>798</v>
      </c>
      <c r="F188" s="184">
        <v>11251</v>
      </c>
      <c r="G188" s="133" t="s">
        <v>758</v>
      </c>
      <c r="H188" s="130" t="s">
        <v>759</v>
      </c>
      <c r="I188" s="139" t="s">
        <v>760</v>
      </c>
    </row>
    <row r="189" spans="1:9" s="215" customFormat="1" ht="12.95" customHeight="1" x14ac:dyDescent="0.2">
      <c r="A189" s="129"/>
      <c r="D189" s="215" t="s">
        <v>761</v>
      </c>
      <c r="F189" s="184">
        <v>7515</v>
      </c>
      <c r="G189" s="133" t="s">
        <v>758</v>
      </c>
      <c r="H189" s="130" t="s">
        <v>759</v>
      </c>
      <c r="I189" s="139" t="s">
        <v>760</v>
      </c>
    </row>
    <row r="190" spans="1:9" s="215" customFormat="1" ht="12.95" customHeight="1" x14ac:dyDescent="0.2">
      <c r="D190" s="215" t="s">
        <v>762</v>
      </c>
      <c r="F190" s="184">
        <v>21839</v>
      </c>
      <c r="G190" s="133" t="s">
        <v>758</v>
      </c>
      <c r="H190" s="130" t="s">
        <v>759</v>
      </c>
      <c r="I190" s="139" t="s">
        <v>760</v>
      </c>
    </row>
    <row r="191" spans="1:9" s="215" customFormat="1" ht="12.95" customHeight="1" x14ac:dyDescent="0.2">
      <c r="D191" s="215" t="s">
        <v>763</v>
      </c>
      <c r="F191" s="184">
        <v>6349</v>
      </c>
      <c r="G191" s="133" t="s">
        <v>758</v>
      </c>
      <c r="H191" s="130" t="s">
        <v>759</v>
      </c>
      <c r="I191" s="139" t="s">
        <v>760</v>
      </c>
    </row>
    <row r="192" spans="1:9" s="215" customFormat="1" ht="12.95" customHeight="1" x14ac:dyDescent="0.2">
      <c r="D192" s="215" t="s">
        <v>764</v>
      </c>
      <c r="F192" s="184">
        <v>13800</v>
      </c>
      <c r="G192" s="133" t="s">
        <v>758</v>
      </c>
      <c r="H192" s="130" t="s">
        <v>759</v>
      </c>
      <c r="I192" s="139" t="s">
        <v>760</v>
      </c>
    </row>
    <row r="193" spans="1:9" s="215" customFormat="1" ht="12.95" customHeight="1" x14ac:dyDescent="0.2">
      <c r="D193" s="215" t="s">
        <v>765</v>
      </c>
      <c r="F193" s="184">
        <v>6460</v>
      </c>
      <c r="G193" s="133" t="s">
        <v>758</v>
      </c>
      <c r="H193" s="130" t="s">
        <v>759</v>
      </c>
      <c r="I193" s="139" t="s">
        <v>760</v>
      </c>
    </row>
    <row r="194" spans="1:9" ht="12.95" customHeight="1" x14ac:dyDescent="0.2">
      <c r="D194" s="54" t="s">
        <v>766</v>
      </c>
      <c r="F194" s="184">
        <v>67214</v>
      </c>
      <c r="G194" s="133" t="s">
        <v>758</v>
      </c>
      <c r="H194" s="130" t="s">
        <v>759</v>
      </c>
      <c r="I194" s="139" t="s">
        <v>760</v>
      </c>
    </row>
    <row r="195" spans="1:9" ht="12.95" customHeight="1" x14ac:dyDescent="0.2">
      <c r="C195" s="54" t="s">
        <v>767</v>
      </c>
      <c r="F195" s="184">
        <v>260</v>
      </c>
      <c r="G195" s="133" t="s">
        <v>768</v>
      </c>
      <c r="H195" s="130" t="s">
        <v>759</v>
      </c>
      <c r="I195" s="139" t="s">
        <v>769</v>
      </c>
    </row>
    <row r="196" spans="1:9" ht="12.95" customHeight="1" x14ac:dyDescent="0.2">
      <c r="C196" s="54" t="s">
        <v>770</v>
      </c>
      <c r="F196" s="243">
        <f>F194*0.001/F195</f>
        <v>0.25851538461538459</v>
      </c>
    </row>
    <row r="197" spans="1:9" s="215" customFormat="1" ht="12.95" customHeight="1" x14ac:dyDescent="0.2">
      <c r="C197" s="215" t="s">
        <v>813</v>
      </c>
      <c r="F197" s="26">
        <f>(F196/(1-F196))/$F$166</f>
        <v>0.43042672659622705</v>
      </c>
      <c r="H197" s="216"/>
    </row>
    <row r="198" spans="1:9" s="215" customFormat="1" ht="12.95" customHeight="1" x14ac:dyDescent="0.2">
      <c r="C198" s="215" t="s">
        <v>816</v>
      </c>
      <c r="F198" s="26">
        <f>F197*$F$33</f>
        <v>0.91594807419677116</v>
      </c>
      <c r="G198" s="172" t="s">
        <v>733</v>
      </c>
      <c r="H198" s="216"/>
    </row>
    <row r="199" spans="1:9" ht="12.95" customHeight="1" x14ac:dyDescent="0.2">
      <c r="B199" s="54" t="s">
        <v>783</v>
      </c>
    </row>
    <row r="200" spans="1:9" ht="12.95" customHeight="1" x14ac:dyDescent="0.2">
      <c r="C200" s="54" t="s">
        <v>784</v>
      </c>
      <c r="I200" s="14" t="s">
        <v>785</v>
      </c>
    </row>
    <row r="201" spans="1:9" s="215" customFormat="1" ht="12.95" customHeight="1" x14ac:dyDescent="0.2">
      <c r="B201" s="215" t="s">
        <v>799</v>
      </c>
      <c r="H201" s="216"/>
      <c r="I201" s="14"/>
    </row>
    <row r="202" spans="1:9" s="215" customFormat="1" ht="12.95" customHeight="1" x14ac:dyDescent="0.2">
      <c r="A202" s="129"/>
      <c r="C202" s="215" t="s">
        <v>800</v>
      </c>
      <c r="F202" s="138">
        <v>22205.8</v>
      </c>
      <c r="G202" s="133" t="s">
        <v>804</v>
      </c>
      <c r="H202" s="130" t="s">
        <v>805</v>
      </c>
      <c r="I202" s="139" t="s">
        <v>806</v>
      </c>
    </row>
    <row r="203" spans="1:9" s="215" customFormat="1" ht="12.95" customHeight="1" x14ac:dyDescent="0.2">
      <c r="C203" s="215" t="s">
        <v>801</v>
      </c>
      <c r="F203" s="138">
        <v>20062.7</v>
      </c>
      <c r="G203" s="133" t="s">
        <v>804</v>
      </c>
      <c r="H203" s="130" t="s">
        <v>805</v>
      </c>
      <c r="I203" s="139" t="s">
        <v>806</v>
      </c>
    </row>
    <row r="204" spans="1:9" s="215" customFormat="1" ht="12.95" customHeight="1" x14ac:dyDescent="0.2">
      <c r="C204" s="215" t="s">
        <v>802</v>
      </c>
      <c r="F204" s="138">
        <v>57462.6</v>
      </c>
      <c r="G204" s="133" t="s">
        <v>804</v>
      </c>
      <c r="H204" s="130" t="s">
        <v>805</v>
      </c>
      <c r="I204" s="139" t="s">
        <v>806</v>
      </c>
    </row>
    <row r="205" spans="1:9" s="215" customFormat="1" ht="12.95" customHeight="1" x14ac:dyDescent="0.2">
      <c r="C205" s="215" t="s">
        <v>803</v>
      </c>
      <c r="F205" s="243">
        <f>F202/SUM(F202:F204)</f>
        <v>0.2226567239306495</v>
      </c>
      <c r="G205" s="133"/>
      <c r="I205" s="139"/>
    </row>
    <row r="206" spans="1:9" s="215" customFormat="1" ht="12.95" customHeight="1" x14ac:dyDescent="0.2">
      <c r="C206" s="215" t="s">
        <v>813</v>
      </c>
      <c r="F206" s="26">
        <f>(F205/(1-F205))/$F$166</f>
        <v>0.35362091989627342</v>
      </c>
      <c r="H206" s="216"/>
    </row>
    <row r="207" spans="1:9" s="215" customFormat="1" ht="12.95" customHeight="1" x14ac:dyDescent="0.2">
      <c r="C207" s="215" t="s">
        <v>816</v>
      </c>
      <c r="F207" s="26">
        <f>F206*$F$33</f>
        <v>0.75250531753926986</v>
      </c>
      <c r="G207" s="172" t="s">
        <v>733</v>
      </c>
      <c r="H207" s="216"/>
    </row>
    <row r="208" spans="1:9" s="215" customFormat="1" ht="12.95" customHeight="1" x14ac:dyDescent="0.2">
      <c r="B208" s="215" t="s">
        <v>796</v>
      </c>
      <c r="H208" s="216"/>
      <c r="I208" s="14" t="s">
        <v>797</v>
      </c>
    </row>
    <row r="209" spans="2:9" s="215" customFormat="1" ht="12.95" customHeight="1" x14ac:dyDescent="0.2">
      <c r="C209" s="215" t="s">
        <v>784</v>
      </c>
      <c r="H209" s="216"/>
      <c r="I209" s="14"/>
    </row>
    <row r="210" spans="2:9" ht="12.95" customHeight="1" x14ac:dyDescent="0.2">
      <c r="B210" s="54" t="s">
        <v>786</v>
      </c>
    </row>
    <row r="211" spans="2:9" ht="12.95" customHeight="1" x14ac:dyDescent="0.2">
      <c r="C211" s="54" t="s">
        <v>787</v>
      </c>
      <c r="F211" s="182">
        <v>0.8</v>
      </c>
      <c r="G211" s="133"/>
      <c r="H211" s="130" t="s">
        <v>788</v>
      </c>
      <c r="I211" s="139" t="s">
        <v>789</v>
      </c>
    </row>
    <row r="212" spans="2:9" ht="12.95" customHeight="1" x14ac:dyDescent="0.2">
      <c r="C212" s="54" t="s">
        <v>790</v>
      </c>
      <c r="F212" s="244">
        <f>1-F211</f>
        <v>0.19999999999999996</v>
      </c>
    </row>
    <row r="213" spans="2:9" s="215" customFormat="1" ht="12.95" customHeight="1" x14ac:dyDescent="0.2">
      <c r="C213" s="215" t="s">
        <v>813</v>
      </c>
      <c r="F213" s="26">
        <f>(F212/(1-F212))/$F$166</f>
        <v>0.3086419753086419</v>
      </c>
      <c r="H213" s="216"/>
    </row>
    <row r="214" spans="2:9" s="215" customFormat="1" ht="12.95" customHeight="1" x14ac:dyDescent="0.2">
      <c r="C214" s="215" t="s">
        <v>816</v>
      </c>
      <c r="F214" s="26">
        <f>F213*$F$33</f>
        <v>0.65679012345679</v>
      </c>
      <c r="G214" s="172" t="s">
        <v>733</v>
      </c>
      <c r="H214" s="216"/>
    </row>
    <row r="215" spans="2:9" ht="12.95" customHeight="1" x14ac:dyDescent="0.2">
      <c r="B215" s="54" t="s">
        <v>840</v>
      </c>
    </row>
    <row r="216" spans="2:9" ht="12.95" customHeight="1" x14ac:dyDescent="0.2">
      <c r="C216" s="54" t="s">
        <v>841</v>
      </c>
    </row>
    <row r="217" spans="2:9" ht="12.95" customHeight="1" x14ac:dyDescent="0.2">
      <c r="D217" s="253" t="s">
        <v>790</v>
      </c>
      <c r="E217" s="253"/>
      <c r="F217" s="244">
        <v>0.1</v>
      </c>
      <c r="G217" s="253"/>
    </row>
    <row r="218" spans="2:9" ht="12.95" customHeight="1" x14ac:dyDescent="0.2">
      <c r="D218" s="253" t="s">
        <v>813</v>
      </c>
      <c r="E218" s="253"/>
      <c r="F218" s="26">
        <f>(F217/(1-F217))/$F$166</f>
        <v>0.13717421124828533</v>
      </c>
      <c r="G218" s="253"/>
    </row>
    <row r="219" spans="2:9" ht="12.95" customHeight="1" x14ac:dyDescent="0.2">
      <c r="D219" s="253" t="s">
        <v>816</v>
      </c>
      <c r="E219" s="253"/>
      <c r="F219" s="26">
        <f>F218*$F$33</f>
        <v>0.29190672153635117</v>
      </c>
      <c r="G219" s="172" t="s">
        <v>733</v>
      </c>
    </row>
    <row r="220" spans="2:9" s="253" customFormat="1" ht="12.95" customHeight="1" x14ac:dyDescent="0.2">
      <c r="C220" s="253" t="s">
        <v>842</v>
      </c>
      <c r="H220" s="250"/>
    </row>
    <row r="221" spans="2:9" s="253" customFormat="1" ht="12.95" customHeight="1" x14ac:dyDescent="0.2">
      <c r="D221" s="253" t="s">
        <v>790</v>
      </c>
      <c r="F221" s="244">
        <v>0.2</v>
      </c>
      <c r="H221" s="250"/>
    </row>
    <row r="222" spans="2:9" s="253" customFormat="1" ht="12.95" customHeight="1" x14ac:dyDescent="0.2">
      <c r="D222" s="253" t="s">
        <v>813</v>
      </c>
      <c r="F222" s="26">
        <f>(F221/(1-F221))/$F$166</f>
        <v>0.30864197530864196</v>
      </c>
      <c r="H222" s="250"/>
    </row>
    <row r="223" spans="2:9" s="253" customFormat="1" ht="12.95" customHeight="1" x14ac:dyDescent="0.2">
      <c r="D223" s="253" t="s">
        <v>816</v>
      </c>
      <c r="F223" s="26">
        <f>F222*$F$33</f>
        <v>0.65679012345679011</v>
      </c>
      <c r="G223" s="172" t="s">
        <v>733</v>
      </c>
      <c r="H223" s="250"/>
    </row>
    <row r="224" spans="2:9" s="253" customFormat="1" ht="12.95" customHeight="1" x14ac:dyDescent="0.2">
      <c r="B224" s="14"/>
      <c r="F224" s="132"/>
    </row>
    <row r="225" spans="1:10" ht="12.95" customHeight="1" x14ac:dyDescent="0.25">
      <c r="B225" s="105" t="s">
        <v>501</v>
      </c>
      <c r="C225" s="106"/>
      <c r="D225" s="106"/>
      <c r="E225" s="106"/>
      <c r="F225" s="106"/>
      <c r="G225" s="106"/>
      <c r="H225" s="107"/>
      <c r="I225" s="108"/>
    </row>
    <row r="226" spans="1:10" ht="12.95" customHeight="1" x14ac:dyDescent="0.25">
      <c r="B226" s="19" t="s">
        <v>300</v>
      </c>
      <c r="C226" s="75"/>
      <c r="D226" s="75"/>
      <c r="E226" s="74"/>
      <c r="F226" s="46" t="s">
        <v>0</v>
      </c>
      <c r="G226" s="20" t="s">
        <v>1</v>
      </c>
      <c r="H226" s="56" t="s">
        <v>305</v>
      </c>
      <c r="I226" s="5" t="s">
        <v>2</v>
      </c>
      <c r="J226" s="14"/>
    </row>
    <row r="228" spans="1:10" ht="12.95" customHeight="1" x14ac:dyDescent="0.2">
      <c r="B228" s="121" t="s">
        <v>502</v>
      </c>
    </row>
    <row r="229" spans="1:10" ht="12.95" customHeight="1" x14ac:dyDescent="0.2">
      <c r="A229" s="127"/>
      <c r="B229" s="136" t="s">
        <v>514</v>
      </c>
      <c r="D229" s="136"/>
      <c r="E229" s="136"/>
      <c r="F229" s="137">
        <v>53.06</v>
      </c>
      <c r="G229" s="21" t="s">
        <v>463</v>
      </c>
      <c r="H229" s="130" t="s">
        <v>464</v>
      </c>
      <c r="I229" s="54" t="s">
        <v>465</v>
      </c>
    </row>
    <row r="230" spans="1:10" ht="12.95" customHeight="1" x14ac:dyDescent="0.2">
      <c r="C230" s="54" t="s">
        <v>515</v>
      </c>
      <c r="F230" s="29">
        <f>1000*F229/mmBtuTOMJ</f>
        <v>50.332960215522959</v>
      </c>
      <c r="G230" s="170" t="s">
        <v>516</v>
      </c>
    </row>
    <row r="232" spans="1:10" ht="12.95" customHeight="1" x14ac:dyDescent="0.2">
      <c r="B232" s="121" t="s">
        <v>621</v>
      </c>
    </row>
    <row r="233" spans="1:10" ht="12.95" customHeight="1" x14ac:dyDescent="0.2">
      <c r="B233" s="54" t="s">
        <v>551</v>
      </c>
    </row>
    <row r="234" spans="1:10" ht="12.95" customHeight="1" x14ac:dyDescent="0.2">
      <c r="C234" s="54" t="s">
        <v>556</v>
      </c>
      <c r="F234" s="184">
        <v>15</v>
      </c>
      <c r="G234" s="133" t="s">
        <v>528</v>
      </c>
      <c r="H234" s="130" t="s">
        <v>529</v>
      </c>
      <c r="I234" s="54" t="s">
        <v>549</v>
      </c>
    </row>
    <row r="235" spans="1:10" ht="12.95" customHeight="1" x14ac:dyDescent="0.2">
      <c r="C235" s="54" t="s">
        <v>552</v>
      </c>
      <c r="F235" s="182">
        <v>0.5</v>
      </c>
      <c r="G235" s="133"/>
      <c r="H235" s="130" t="s">
        <v>529</v>
      </c>
    </row>
    <row r="236" spans="1:10" ht="12.95" customHeight="1" x14ac:dyDescent="0.2">
      <c r="C236" s="54" t="s">
        <v>553</v>
      </c>
      <c r="F236" s="182">
        <v>7.0000000000000007E-2</v>
      </c>
      <c r="G236" s="133"/>
      <c r="H236" s="130" t="s">
        <v>529</v>
      </c>
    </row>
    <row r="237" spans="1:10" ht="12.95" customHeight="1" x14ac:dyDescent="0.2">
      <c r="C237" s="54" t="s">
        <v>554</v>
      </c>
      <c r="F237" s="28">
        <f>(1-F236)/(1-F235)</f>
        <v>1.8599999999999999</v>
      </c>
      <c r="G237" s="133" t="s">
        <v>555</v>
      </c>
      <c r="H237" s="54"/>
    </row>
    <row r="238" spans="1:10" ht="12.95" customHeight="1" x14ac:dyDescent="0.2">
      <c r="C238" s="54" t="s">
        <v>556</v>
      </c>
      <c r="F238" s="28">
        <f>F234/F237</f>
        <v>8.064516129032258</v>
      </c>
      <c r="G238" s="133" t="s">
        <v>528</v>
      </c>
      <c r="I238" s="54" t="s">
        <v>550</v>
      </c>
    </row>
    <row r="239" spans="1:10" ht="12.95" customHeight="1" x14ac:dyDescent="0.2">
      <c r="C239" s="54" t="s">
        <v>557</v>
      </c>
      <c r="F239" s="185">
        <f>F238/50</f>
        <v>0.16129032258064516</v>
      </c>
      <c r="G239" s="133" t="s">
        <v>531</v>
      </c>
    </row>
    <row r="240" spans="1:10" ht="12.95" customHeight="1" x14ac:dyDescent="0.2">
      <c r="B240" s="54" t="s">
        <v>548</v>
      </c>
      <c r="F240" s="184">
        <v>158</v>
      </c>
      <c r="G240" s="133" t="s">
        <v>528</v>
      </c>
      <c r="H240" s="130" t="s">
        <v>529</v>
      </c>
      <c r="I240" s="54" t="s">
        <v>530</v>
      </c>
    </row>
    <row r="241" spans="2:9" ht="12.95" customHeight="1" x14ac:dyDescent="0.2">
      <c r="B241" s="54" t="s">
        <v>545</v>
      </c>
      <c r="F241" s="184">
        <v>93</v>
      </c>
      <c r="G241" s="133" t="s">
        <v>528</v>
      </c>
      <c r="H241" s="130" t="s">
        <v>529</v>
      </c>
      <c r="I241" s="54" t="s">
        <v>530</v>
      </c>
    </row>
    <row r="242" spans="2:9" ht="12.95" customHeight="1" x14ac:dyDescent="0.2">
      <c r="B242" s="54" t="s">
        <v>546</v>
      </c>
      <c r="F242" s="185">
        <f>F241/7127</f>
        <v>1.3048968710537394E-2</v>
      </c>
      <c r="G242" s="133" t="s">
        <v>531</v>
      </c>
    </row>
    <row r="244" spans="2:9" ht="12.95" customHeight="1" x14ac:dyDescent="0.2">
      <c r="B244" s="121" t="s">
        <v>620</v>
      </c>
    </row>
    <row r="245" spans="2:9" s="215" customFormat="1" ht="12.95" customHeight="1" x14ac:dyDescent="0.2">
      <c r="B245" s="215" t="s">
        <v>701</v>
      </c>
    </row>
    <row r="246" spans="2:9" ht="12.95" customHeight="1" x14ac:dyDescent="0.2">
      <c r="C246" s="54" t="s">
        <v>674</v>
      </c>
      <c r="F246" s="212">
        <v>7.0000000000000007E-2</v>
      </c>
      <c r="G246" s="21"/>
      <c r="H246" s="54"/>
    </row>
    <row r="247" spans="2:9" ht="12.95" customHeight="1" x14ac:dyDescent="0.2">
      <c r="C247" s="54" t="s">
        <v>675</v>
      </c>
      <c r="F247" s="212">
        <v>0.12</v>
      </c>
      <c r="G247" s="21"/>
      <c r="H247" s="54"/>
    </row>
    <row r="248" spans="2:9" ht="12.95" customHeight="1" x14ac:dyDescent="0.2">
      <c r="C248" s="54" t="s">
        <v>676</v>
      </c>
      <c r="F248" s="212">
        <v>0.5</v>
      </c>
      <c r="G248" s="21"/>
      <c r="H248" s="54"/>
      <c r="I248" s="54" t="s">
        <v>673</v>
      </c>
    </row>
    <row r="249" spans="2:9" ht="12.95" customHeight="1" x14ac:dyDescent="0.2">
      <c r="C249" s="54" t="s">
        <v>677</v>
      </c>
      <c r="F249" s="26">
        <f>1/(1+F246)</f>
        <v>0.93457943925233644</v>
      </c>
      <c r="G249" s="21" t="s">
        <v>679</v>
      </c>
      <c r="H249" s="54"/>
    </row>
    <row r="250" spans="2:9" ht="12.95" customHeight="1" x14ac:dyDescent="0.2">
      <c r="C250" s="54" t="s">
        <v>678</v>
      </c>
      <c r="F250" s="26">
        <f>F247*F249</f>
        <v>0.11214953271028037</v>
      </c>
      <c r="G250" s="21" t="s">
        <v>679</v>
      </c>
      <c r="H250" s="54"/>
    </row>
    <row r="251" spans="2:9" ht="12.95" customHeight="1" x14ac:dyDescent="0.2">
      <c r="C251" s="54" t="s">
        <v>680</v>
      </c>
      <c r="F251" s="26">
        <f>F248*F249</f>
        <v>0.46728971962616822</v>
      </c>
      <c r="G251" s="21" t="s">
        <v>679</v>
      </c>
      <c r="H251" s="54"/>
    </row>
    <row r="252" spans="2:9" ht="12.95" customHeight="1" x14ac:dyDescent="0.2">
      <c r="C252" s="54" t="s">
        <v>681</v>
      </c>
      <c r="F252" s="26">
        <f>F251-F250</f>
        <v>0.35514018691588783</v>
      </c>
      <c r="G252" s="152" t="s">
        <v>679</v>
      </c>
      <c r="H252" s="54"/>
      <c r="I252" s="14"/>
    </row>
    <row r="253" spans="2:9" s="215" customFormat="1" ht="12.95" customHeight="1" x14ac:dyDescent="0.2">
      <c r="C253" s="215" t="s">
        <v>711</v>
      </c>
      <c r="F253" s="30">
        <f>F41</f>
        <v>35</v>
      </c>
      <c r="G253" s="152" t="s">
        <v>638</v>
      </c>
    </row>
    <row r="254" spans="2:9" s="215" customFormat="1" ht="12.95" customHeight="1" x14ac:dyDescent="0.2">
      <c r="D254" s="215" t="s">
        <v>515</v>
      </c>
      <c r="F254" s="26">
        <f>F253*lbTOMg/ft3TOm3</f>
        <v>0.56059322033898307</v>
      </c>
      <c r="G254" s="152" t="s">
        <v>715</v>
      </c>
    </row>
    <row r="255" spans="2:9" s="215" customFormat="1" ht="12.95" customHeight="1" x14ac:dyDescent="0.2">
      <c r="C255" s="215" t="s">
        <v>714</v>
      </c>
      <c r="F255" s="217">
        <v>1</v>
      </c>
      <c r="G255" s="152" t="s">
        <v>715</v>
      </c>
    </row>
    <row r="256" spans="2:9" ht="12.95" customHeight="1" x14ac:dyDescent="0.2">
      <c r="B256" s="54" t="s">
        <v>667</v>
      </c>
      <c r="H256" s="54"/>
    </row>
    <row r="257" spans="2:9" s="253" customFormat="1" ht="12.95" customHeight="1" x14ac:dyDescent="0.2">
      <c r="C257" s="253" t="s">
        <v>1091</v>
      </c>
      <c r="F257" s="336" t="s">
        <v>1092</v>
      </c>
      <c r="H257" s="130" t="s">
        <v>669</v>
      </c>
      <c r="I257" s="139" t="s">
        <v>672</v>
      </c>
    </row>
    <row r="258" spans="2:9" s="253" customFormat="1" ht="12.95" customHeight="1" x14ac:dyDescent="0.2">
      <c r="C258" s="253" t="s">
        <v>1093</v>
      </c>
      <c r="F258" s="182">
        <v>0.55000000000000004</v>
      </c>
      <c r="H258" s="130" t="s">
        <v>669</v>
      </c>
      <c r="I258" s="139" t="s">
        <v>672</v>
      </c>
    </row>
    <row r="259" spans="2:9" s="253" customFormat="1" ht="12.95" customHeight="1" x14ac:dyDescent="0.2">
      <c r="C259" s="253" t="s">
        <v>1094</v>
      </c>
      <c r="F259" s="210" t="s">
        <v>1096</v>
      </c>
      <c r="H259" s="130" t="s">
        <v>669</v>
      </c>
      <c r="I259" s="139"/>
    </row>
    <row r="260" spans="2:9" s="253" customFormat="1" ht="12.95" customHeight="1" x14ac:dyDescent="0.2">
      <c r="C260" s="253" t="s">
        <v>1095</v>
      </c>
      <c r="F260" s="182">
        <v>0.1</v>
      </c>
      <c r="H260" s="130" t="s">
        <v>669</v>
      </c>
      <c r="I260" s="139" t="s">
        <v>1097</v>
      </c>
    </row>
    <row r="261" spans="2:9" s="215" customFormat="1" ht="12.95" customHeight="1" x14ac:dyDescent="0.2">
      <c r="C261" s="215" t="s">
        <v>713</v>
      </c>
    </row>
    <row r="262" spans="2:9" ht="12.95" customHeight="1" x14ac:dyDescent="0.2">
      <c r="D262" s="54" t="s">
        <v>622</v>
      </c>
      <c r="F262" s="184">
        <v>1000</v>
      </c>
      <c r="G262" s="133" t="s">
        <v>671</v>
      </c>
      <c r="H262" s="130" t="s">
        <v>669</v>
      </c>
      <c r="I262" s="139" t="s">
        <v>672</v>
      </c>
    </row>
    <row r="263" spans="2:9" ht="12.95" customHeight="1" x14ac:dyDescent="0.2">
      <c r="D263" s="54" t="s">
        <v>622</v>
      </c>
      <c r="F263" s="137">
        <v>1021.52</v>
      </c>
      <c r="G263" s="139" t="s">
        <v>668</v>
      </c>
      <c r="H263" s="130" t="s">
        <v>669</v>
      </c>
      <c r="I263" s="139" t="s">
        <v>670</v>
      </c>
    </row>
    <row r="264" spans="2:9" ht="12.95" customHeight="1" x14ac:dyDescent="0.2">
      <c r="E264" s="54" t="s">
        <v>515</v>
      </c>
      <c r="F264" s="220">
        <f>F263*kWhTOMJ</f>
        <v>3676.8693031999996</v>
      </c>
      <c r="G264" s="139" t="s">
        <v>666</v>
      </c>
      <c r="H264" s="54"/>
      <c r="I264" s="139"/>
    </row>
    <row r="265" spans="2:9" s="215" customFormat="1" ht="12.95" customHeight="1" x14ac:dyDescent="0.2">
      <c r="B265" s="21"/>
      <c r="C265" s="215" t="s">
        <v>739</v>
      </c>
      <c r="F265" s="221">
        <f>F264*$F$32/10^6</f>
        <v>0.41180936195839996</v>
      </c>
      <c r="G265" s="139" t="s">
        <v>723</v>
      </c>
      <c r="H265" s="216"/>
    </row>
    <row r="266" spans="2:9" ht="12.95" customHeight="1" x14ac:dyDescent="0.2">
      <c r="B266" s="54" t="s">
        <v>655</v>
      </c>
      <c r="F266" s="29"/>
      <c r="G266" s="152"/>
      <c r="H266" s="54"/>
      <c r="I266" s="54" t="s">
        <v>697</v>
      </c>
    </row>
    <row r="267" spans="2:9" s="215" customFormat="1" ht="12.95" customHeight="1" x14ac:dyDescent="0.2">
      <c r="I267" s="215" t="s">
        <v>698</v>
      </c>
    </row>
    <row r="268" spans="2:9" s="215" customFormat="1" ht="12.95" customHeight="1" x14ac:dyDescent="0.2">
      <c r="I268" s="215" t="s">
        <v>712</v>
      </c>
    </row>
    <row r="269" spans="2:9" s="215" customFormat="1" ht="12.95" customHeight="1" x14ac:dyDescent="0.2">
      <c r="C269" s="215" t="s">
        <v>717</v>
      </c>
    </row>
    <row r="270" spans="2:9" s="253" customFormat="1" ht="12.95" customHeight="1" x14ac:dyDescent="0.2">
      <c r="D270" s="253" t="s">
        <v>1120</v>
      </c>
      <c r="F270" s="182">
        <v>7.0000000000000007E-2</v>
      </c>
      <c r="G270" s="133"/>
      <c r="H270" s="130" t="s">
        <v>1117</v>
      </c>
      <c r="I270" s="139" t="s">
        <v>1124</v>
      </c>
    </row>
    <row r="271" spans="2:9" s="215" customFormat="1" ht="12.95" customHeight="1" x14ac:dyDescent="0.2">
      <c r="D271" s="215" t="s">
        <v>721</v>
      </c>
      <c r="F271" s="26">
        <f>(1+$F$246)/(1+$F$270)</f>
        <v>1</v>
      </c>
      <c r="G271" s="215" t="s">
        <v>720</v>
      </c>
      <c r="I271" s="253" t="s">
        <v>1125</v>
      </c>
    </row>
    <row r="272" spans="2:9" s="253" customFormat="1" ht="12.95" customHeight="1" x14ac:dyDescent="0.2">
      <c r="D272" s="253" t="s">
        <v>1122</v>
      </c>
      <c r="F272" s="184">
        <v>535</v>
      </c>
      <c r="G272" s="133" t="s">
        <v>649</v>
      </c>
      <c r="H272" s="130" t="s">
        <v>657</v>
      </c>
      <c r="I272" s="139" t="s">
        <v>700</v>
      </c>
    </row>
    <row r="273" spans="2:9" s="215" customFormat="1" ht="12.95" customHeight="1" x14ac:dyDescent="0.2">
      <c r="D273" s="215" t="s">
        <v>1121</v>
      </c>
      <c r="F273" s="26">
        <f>F254</f>
        <v>0.56059322033898307</v>
      </c>
      <c r="G273" s="215" t="s">
        <v>719</v>
      </c>
    </row>
    <row r="274" spans="2:9" s="215" customFormat="1" ht="12.95" customHeight="1" x14ac:dyDescent="0.2">
      <c r="D274" s="215" t="s">
        <v>717</v>
      </c>
      <c r="F274" s="26">
        <f>F271*F273</f>
        <v>0.56059322033898307</v>
      </c>
      <c r="G274" s="215" t="s">
        <v>718</v>
      </c>
    </row>
    <row r="275" spans="2:9" s="215" customFormat="1" ht="12.95" customHeight="1" x14ac:dyDescent="0.2">
      <c r="C275" s="215" t="s">
        <v>1115</v>
      </c>
    </row>
    <row r="276" spans="2:9" s="215" customFormat="1" ht="12.95" customHeight="1" x14ac:dyDescent="0.2">
      <c r="D276" s="215" t="s">
        <v>699</v>
      </c>
      <c r="F276" s="138">
        <v>5.8</v>
      </c>
      <c r="G276" s="133" t="s">
        <v>716</v>
      </c>
      <c r="H276" s="130" t="s">
        <v>657</v>
      </c>
      <c r="I276" s="139" t="s">
        <v>700</v>
      </c>
    </row>
    <row r="277" spans="2:9" s="253" customFormat="1" ht="12.95" customHeight="1" x14ac:dyDescent="0.2">
      <c r="E277" s="253" t="s">
        <v>515</v>
      </c>
      <c r="F277" s="30">
        <f>F276*1000/F273</f>
        <v>10346.182917611488</v>
      </c>
      <c r="G277" s="133" t="s">
        <v>1126</v>
      </c>
      <c r="I277" s="139"/>
    </row>
    <row r="278" spans="2:9" s="215" customFormat="1" ht="12.95" customHeight="1" x14ac:dyDescent="0.2">
      <c r="E278" s="215" t="s">
        <v>515</v>
      </c>
      <c r="F278" s="30">
        <f>F277/F271</f>
        <v>10346.182917611488</v>
      </c>
      <c r="G278" s="133" t="s">
        <v>666</v>
      </c>
      <c r="I278" s="139"/>
    </row>
    <row r="279" spans="2:9" s="253" customFormat="1" ht="12.95" customHeight="1" x14ac:dyDescent="0.2">
      <c r="D279" s="253" t="s">
        <v>1116</v>
      </c>
      <c r="F279" s="182">
        <v>0.8</v>
      </c>
      <c r="G279" s="133"/>
      <c r="H279" s="130" t="s">
        <v>1117</v>
      </c>
      <c r="I279" s="337" t="s">
        <v>1118</v>
      </c>
    </row>
    <row r="280" spans="2:9" s="253" customFormat="1" ht="12.95" customHeight="1" x14ac:dyDescent="0.2">
      <c r="D280" s="253" t="s">
        <v>1119</v>
      </c>
      <c r="F280" s="26">
        <f>F279</f>
        <v>0.8</v>
      </c>
      <c r="G280" s="133" t="s">
        <v>1128</v>
      </c>
      <c r="I280" s="139"/>
    </row>
    <row r="281" spans="2:9" s="253" customFormat="1" ht="12.95" customHeight="1" x14ac:dyDescent="0.2">
      <c r="D281" s="253" t="s">
        <v>1123</v>
      </c>
      <c r="F281" s="26">
        <f>F280-F270</f>
        <v>0.73</v>
      </c>
      <c r="G281" s="133" t="s">
        <v>1128</v>
      </c>
      <c r="I281" s="139"/>
    </row>
    <row r="282" spans="2:9" s="253" customFormat="1" ht="12.95" customHeight="1" x14ac:dyDescent="0.2">
      <c r="D282" s="253" t="s">
        <v>1115</v>
      </c>
      <c r="F282" s="220">
        <f>F277/F281</f>
        <v>14172.85331179656</v>
      </c>
      <c r="G282" s="133" t="s">
        <v>1127</v>
      </c>
      <c r="I282" s="139"/>
    </row>
    <row r="283" spans="2:9" s="215" customFormat="1" ht="12.95" customHeight="1" x14ac:dyDescent="0.2">
      <c r="C283" s="215" t="s">
        <v>695</v>
      </c>
      <c r="F283" s="30"/>
      <c r="G283" s="133"/>
      <c r="I283" s="139"/>
    </row>
    <row r="284" spans="2:9" ht="12.95" customHeight="1" x14ac:dyDescent="0.2">
      <c r="D284" s="54" t="s">
        <v>658</v>
      </c>
      <c r="F284" s="184">
        <v>398</v>
      </c>
      <c r="G284" s="133" t="s">
        <v>722</v>
      </c>
      <c r="H284" s="130" t="s">
        <v>657</v>
      </c>
      <c r="I284" s="139" t="s">
        <v>696</v>
      </c>
    </row>
    <row r="285" spans="2:9" s="215" customFormat="1" ht="12.95" customHeight="1" x14ac:dyDescent="0.2">
      <c r="E285" s="215" t="s">
        <v>515</v>
      </c>
      <c r="F285" s="221">
        <f>F284*0.001/$F$274</f>
        <v>0.7099622071050643</v>
      </c>
      <c r="G285" s="139" t="s">
        <v>723</v>
      </c>
      <c r="I285" s="139"/>
    </row>
    <row r="286" spans="2:9" ht="12.95" customHeight="1" x14ac:dyDescent="0.2">
      <c r="D286" s="54" t="s">
        <v>659</v>
      </c>
      <c r="F286" s="138">
        <v>46.5</v>
      </c>
      <c r="G286" s="133" t="s">
        <v>656</v>
      </c>
      <c r="H286" s="130" t="s">
        <v>657</v>
      </c>
      <c r="I286" s="139" t="s">
        <v>696</v>
      </c>
    </row>
    <row r="287" spans="2:9" s="215" customFormat="1" ht="12.95" customHeight="1" x14ac:dyDescent="0.2">
      <c r="E287" s="215" t="s">
        <v>515</v>
      </c>
      <c r="F287" s="26">
        <f>F286*0.001/$F$274</f>
        <v>8.2947845804988665E-2</v>
      </c>
      <c r="G287" s="139" t="s">
        <v>723</v>
      </c>
      <c r="I287" s="139"/>
    </row>
    <row r="288" spans="2:9" s="215" customFormat="1" ht="12.95" customHeight="1" x14ac:dyDescent="0.2">
      <c r="B288" s="21" t="s">
        <v>660</v>
      </c>
      <c r="H288" s="216"/>
    </row>
    <row r="289" spans="2:9" s="215" customFormat="1" ht="12.95" customHeight="1" x14ac:dyDescent="0.2">
      <c r="B289" s="21"/>
      <c r="C289" s="215" t="s">
        <v>1115</v>
      </c>
      <c r="H289" s="216"/>
    </row>
    <row r="290" spans="2:9" s="253" customFormat="1" ht="12.95" customHeight="1" x14ac:dyDescent="0.2">
      <c r="B290" s="21"/>
      <c r="D290" s="253" t="s">
        <v>1115</v>
      </c>
      <c r="F290" s="184">
        <v>3960</v>
      </c>
      <c r="G290" s="133" t="s">
        <v>1127</v>
      </c>
      <c r="H290" s="130" t="s">
        <v>664</v>
      </c>
      <c r="I290" s="139" t="s">
        <v>1133</v>
      </c>
    </row>
    <row r="291" spans="2:9" s="253" customFormat="1" ht="12.95" customHeight="1" x14ac:dyDescent="0.2">
      <c r="B291" s="21"/>
      <c r="D291" s="253" t="s">
        <v>1134</v>
      </c>
      <c r="F291" s="182">
        <v>0.53</v>
      </c>
      <c r="G291" s="133"/>
      <c r="H291" s="130" t="s">
        <v>664</v>
      </c>
      <c r="I291" s="139" t="s">
        <v>1133</v>
      </c>
    </row>
    <row r="292" spans="2:9" s="253" customFormat="1" ht="12.95" customHeight="1" x14ac:dyDescent="0.2">
      <c r="B292" s="21"/>
      <c r="D292" s="253" t="s">
        <v>1135</v>
      </c>
      <c r="F292" s="182">
        <v>0.06</v>
      </c>
      <c r="G292" s="133"/>
      <c r="H292" s="130" t="s">
        <v>664</v>
      </c>
      <c r="I292" s="139" t="s">
        <v>1133</v>
      </c>
    </row>
    <row r="293" spans="2:9" s="215" customFormat="1" ht="12.95" customHeight="1" x14ac:dyDescent="0.2">
      <c r="D293" s="215" t="s">
        <v>735</v>
      </c>
      <c r="F293" s="137">
        <v>0.51</v>
      </c>
      <c r="G293" s="133" t="s">
        <v>738</v>
      </c>
      <c r="H293" s="130" t="s">
        <v>664</v>
      </c>
      <c r="I293" s="139" t="s">
        <v>1133</v>
      </c>
    </row>
    <row r="294" spans="2:9" s="215" customFormat="1" ht="12.95" customHeight="1" x14ac:dyDescent="0.2">
      <c r="D294" s="215" t="s">
        <v>736</v>
      </c>
      <c r="F294" s="184">
        <v>7740</v>
      </c>
      <c r="G294" s="133" t="s">
        <v>737</v>
      </c>
      <c r="H294" s="130" t="s">
        <v>664</v>
      </c>
      <c r="I294" s="139" t="s">
        <v>1130</v>
      </c>
    </row>
    <row r="295" spans="2:9" s="215" customFormat="1" ht="12.95" customHeight="1" x14ac:dyDescent="0.2">
      <c r="D295" s="215" t="s">
        <v>661</v>
      </c>
      <c r="F295" s="30">
        <f>F294*F293</f>
        <v>3947.4</v>
      </c>
      <c r="G295" s="139" t="s">
        <v>666</v>
      </c>
      <c r="I295" s="139" t="s">
        <v>1129</v>
      </c>
    </row>
    <row r="296" spans="2:9" s="215" customFormat="1" ht="12.95" customHeight="1" x14ac:dyDescent="0.2">
      <c r="B296" s="21"/>
      <c r="C296" s="215" t="s">
        <v>739</v>
      </c>
      <c r="F296" s="221">
        <f>F295*$F$32/10^6</f>
        <v>0.44210879999999997</v>
      </c>
      <c r="G296" s="139" t="s">
        <v>723</v>
      </c>
      <c r="H296" s="216"/>
    </row>
    <row r="297" spans="2:9" s="215" customFormat="1" ht="12.95" customHeight="1" x14ac:dyDescent="0.2">
      <c r="B297" s="21" t="s">
        <v>752</v>
      </c>
      <c r="H297" s="216"/>
    </row>
    <row r="298" spans="2:9" s="215" customFormat="1" ht="12.95" customHeight="1" x14ac:dyDescent="0.2">
      <c r="B298" s="21"/>
      <c r="C298" s="215" t="s">
        <v>713</v>
      </c>
      <c r="H298" s="216"/>
    </row>
    <row r="299" spans="2:9" ht="12.95" customHeight="1" x14ac:dyDescent="0.2">
      <c r="D299" s="54" t="s">
        <v>622</v>
      </c>
      <c r="F299" s="137">
        <v>3.96</v>
      </c>
      <c r="G299" s="133" t="s">
        <v>623</v>
      </c>
      <c r="H299" s="130" t="s">
        <v>529</v>
      </c>
      <c r="I299" s="54" t="s">
        <v>530</v>
      </c>
    </row>
    <row r="300" spans="2:9" ht="12.95" customHeight="1" x14ac:dyDescent="0.2">
      <c r="E300" s="54" t="s">
        <v>692</v>
      </c>
      <c r="F300" s="220">
        <f>F299*$F$252*1000</f>
        <v>1406.3551401869158</v>
      </c>
      <c r="G300" s="21" t="s">
        <v>666</v>
      </c>
      <c r="H300" s="93"/>
    </row>
    <row r="301" spans="2:9" ht="12.95" customHeight="1" x14ac:dyDescent="0.2">
      <c r="C301" s="54" t="s">
        <v>695</v>
      </c>
      <c r="H301" s="54"/>
    </row>
    <row r="302" spans="2:9" ht="12.95" customHeight="1" x14ac:dyDescent="0.2">
      <c r="D302" s="54" t="s">
        <v>734</v>
      </c>
      <c r="F302" s="184">
        <v>424</v>
      </c>
      <c r="G302" s="133" t="s">
        <v>625</v>
      </c>
      <c r="H302" s="130" t="s">
        <v>529</v>
      </c>
      <c r="I302" s="54" t="s">
        <v>530</v>
      </c>
    </row>
    <row r="303" spans="2:9" s="215" customFormat="1" ht="12.95" customHeight="1" x14ac:dyDescent="0.2">
      <c r="B303" s="121"/>
      <c r="E303" s="215" t="s">
        <v>515</v>
      </c>
      <c r="F303" s="221">
        <f>F302/1000</f>
        <v>0.42399999999999999</v>
      </c>
      <c r="G303" s="139" t="s">
        <v>794</v>
      </c>
      <c r="H303" s="216"/>
    </row>
    <row r="304" spans="2:9" ht="12.95" customHeight="1" x14ac:dyDescent="0.2">
      <c r="B304" s="54" t="s">
        <v>630</v>
      </c>
      <c r="H304" s="54"/>
    </row>
    <row r="305" spans="2:9" s="215" customFormat="1" ht="12.95" customHeight="1" x14ac:dyDescent="0.2">
      <c r="C305" s="215" t="s">
        <v>740</v>
      </c>
    </row>
    <row r="306" spans="2:9" s="215" customFormat="1" ht="12.95" customHeight="1" x14ac:dyDescent="0.2">
      <c r="C306" s="215" t="s">
        <v>695</v>
      </c>
    </row>
    <row r="307" spans="2:9" ht="12.95" customHeight="1" x14ac:dyDescent="0.2">
      <c r="D307" s="54" t="s">
        <v>631</v>
      </c>
      <c r="F307" s="184">
        <v>498</v>
      </c>
      <c r="G307" s="133" t="s">
        <v>654</v>
      </c>
      <c r="H307" s="130" t="s">
        <v>632</v>
      </c>
      <c r="I307" s="139" t="s">
        <v>590</v>
      </c>
    </row>
    <row r="308" spans="2:9" s="215" customFormat="1" ht="12.95" customHeight="1" x14ac:dyDescent="0.2">
      <c r="E308" s="215" t="s">
        <v>515</v>
      </c>
      <c r="F308" s="26">
        <f>F307*10^-6/bfTOm3</f>
        <v>0.21104019934399551</v>
      </c>
      <c r="G308" s="139" t="s">
        <v>744</v>
      </c>
      <c r="I308" s="139"/>
    </row>
    <row r="309" spans="2:9" s="215" customFormat="1" ht="12.95" customHeight="1" x14ac:dyDescent="0.2">
      <c r="E309" s="215" t="s">
        <v>515</v>
      </c>
      <c r="F309" s="221">
        <f>F308/$F$274</f>
        <v>0.37645870782451202</v>
      </c>
      <c r="G309" s="139" t="s">
        <v>723</v>
      </c>
      <c r="I309" s="139"/>
    </row>
    <row r="310" spans="2:9" ht="12.95" customHeight="1" x14ac:dyDescent="0.2">
      <c r="D310" s="54" t="s">
        <v>633</v>
      </c>
      <c r="F310" s="184">
        <v>77</v>
      </c>
      <c r="G310" s="133" t="s">
        <v>654</v>
      </c>
      <c r="H310" s="130" t="s">
        <v>632</v>
      </c>
    </row>
    <row r="311" spans="2:9" s="215" customFormat="1" ht="12.95" customHeight="1" x14ac:dyDescent="0.2">
      <c r="E311" s="215" t="s">
        <v>515</v>
      </c>
      <c r="F311" s="26">
        <f>F310*10^-6/bfTOm3</f>
        <v>3.2630713553188063E-2</v>
      </c>
      <c r="G311" s="139" t="s">
        <v>744</v>
      </c>
      <c r="I311" s="139"/>
    </row>
    <row r="312" spans="2:9" s="215" customFormat="1" ht="12.95" customHeight="1" x14ac:dyDescent="0.2">
      <c r="E312" s="215" t="s">
        <v>515</v>
      </c>
      <c r="F312" s="26">
        <f>F311/$F$274</f>
        <v>5.820747088852897E-2</v>
      </c>
      <c r="G312" s="139" t="s">
        <v>723</v>
      </c>
      <c r="I312" s="139"/>
    </row>
    <row r="313" spans="2:9" ht="12.95" customHeight="1" x14ac:dyDescent="0.2">
      <c r="B313" s="54" t="s">
        <v>662</v>
      </c>
      <c r="F313" s="211"/>
      <c r="G313" s="21"/>
      <c r="H313" s="54"/>
    </row>
    <row r="314" spans="2:9" ht="12.95" customHeight="1" x14ac:dyDescent="0.2">
      <c r="C314" s="54" t="s">
        <v>629</v>
      </c>
      <c r="F314" s="182">
        <v>7.0000000000000007E-2</v>
      </c>
      <c r="G314" s="133" t="s">
        <v>663</v>
      </c>
      <c r="H314" s="130" t="s">
        <v>529</v>
      </c>
      <c r="I314" s="139"/>
    </row>
    <row r="315" spans="2:9" ht="12.95" customHeight="1" x14ac:dyDescent="0.2">
      <c r="C315" s="54" t="s">
        <v>660</v>
      </c>
      <c r="F315" s="182">
        <v>0.12</v>
      </c>
      <c r="G315" s="139" t="s">
        <v>663</v>
      </c>
      <c r="H315" s="130" t="s">
        <v>664</v>
      </c>
      <c r="I315" s="139" t="s">
        <v>665</v>
      </c>
    </row>
    <row r="316" spans="2:9" s="253" customFormat="1" ht="12.95" customHeight="1" x14ac:dyDescent="0.2">
      <c r="C316" s="253" t="s">
        <v>660</v>
      </c>
      <c r="F316" s="182">
        <v>0.06</v>
      </c>
      <c r="G316" s="139" t="s">
        <v>663</v>
      </c>
      <c r="H316" s="130" t="s">
        <v>664</v>
      </c>
      <c r="I316" s="139" t="s">
        <v>1133</v>
      </c>
    </row>
    <row r="317" spans="2:9" s="253" customFormat="1" ht="12.95" customHeight="1" x14ac:dyDescent="0.2">
      <c r="B317" s="253" t="s">
        <v>1104</v>
      </c>
      <c r="F317" s="204"/>
      <c r="G317" s="21"/>
    </row>
    <row r="318" spans="2:9" s="253" customFormat="1" ht="12.95" customHeight="1" x14ac:dyDescent="0.2">
      <c r="C318" s="253" t="s">
        <v>1105</v>
      </c>
      <c r="F318" s="30">
        <f>F262*kWhTOMJ</f>
        <v>3599.41</v>
      </c>
      <c r="G318" s="21" t="s">
        <v>1106</v>
      </c>
    </row>
    <row r="319" spans="2:9" s="253" customFormat="1" ht="12.95" customHeight="1" x14ac:dyDescent="0.2">
      <c r="C319" s="253" t="s">
        <v>655</v>
      </c>
      <c r="F319" s="30">
        <f>F282</f>
        <v>14172.85331179656</v>
      </c>
      <c r="G319" s="21" t="s">
        <v>1106</v>
      </c>
    </row>
    <row r="320" spans="2:9" s="253" customFormat="1" ht="12.95" customHeight="1" x14ac:dyDescent="0.2">
      <c r="C320" s="253" t="s">
        <v>660</v>
      </c>
      <c r="F320" s="30">
        <f>F295</f>
        <v>3947.4</v>
      </c>
      <c r="G320" s="21" t="s">
        <v>1106</v>
      </c>
    </row>
    <row r="321" spans="2:9" s="253" customFormat="1" ht="12.95" customHeight="1" x14ac:dyDescent="0.2">
      <c r="C321" s="253" t="s">
        <v>1136</v>
      </c>
      <c r="F321" s="30">
        <f>F299*1000</f>
        <v>3960</v>
      </c>
      <c r="G321" s="21" t="s">
        <v>1106</v>
      </c>
    </row>
    <row r="322" spans="2:9" s="253" customFormat="1" ht="12.95" customHeight="1" x14ac:dyDescent="0.2">
      <c r="C322" s="253" t="s">
        <v>1104</v>
      </c>
      <c r="F322" s="220">
        <f>AVERAGE(F318,F320,F321)</f>
        <v>3835.603333333333</v>
      </c>
      <c r="G322" s="21" t="s">
        <v>1106</v>
      </c>
      <c r="I322" s="14" t="s">
        <v>1137</v>
      </c>
    </row>
    <row r="323" spans="2:9" s="253" customFormat="1" ht="12.95" customHeight="1" x14ac:dyDescent="0.2">
      <c r="D323" s="253" t="s">
        <v>1138</v>
      </c>
      <c r="F323" s="198">
        <f>F322/F327</f>
        <v>1.5711321975898136</v>
      </c>
      <c r="G323" s="21"/>
      <c r="I323" s="14" t="s">
        <v>1139</v>
      </c>
    </row>
    <row r="324" spans="2:9" ht="12.95" customHeight="1" x14ac:dyDescent="0.2">
      <c r="B324" s="54" t="s">
        <v>1131</v>
      </c>
      <c r="F324" s="204"/>
      <c r="G324" s="21"/>
      <c r="H324" s="54"/>
    </row>
    <row r="325" spans="2:9" ht="12.95" customHeight="1" x14ac:dyDescent="0.2">
      <c r="C325" s="54" t="s">
        <v>688</v>
      </c>
      <c r="F325" s="137">
        <v>43.98</v>
      </c>
      <c r="G325" s="133" t="s">
        <v>685</v>
      </c>
      <c r="H325" s="130" t="s">
        <v>683</v>
      </c>
      <c r="I325" s="139" t="s">
        <v>686</v>
      </c>
    </row>
    <row r="326" spans="2:9" ht="12.95" customHeight="1" x14ac:dyDescent="0.2">
      <c r="C326" s="54" t="s">
        <v>682</v>
      </c>
      <c r="F326" s="213">
        <v>18.015000000000001</v>
      </c>
      <c r="G326" s="133" t="s">
        <v>460</v>
      </c>
      <c r="H326" s="130" t="s">
        <v>683</v>
      </c>
      <c r="I326" s="139" t="s">
        <v>684</v>
      </c>
    </row>
    <row r="327" spans="2:9" ht="12.95" customHeight="1" x14ac:dyDescent="0.2">
      <c r="C327" s="54" t="s">
        <v>1132</v>
      </c>
      <c r="F327" s="30">
        <f>F325*1000/F326</f>
        <v>2441.2989175686926</v>
      </c>
      <c r="G327" s="139" t="s">
        <v>1107</v>
      </c>
      <c r="H327" s="54"/>
      <c r="I327" s="139"/>
    </row>
    <row r="328" spans="2:9" ht="12.95" customHeight="1" x14ac:dyDescent="0.2">
      <c r="C328" s="54" t="s">
        <v>690</v>
      </c>
      <c r="F328" s="205">
        <v>2260</v>
      </c>
      <c r="G328" s="133" t="s">
        <v>588</v>
      </c>
      <c r="H328" s="54"/>
      <c r="I328" s="54" t="s">
        <v>691</v>
      </c>
    </row>
    <row r="329" spans="2:9" ht="12.95" customHeight="1" x14ac:dyDescent="0.2">
      <c r="B329" s="54" t="s">
        <v>689</v>
      </c>
      <c r="F329" s="29"/>
      <c r="G329" s="152"/>
      <c r="H329" s="54"/>
      <c r="I329" s="14"/>
    </row>
    <row r="330" spans="2:9" ht="12.95" customHeight="1" x14ac:dyDescent="0.2">
      <c r="C330" s="54" t="s">
        <v>626</v>
      </c>
      <c r="F330" s="182">
        <v>0.19</v>
      </c>
      <c r="G330" s="133"/>
      <c r="H330" s="130" t="s">
        <v>529</v>
      </c>
      <c r="I330" s="54" t="s">
        <v>624</v>
      </c>
    </row>
  </sheetData>
  <hyperlinks>
    <hyperlink ref="B2" location="cover!B18" display="return to TOC" xr:uid="{00000000-0004-0000-0200-000000000000}"/>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codeName="Sheet6">
    <tabColor rgb="FF2171B5"/>
  </sheetPr>
  <dimension ref="A1:GZ46"/>
  <sheetViews>
    <sheetView workbookViewId="0"/>
  </sheetViews>
  <sheetFormatPr defaultColWidth="10.83203125" defaultRowHeight="12.95" customHeight="1" x14ac:dyDescent="0.2"/>
  <cols>
    <col min="1" max="1" width="1.83203125" style="54" customWidth="1"/>
    <col min="2" max="3" width="2.83203125" style="54" customWidth="1"/>
    <col min="4" max="4" width="12.83203125" style="54" customWidth="1"/>
    <col min="5" max="7" width="8.83203125" style="54" customWidth="1"/>
    <col min="8" max="9" width="6.83203125" style="54" customWidth="1"/>
    <col min="10" max="50" width="6.83203125" style="12" customWidth="1"/>
    <col min="51" max="208" width="6.83203125" style="54" customWidth="1"/>
    <col min="209" max="16384" width="10.83203125" style="54"/>
  </cols>
  <sheetData>
    <row r="1" spans="1:208" ht="30" customHeight="1" x14ac:dyDescent="0.2">
      <c r="A1" s="85"/>
      <c r="B1" s="86" t="s">
        <v>574</v>
      </c>
      <c r="C1" s="86"/>
      <c r="D1" s="86"/>
      <c r="E1" s="86"/>
      <c r="F1" s="86"/>
      <c r="G1" s="86"/>
      <c r="H1" s="14"/>
      <c r="I1" s="14"/>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14"/>
      <c r="AZ1" s="14"/>
    </row>
    <row r="2" spans="1:208" ht="12.95" customHeight="1" x14ac:dyDescent="0.2">
      <c r="A2" s="85"/>
      <c r="B2" s="81" t="s">
        <v>349</v>
      </c>
      <c r="C2" s="81"/>
      <c r="D2" s="81"/>
      <c r="E2" s="81"/>
      <c r="F2" s="81"/>
      <c r="G2" s="81"/>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row>
    <row r="3" spans="1:208" ht="12.95" customHeight="1" x14ac:dyDescent="0.2">
      <c r="B3" s="21"/>
      <c r="C3" s="21"/>
      <c r="D3" s="21"/>
      <c r="E3" s="21"/>
      <c r="F3" s="21"/>
      <c r="G3" s="21"/>
      <c r="I3" s="81"/>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row>
    <row r="4" spans="1:208" ht="12.95" customHeight="1" x14ac:dyDescent="0.25">
      <c r="B4" s="105" t="s">
        <v>948</v>
      </c>
      <c r="C4" s="106"/>
      <c r="D4" s="106"/>
      <c r="E4" s="106"/>
      <c r="F4" s="106"/>
      <c r="G4" s="106"/>
      <c r="H4" s="106"/>
      <c r="I4" s="106"/>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c r="BT4" s="107"/>
      <c r="BU4" s="107"/>
      <c r="BV4" s="107"/>
      <c r="BW4" s="107"/>
      <c r="BX4" s="107"/>
      <c r="BY4" s="107"/>
      <c r="BZ4" s="107"/>
      <c r="CA4" s="107"/>
      <c r="CB4" s="107"/>
      <c r="CC4" s="107"/>
      <c r="CD4" s="107"/>
      <c r="CE4" s="107"/>
      <c r="CF4" s="107"/>
      <c r="CG4" s="107"/>
      <c r="CH4" s="107"/>
      <c r="CI4" s="107"/>
      <c r="CJ4" s="107"/>
      <c r="CK4" s="107"/>
      <c r="CL4" s="107"/>
      <c r="CM4" s="107"/>
      <c r="CN4" s="107"/>
      <c r="CO4" s="107"/>
      <c r="CP4" s="107"/>
      <c r="CQ4" s="107"/>
      <c r="CR4" s="107"/>
      <c r="CS4" s="107"/>
      <c r="CT4" s="107"/>
      <c r="CU4" s="107"/>
      <c r="CV4" s="107"/>
      <c r="CW4" s="107"/>
      <c r="CX4" s="107"/>
      <c r="CY4" s="107"/>
      <c r="CZ4" s="107"/>
      <c r="DA4" s="107"/>
      <c r="DB4" s="107"/>
      <c r="DC4" s="107"/>
      <c r="DD4" s="107"/>
      <c r="DE4" s="107"/>
      <c r="DF4" s="107"/>
      <c r="DG4" s="107"/>
      <c r="DH4" s="107"/>
      <c r="DI4" s="107"/>
      <c r="DJ4" s="107"/>
      <c r="DK4" s="107"/>
      <c r="DL4" s="107"/>
      <c r="DM4" s="107"/>
      <c r="DN4" s="107"/>
      <c r="DO4" s="107"/>
      <c r="DP4" s="107"/>
      <c r="DQ4" s="107"/>
      <c r="DR4" s="107"/>
      <c r="DS4" s="107"/>
      <c r="DT4" s="107"/>
      <c r="DU4" s="107"/>
      <c r="DV4" s="107"/>
      <c r="DW4" s="107"/>
      <c r="DX4" s="107"/>
      <c r="DY4" s="107"/>
      <c r="DZ4" s="107"/>
      <c r="EA4" s="107"/>
      <c r="EB4" s="107"/>
      <c r="EC4" s="107"/>
      <c r="ED4" s="107"/>
      <c r="EE4" s="107"/>
      <c r="EF4" s="107"/>
      <c r="EG4" s="107"/>
      <c r="EH4" s="107"/>
      <c r="EI4" s="107"/>
      <c r="EJ4" s="107"/>
      <c r="EK4" s="107"/>
      <c r="EL4" s="107"/>
      <c r="EM4" s="107"/>
      <c r="EN4" s="107"/>
      <c r="EO4" s="107"/>
      <c r="EP4" s="107"/>
      <c r="EQ4" s="107"/>
      <c r="ER4" s="107"/>
      <c r="ES4" s="107"/>
      <c r="ET4" s="107"/>
      <c r="EU4" s="107"/>
      <c r="EV4" s="107"/>
      <c r="EW4" s="107"/>
      <c r="EX4" s="107"/>
      <c r="EY4" s="107"/>
      <c r="EZ4" s="107"/>
      <c r="FA4" s="107"/>
      <c r="FB4" s="107"/>
      <c r="FC4" s="107"/>
      <c r="FD4" s="107"/>
      <c r="FE4" s="107"/>
      <c r="FF4" s="107"/>
      <c r="FG4" s="107"/>
      <c r="FH4" s="107"/>
      <c r="FI4" s="107"/>
      <c r="FJ4" s="107"/>
      <c r="FK4" s="107"/>
      <c r="FL4" s="107"/>
      <c r="FM4" s="107"/>
      <c r="FN4" s="107"/>
      <c r="FO4" s="107"/>
      <c r="FP4" s="107"/>
      <c r="FQ4" s="107"/>
      <c r="FR4" s="107"/>
      <c r="FS4" s="107"/>
      <c r="FT4" s="107"/>
      <c r="FU4" s="107"/>
      <c r="FV4" s="107"/>
      <c r="FW4" s="107"/>
      <c r="FX4" s="107"/>
      <c r="FY4" s="107"/>
      <c r="FZ4" s="107"/>
      <c r="GA4" s="107"/>
      <c r="GB4" s="107"/>
      <c r="GC4" s="107"/>
      <c r="GD4" s="107"/>
      <c r="GE4" s="107"/>
      <c r="GF4" s="107"/>
      <c r="GG4" s="107"/>
      <c r="GH4" s="107"/>
      <c r="GI4" s="107"/>
      <c r="GJ4" s="107"/>
      <c r="GK4" s="107"/>
      <c r="GL4" s="107"/>
      <c r="GM4" s="107"/>
      <c r="GN4" s="107"/>
      <c r="GO4" s="107"/>
      <c r="GP4" s="107"/>
      <c r="GQ4" s="107"/>
      <c r="GR4" s="107"/>
      <c r="GS4" s="107"/>
      <c r="GT4" s="107"/>
      <c r="GU4" s="107"/>
      <c r="GV4" s="107"/>
      <c r="GW4" s="107"/>
      <c r="GX4" s="107"/>
      <c r="GY4" s="107"/>
      <c r="GZ4" s="161"/>
    </row>
    <row r="5" spans="1:208" ht="12.95" customHeight="1" x14ac:dyDescent="0.25">
      <c r="B5" s="19" t="s">
        <v>300</v>
      </c>
      <c r="C5" s="20"/>
      <c r="D5" s="20"/>
      <c r="E5" s="345"/>
      <c r="F5" s="5" t="s">
        <v>1</v>
      </c>
      <c r="G5" s="5" t="s">
        <v>305</v>
      </c>
      <c r="H5" s="5">
        <v>0</v>
      </c>
      <c r="I5" s="5">
        <v>1</v>
      </c>
      <c r="J5" s="5">
        <v>2</v>
      </c>
      <c r="K5" s="5">
        <v>3</v>
      </c>
      <c r="L5" s="5">
        <v>4</v>
      </c>
      <c r="M5" s="5">
        <v>5</v>
      </c>
      <c r="N5" s="5">
        <v>6</v>
      </c>
      <c r="O5" s="5">
        <v>7</v>
      </c>
      <c r="P5" s="5">
        <v>8</v>
      </c>
      <c r="Q5" s="5">
        <v>9</v>
      </c>
      <c r="R5" s="5">
        <v>10</v>
      </c>
      <c r="S5" s="5">
        <v>11</v>
      </c>
      <c r="T5" s="5">
        <v>12</v>
      </c>
      <c r="U5" s="5">
        <v>13</v>
      </c>
      <c r="V5" s="5">
        <v>14</v>
      </c>
      <c r="W5" s="5">
        <v>15</v>
      </c>
      <c r="X5" s="5">
        <v>16</v>
      </c>
      <c r="Y5" s="5">
        <v>17</v>
      </c>
      <c r="Z5" s="5">
        <v>18</v>
      </c>
      <c r="AA5" s="5">
        <v>19</v>
      </c>
      <c r="AB5" s="5">
        <v>20</v>
      </c>
      <c r="AC5" s="5">
        <v>21</v>
      </c>
      <c r="AD5" s="5">
        <v>22</v>
      </c>
      <c r="AE5" s="5">
        <v>23</v>
      </c>
      <c r="AF5" s="5">
        <v>24</v>
      </c>
      <c r="AG5" s="5">
        <v>25</v>
      </c>
      <c r="AH5" s="5">
        <v>26</v>
      </c>
      <c r="AI5" s="5">
        <v>27</v>
      </c>
      <c r="AJ5" s="5">
        <v>28</v>
      </c>
      <c r="AK5" s="5">
        <v>29</v>
      </c>
      <c r="AL5" s="5">
        <v>30</v>
      </c>
      <c r="AM5" s="5">
        <v>31</v>
      </c>
      <c r="AN5" s="5">
        <v>32</v>
      </c>
      <c r="AO5" s="5">
        <v>33</v>
      </c>
      <c r="AP5" s="5">
        <v>34</v>
      </c>
      <c r="AQ5" s="5">
        <v>35</v>
      </c>
      <c r="AR5" s="5">
        <v>36</v>
      </c>
      <c r="AS5" s="5">
        <v>37</v>
      </c>
      <c r="AT5" s="5">
        <v>38</v>
      </c>
      <c r="AU5" s="5">
        <v>39</v>
      </c>
      <c r="AV5" s="5">
        <v>40</v>
      </c>
      <c r="AW5" s="5">
        <v>41</v>
      </c>
      <c r="AX5" s="5">
        <v>42</v>
      </c>
      <c r="AY5" s="5">
        <v>43</v>
      </c>
      <c r="AZ5" s="5">
        <v>44</v>
      </c>
      <c r="BA5" s="5">
        <v>45</v>
      </c>
      <c r="BB5" s="5">
        <v>46</v>
      </c>
      <c r="BC5" s="5">
        <v>47</v>
      </c>
      <c r="BD5" s="5">
        <v>48</v>
      </c>
      <c r="BE5" s="5">
        <v>49</v>
      </c>
      <c r="BF5" s="5">
        <v>50</v>
      </c>
      <c r="BG5" s="5">
        <v>51</v>
      </c>
      <c r="BH5" s="5">
        <v>52</v>
      </c>
      <c r="BI5" s="5">
        <v>53</v>
      </c>
      <c r="BJ5" s="5">
        <v>54</v>
      </c>
      <c r="BK5" s="5">
        <v>55</v>
      </c>
      <c r="BL5" s="5">
        <v>56</v>
      </c>
      <c r="BM5" s="5">
        <v>57</v>
      </c>
      <c r="BN5" s="5">
        <v>58</v>
      </c>
      <c r="BO5" s="5">
        <v>59</v>
      </c>
      <c r="BP5" s="5">
        <v>60</v>
      </c>
      <c r="BQ5" s="5">
        <v>61</v>
      </c>
      <c r="BR5" s="5">
        <v>62</v>
      </c>
      <c r="BS5" s="5">
        <v>63</v>
      </c>
      <c r="BT5" s="5">
        <v>64</v>
      </c>
      <c r="BU5" s="5">
        <v>65</v>
      </c>
      <c r="BV5" s="5">
        <v>66</v>
      </c>
      <c r="BW5" s="5">
        <v>67</v>
      </c>
      <c r="BX5" s="5">
        <v>68</v>
      </c>
      <c r="BY5" s="5">
        <v>69</v>
      </c>
      <c r="BZ5" s="5">
        <v>70</v>
      </c>
      <c r="CA5" s="5">
        <v>71</v>
      </c>
      <c r="CB5" s="5">
        <v>72</v>
      </c>
      <c r="CC5" s="5">
        <v>73</v>
      </c>
      <c r="CD5" s="5">
        <v>74</v>
      </c>
      <c r="CE5" s="5">
        <v>75</v>
      </c>
      <c r="CF5" s="5">
        <v>76</v>
      </c>
      <c r="CG5" s="5">
        <v>77</v>
      </c>
      <c r="CH5" s="5">
        <v>78</v>
      </c>
      <c r="CI5" s="5">
        <v>79</v>
      </c>
      <c r="CJ5" s="5">
        <v>80</v>
      </c>
      <c r="CK5" s="5">
        <v>81</v>
      </c>
      <c r="CL5" s="5">
        <v>82</v>
      </c>
      <c r="CM5" s="5">
        <v>83</v>
      </c>
      <c r="CN5" s="5">
        <v>84</v>
      </c>
      <c r="CO5" s="5">
        <v>85</v>
      </c>
      <c r="CP5" s="5">
        <v>86</v>
      </c>
      <c r="CQ5" s="5">
        <v>87</v>
      </c>
      <c r="CR5" s="5">
        <v>88</v>
      </c>
      <c r="CS5" s="5">
        <v>89</v>
      </c>
      <c r="CT5" s="5">
        <v>90</v>
      </c>
      <c r="CU5" s="5">
        <v>91</v>
      </c>
      <c r="CV5" s="5">
        <v>92</v>
      </c>
      <c r="CW5" s="5">
        <v>93</v>
      </c>
      <c r="CX5" s="5">
        <v>94</v>
      </c>
      <c r="CY5" s="5">
        <v>95</v>
      </c>
      <c r="CZ5" s="5">
        <v>96</v>
      </c>
      <c r="DA5" s="5">
        <v>97</v>
      </c>
      <c r="DB5" s="5">
        <v>98</v>
      </c>
      <c r="DC5" s="5">
        <v>99</v>
      </c>
      <c r="DD5" s="5">
        <v>100</v>
      </c>
      <c r="DE5" s="5">
        <v>101</v>
      </c>
      <c r="DF5" s="5">
        <v>102</v>
      </c>
      <c r="DG5" s="5">
        <v>103</v>
      </c>
      <c r="DH5" s="5">
        <v>104</v>
      </c>
      <c r="DI5" s="5">
        <v>105</v>
      </c>
      <c r="DJ5" s="5">
        <v>106</v>
      </c>
      <c r="DK5" s="5">
        <v>107</v>
      </c>
      <c r="DL5" s="5">
        <v>108</v>
      </c>
      <c r="DM5" s="5">
        <v>109</v>
      </c>
      <c r="DN5" s="5">
        <v>110</v>
      </c>
      <c r="DO5" s="5">
        <v>111</v>
      </c>
      <c r="DP5" s="5">
        <v>112</v>
      </c>
      <c r="DQ5" s="5">
        <v>113</v>
      </c>
      <c r="DR5" s="5">
        <v>114</v>
      </c>
      <c r="DS5" s="5">
        <v>115</v>
      </c>
      <c r="DT5" s="5">
        <v>116</v>
      </c>
      <c r="DU5" s="5">
        <v>117</v>
      </c>
      <c r="DV5" s="5">
        <v>118</v>
      </c>
      <c r="DW5" s="5">
        <v>119</v>
      </c>
      <c r="DX5" s="5">
        <v>120</v>
      </c>
      <c r="DY5" s="5">
        <v>121</v>
      </c>
      <c r="DZ5" s="5">
        <v>122</v>
      </c>
      <c r="EA5" s="5">
        <v>123</v>
      </c>
      <c r="EB5" s="5">
        <v>124</v>
      </c>
      <c r="EC5" s="5">
        <v>125</v>
      </c>
      <c r="ED5" s="5">
        <v>126</v>
      </c>
      <c r="EE5" s="5">
        <v>127</v>
      </c>
      <c r="EF5" s="5">
        <v>128</v>
      </c>
      <c r="EG5" s="5">
        <v>129</v>
      </c>
      <c r="EH5" s="5">
        <v>130</v>
      </c>
      <c r="EI5" s="5">
        <v>131</v>
      </c>
      <c r="EJ5" s="5">
        <v>132</v>
      </c>
      <c r="EK5" s="5">
        <v>133</v>
      </c>
      <c r="EL5" s="5">
        <v>134</v>
      </c>
      <c r="EM5" s="5">
        <v>135</v>
      </c>
      <c r="EN5" s="5">
        <v>136</v>
      </c>
      <c r="EO5" s="5">
        <v>137</v>
      </c>
      <c r="EP5" s="5">
        <v>138</v>
      </c>
      <c r="EQ5" s="5">
        <v>139</v>
      </c>
      <c r="ER5" s="5">
        <v>140</v>
      </c>
      <c r="ES5" s="5">
        <v>141</v>
      </c>
      <c r="ET5" s="5">
        <v>142</v>
      </c>
      <c r="EU5" s="5">
        <v>143</v>
      </c>
      <c r="EV5" s="5">
        <v>144</v>
      </c>
      <c r="EW5" s="5">
        <v>145</v>
      </c>
      <c r="EX5" s="5">
        <v>146</v>
      </c>
      <c r="EY5" s="5">
        <v>147</v>
      </c>
      <c r="EZ5" s="5">
        <v>148</v>
      </c>
      <c r="FA5" s="5">
        <v>149</v>
      </c>
      <c r="FB5" s="5">
        <v>150</v>
      </c>
      <c r="FC5" s="5">
        <v>151</v>
      </c>
      <c r="FD5" s="5">
        <v>152</v>
      </c>
      <c r="FE5" s="5">
        <v>153</v>
      </c>
      <c r="FF5" s="5">
        <v>154</v>
      </c>
      <c r="FG5" s="5">
        <v>155</v>
      </c>
      <c r="FH5" s="5">
        <v>156</v>
      </c>
      <c r="FI5" s="5">
        <v>157</v>
      </c>
      <c r="FJ5" s="5">
        <v>158</v>
      </c>
      <c r="FK5" s="5">
        <v>159</v>
      </c>
      <c r="FL5" s="5">
        <v>160</v>
      </c>
      <c r="FM5" s="5">
        <v>161</v>
      </c>
      <c r="FN5" s="5">
        <v>162</v>
      </c>
      <c r="FO5" s="5">
        <v>163</v>
      </c>
      <c r="FP5" s="5">
        <v>164</v>
      </c>
      <c r="FQ5" s="5">
        <v>165</v>
      </c>
      <c r="FR5" s="5">
        <v>166</v>
      </c>
      <c r="FS5" s="5">
        <v>167</v>
      </c>
      <c r="FT5" s="5">
        <v>168</v>
      </c>
      <c r="FU5" s="5">
        <v>169</v>
      </c>
      <c r="FV5" s="5">
        <v>170</v>
      </c>
      <c r="FW5" s="5">
        <v>171</v>
      </c>
      <c r="FX5" s="5">
        <v>172</v>
      </c>
      <c r="FY5" s="5">
        <v>173</v>
      </c>
      <c r="FZ5" s="5">
        <v>174</v>
      </c>
      <c r="GA5" s="5">
        <v>175</v>
      </c>
      <c r="GB5" s="5">
        <v>176</v>
      </c>
      <c r="GC5" s="5">
        <v>177</v>
      </c>
      <c r="GD5" s="5">
        <v>178</v>
      </c>
      <c r="GE5" s="5">
        <v>179</v>
      </c>
      <c r="GF5" s="5">
        <v>180</v>
      </c>
      <c r="GG5" s="5">
        <v>181</v>
      </c>
      <c r="GH5" s="5">
        <v>182</v>
      </c>
      <c r="GI5" s="5">
        <v>183</v>
      </c>
      <c r="GJ5" s="5">
        <v>184</v>
      </c>
      <c r="GK5" s="5">
        <v>185</v>
      </c>
      <c r="GL5" s="5">
        <v>186</v>
      </c>
      <c r="GM5" s="5">
        <v>187</v>
      </c>
      <c r="GN5" s="5">
        <v>188</v>
      </c>
      <c r="GO5" s="5">
        <v>189</v>
      </c>
      <c r="GP5" s="5">
        <v>190</v>
      </c>
      <c r="GQ5" s="5">
        <v>191</v>
      </c>
      <c r="GR5" s="5">
        <v>192</v>
      </c>
      <c r="GS5" s="5">
        <v>193</v>
      </c>
      <c r="GT5" s="5">
        <v>194</v>
      </c>
      <c r="GU5" s="5">
        <v>195</v>
      </c>
      <c r="GV5" s="5">
        <v>196</v>
      </c>
      <c r="GW5" s="5">
        <v>197</v>
      </c>
      <c r="GX5" s="5">
        <v>198</v>
      </c>
      <c r="GY5" s="5">
        <v>199</v>
      </c>
      <c r="GZ5" s="5">
        <v>200</v>
      </c>
    </row>
    <row r="6" spans="1:208" ht="12.95" customHeight="1" x14ac:dyDescent="0.2">
      <c r="B6" s="73" t="s">
        <v>575</v>
      </c>
      <c r="C6" s="73"/>
      <c r="D6" s="73"/>
      <c r="E6" s="73"/>
      <c r="F6" s="12" t="s">
        <v>395</v>
      </c>
      <c r="G6" s="98" t="s">
        <v>949</v>
      </c>
      <c r="H6" s="146">
        <f t="shared" ref="H6:BS6" si="0">H17</f>
        <v>0</v>
      </c>
      <c r="I6" s="146">
        <f t="shared" si="0"/>
        <v>0.10442733828597339</v>
      </c>
      <c r="J6" s="146">
        <f t="shared" si="0"/>
        <v>1.525167867693304</v>
      </c>
      <c r="K6" s="146">
        <f t="shared" si="0"/>
        <v>5.1837686199986015</v>
      </c>
      <c r="L6" s="146">
        <f t="shared" si="0"/>
        <v>10.124110763786708</v>
      </c>
      <c r="M6" s="146">
        <f t="shared" si="0"/>
        <v>15.033175614903744</v>
      </c>
      <c r="N6" s="146">
        <f t="shared" si="0"/>
        <v>19.166991741648051</v>
      </c>
      <c r="O6" s="146">
        <f t="shared" si="0"/>
        <v>22.32892818343981</v>
      </c>
      <c r="P6" s="146">
        <f t="shared" si="0"/>
        <v>24.610495271011789</v>
      </c>
      <c r="Q6" s="146">
        <f t="shared" si="0"/>
        <v>26.198102076037593</v>
      </c>
      <c r="R6" s="146">
        <f t="shared" si="0"/>
        <v>27.277711881022622</v>
      </c>
      <c r="S6" s="146">
        <f t="shared" si="0"/>
        <v>28.001149072508561</v>
      </c>
      <c r="T6" s="146">
        <f t="shared" si="0"/>
        <v>28.481344925123462</v>
      </c>
      <c r="U6" s="146">
        <f t="shared" si="0"/>
        <v>28.798135734419169</v>
      </c>
      <c r="V6" s="146">
        <f t="shared" si="0"/>
        <v>29.006296380433795</v>
      </c>
      <c r="W6" s="146">
        <f t="shared" si="0"/>
        <v>29.14272370731311</v>
      </c>
      <c r="X6" s="146">
        <f t="shared" si="0"/>
        <v>29.231987034552965</v>
      </c>
      <c r="Y6" s="146">
        <f t="shared" si="0"/>
        <v>29.290327333322292</v>
      </c>
      <c r="Z6" s="146">
        <f t="shared" si="0"/>
        <v>29.328429877456351</v>
      </c>
      <c r="AA6" s="146">
        <f t="shared" si="0"/>
        <v>29.353303387053302</v>
      </c>
      <c r="AB6" s="146">
        <f t="shared" si="0"/>
        <v>29.369535995373578</v>
      </c>
      <c r="AC6" s="146">
        <f t="shared" si="0"/>
        <v>29.380127400403801</v>
      </c>
      <c r="AD6" s="146">
        <f t="shared" si="0"/>
        <v>29.387037157437746</v>
      </c>
      <c r="AE6" s="146">
        <f t="shared" si="0"/>
        <v>29.391544654085816</v>
      </c>
      <c r="AF6" s="146">
        <f t="shared" si="0"/>
        <v>29.394484903697649</v>
      </c>
      <c r="AG6" s="146">
        <f t="shared" si="0"/>
        <v>29.396402766063698</v>
      </c>
      <c r="AH6" s="146">
        <f t="shared" si="0"/>
        <v>29.397653717727351</v>
      </c>
      <c r="AI6" s="146">
        <f t="shared" si="0"/>
        <v>29.398469655436475</v>
      </c>
      <c r="AJ6" s="146">
        <f t="shared" si="0"/>
        <v>29.399001848445678</v>
      </c>
      <c r="AK6" s="146">
        <f t="shared" si="0"/>
        <v>29.399348967546032</v>
      </c>
      <c r="AL6" s="146">
        <f t="shared" si="0"/>
        <v>29.399575372550309</v>
      </c>
      <c r="AM6" s="146">
        <f t="shared" si="0"/>
        <v>29.39972304257077</v>
      </c>
      <c r="AN6" s="146">
        <f t="shared" si="0"/>
        <v>29.399819358444169</v>
      </c>
      <c r="AO6" s="146">
        <f t="shared" si="0"/>
        <v>29.399882179161349</v>
      </c>
      <c r="AP6" s="146">
        <f t="shared" si="0"/>
        <v>29.399923153087517</v>
      </c>
      <c r="AQ6" s="146">
        <f t="shared" si="0"/>
        <v>29.399949877739271</v>
      </c>
      <c r="AR6" s="146">
        <f t="shared" si="0"/>
        <v>29.399967308501843</v>
      </c>
      <c r="AS6" s="146">
        <f t="shared" si="0"/>
        <v>29.39997867745895</v>
      </c>
      <c r="AT6" s="146">
        <f t="shared" si="0"/>
        <v>29.399986092692046</v>
      </c>
      <c r="AU6" s="146">
        <f t="shared" si="0"/>
        <v>29.399990929167064</v>
      </c>
      <c r="AV6" s="146">
        <f t="shared" si="0"/>
        <v>29.399994083685478</v>
      </c>
      <c r="AW6" s="146">
        <f t="shared" si="0"/>
        <v>29.399996141172764</v>
      </c>
      <c r="AX6" s="146">
        <f t="shared" si="0"/>
        <v>29.39999748313797</v>
      </c>
      <c r="AY6" s="146">
        <f t="shared" si="0"/>
        <v>29.399998358414589</v>
      </c>
      <c r="AZ6" s="146">
        <f t="shared" si="0"/>
        <v>29.399998929300608</v>
      </c>
      <c r="BA6" s="146">
        <f t="shared" si="0"/>
        <v>29.399999301652432</v>
      </c>
      <c r="BB6" s="146">
        <f t="shared" si="0"/>
        <v>29.399999544513317</v>
      </c>
      <c r="BC6" s="146">
        <f t="shared" si="0"/>
        <v>29.399999702915654</v>
      </c>
      <c r="BD6" s="146">
        <f t="shared" si="0"/>
        <v>29.399999806231204</v>
      </c>
      <c r="BE6" s="146">
        <f t="shared" si="0"/>
        <v>29.399999873617215</v>
      </c>
      <c r="BF6" s="146">
        <f t="shared" si="0"/>
        <v>29.399999917568728</v>
      </c>
      <c r="BG6" s="146">
        <f t="shared" si="0"/>
        <v>29.399999946235454</v>
      </c>
      <c r="BH6" s="146">
        <f t="shared" si="0"/>
        <v>29.399999964932885</v>
      </c>
      <c r="BI6" s="146">
        <f t="shared" si="0"/>
        <v>29.399999977128001</v>
      </c>
      <c r="BJ6" s="146">
        <f t="shared" si="0"/>
        <v>29.399999985082083</v>
      </c>
      <c r="BK6" s="146">
        <f t="shared" si="0"/>
        <v>29.399999990270018</v>
      </c>
      <c r="BL6" s="146">
        <f t="shared" si="0"/>
        <v>29.399999993653768</v>
      </c>
      <c r="BM6" s="146">
        <f t="shared" si="0"/>
        <v>29.39999999586076</v>
      </c>
      <c r="BN6" s="146">
        <f t="shared" si="0"/>
        <v>29.399999997300238</v>
      </c>
      <c r="BO6" s="146">
        <f t="shared" si="0"/>
        <v>29.399999998239124</v>
      </c>
      <c r="BP6" s="146">
        <f t="shared" si="0"/>
        <v>29.399999998851499</v>
      </c>
      <c r="BQ6" s="146">
        <f t="shared" si="0"/>
        <v>29.399999999250909</v>
      </c>
      <c r="BR6" s="146">
        <f t="shared" si="0"/>
        <v>29.399999999511415</v>
      </c>
      <c r="BS6" s="146">
        <f t="shared" si="0"/>
        <v>29.399999999681327</v>
      </c>
      <c r="BT6" s="146">
        <f t="shared" ref="BT6:EE6" si="1">BT17</f>
        <v>29.399999999792144</v>
      </c>
      <c r="BU6" s="146">
        <f t="shared" si="1"/>
        <v>29.399999999864427</v>
      </c>
      <c r="BV6" s="146">
        <f t="shared" si="1"/>
        <v>29.399999999911575</v>
      </c>
      <c r="BW6" s="146">
        <f t="shared" si="1"/>
        <v>29.399999999942324</v>
      </c>
      <c r="BX6" s="146">
        <f t="shared" si="1"/>
        <v>29.399999999962382</v>
      </c>
      <c r="BY6" s="146">
        <f t="shared" si="1"/>
        <v>29.399999999975456</v>
      </c>
      <c r="BZ6" s="146">
        <f t="shared" si="1"/>
        <v>29.399999999983997</v>
      </c>
      <c r="CA6" s="146">
        <f t="shared" si="1"/>
        <v>29.399999999989557</v>
      </c>
      <c r="CB6" s="146">
        <f t="shared" si="1"/>
        <v>29.399999999993184</v>
      </c>
      <c r="CC6" s="146">
        <f t="shared" si="1"/>
        <v>29.399999999995554</v>
      </c>
      <c r="CD6" s="146">
        <f t="shared" si="1"/>
        <v>29.399999999997107</v>
      </c>
      <c r="CE6" s="146">
        <f t="shared" si="1"/>
        <v>29.399999999998116</v>
      </c>
      <c r="CF6" s="146">
        <f t="shared" si="1"/>
        <v>29.399999999998762</v>
      </c>
      <c r="CG6" s="146">
        <f t="shared" si="1"/>
        <v>29.399999999999196</v>
      </c>
      <c r="CH6" s="146">
        <f t="shared" si="1"/>
        <v>29.399999999999476</v>
      </c>
      <c r="CI6" s="146">
        <f t="shared" si="1"/>
        <v>29.39999999999965</v>
      </c>
      <c r="CJ6" s="146">
        <f t="shared" si="1"/>
        <v>29.399999999999775</v>
      </c>
      <c r="CK6" s="146">
        <f t="shared" si="1"/>
        <v>29.399999999999856</v>
      </c>
      <c r="CL6" s="146">
        <f t="shared" si="1"/>
        <v>29.39999999999991</v>
      </c>
      <c r="CM6" s="146">
        <f t="shared" si="1"/>
        <v>29.399999999999931</v>
      </c>
      <c r="CN6" s="146">
        <f t="shared" si="1"/>
        <v>29.399999999999963</v>
      </c>
      <c r="CO6" s="146">
        <f t="shared" si="1"/>
        <v>29.399999999999963</v>
      </c>
      <c r="CP6" s="146">
        <f t="shared" si="1"/>
        <v>29.399999999999981</v>
      </c>
      <c r="CQ6" s="146">
        <f t="shared" si="1"/>
        <v>29.399999999999981</v>
      </c>
      <c r="CR6" s="146">
        <f t="shared" si="1"/>
        <v>29.4</v>
      </c>
      <c r="CS6" s="146">
        <f t="shared" si="1"/>
        <v>29.4</v>
      </c>
      <c r="CT6" s="146">
        <f t="shared" si="1"/>
        <v>29.4</v>
      </c>
      <c r="CU6" s="146">
        <f t="shared" si="1"/>
        <v>29.4</v>
      </c>
      <c r="CV6" s="146">
        <f t="shared" si="1"/>
        <v>29.4</v>
      </c>
      <c r="CW6" s="146">
        <f t="shared" si="1"/>
        <v>29.4</v>
      </c>
      <c r="CX6" s="146">
        <f t="shared" si="1"/>
        <v>29.4</v>
      </c>
      <c r="CY6" s="146">
        <f t="shared" si="1"/>
        <v>29.4</v>
      </c>
      <c r="CZ6" s="146">
        <f t="shared" si="1"/>
        <v>29.4</v>
      </c>
      <c r="DA6" s="146">
        <f t="shared" si="1"/>
        <v>29.4</v>
      </c>
      <c r="DB6" s="146">
        <f t="shared" si="1"/>
        <v>29.4</v>
      </c>
      <c r="DC6" s="146">
        <f t="shared" si="1"/>
        <v>29.4</v>
      </c>
      <c r="DD6" s="146">
        <f t="shared" si="1"/>
        <v>29.4</v>
      </c>
      <c r="DE6" s="146">
        <f t="shared" si="1"/>
        <v>29.4</v>
      </c>
      <c r="DF6" s="146">
        <f t="shared" si="1"/>
        <v>29.4</v>
      </c>
      <c r="DG6" s="146">
        <f t="shared" si="1"/>
        <v>29.4</v>
      </c>
      <c r="DH6" s="146">
        <f t="shared" si="1"/>
        <v>29.4</v>
      </c>
      <c r="DI6" s="146">
        <f t="shared" si="1"/>
        <v>29.4</v>
      </c>
      <c r="DJ6" s="146">
        <f t="shared" si="1"/>
        <v>29.4</v>
      </c>
      <c r="DK6" s="146">
        <f t="shared" si="1"/>
        <v>29.4</v>
      </c>
      <c r="DL6" s="146">
        <f t="shared" si="1"/>
        <v>29.4</v>
      </c>
      <c r="DM6" s="146">
        <f t="shared" si="1"/>
        <v>29.4</v>
      </c>
      <c r="DN6" s="146">
        <f t="shared" si="1"/>
        <v>29.4</v>
      </c>
      <c r="DO6" s="146">
        <f t="shared" si="1"/>
        <v>29.4</v>
      </c>
      <c r="DP6" s="146">
        <f t="shared" si="1"/>
        <v>29.4</v>
      </c>
      <c r="DQ6" s="146">
        <f t="shared" si="1"/>
        <v>29.4</v>
      </c>
      <c r="DR6" s="146">
        <f t="shared" si="1"/>
        <v>29.4</v>
      </c>
      <c r="DS6" s="146">
        <f t="shared" si="1"/>
        <v>29.4</v>
      </c>
      <c r="DT6" s="146">
        <f t="shared" si="1"/>
        <v>29.4</v>
      </c>
      <c r="DU6" s="146">
        <f t="shared" si="1"/>
        <v>29.4</v>
      </c>
      <c r="DV6" s="146">
        <f t="shared" si="1"/>
        <v>29.4</v>
      </c>
      <c r="DW6" s="146">
        <f t="shared" si="1"/>
        <v>29.4</v>
      </c>
      <c r="DX6" s="146">
        <f t="shared" si="1"/>
        <v>29.4</v>
      </c>
      <c r="DY6" s="146">
        <f t="shared" si="1"/>
        <v>29.4</v>
      </c>
      <c r="DZ6" s="146">
        <f t="shared" si="1"/>
        <v>29.4</v>
      </c>
      <c r="EA6" s="146">
        <f t="shared" si="1"/>
        <v>29.4</v>
      </c>
      <c r="EB6" s="146">
        <f t="shared" si="1"/>
        <v>29.4</v>
      </c>
      <c r="EC6" s="146">
        <f t="shared" si="1"/>
        <v>29.4</v>
      </c>
      <c r="ED6" s="146">
        <f t="shared" si="1"/>
        <v>29.4</v>
      </c>
      <c r="EE6" s="146">
        <f t="shared" si="1"/>
        <v>29.4</v>
      </c>
      <c r="EF6" s="146">
        <f t="shared" ref="EF6:GQ6" si="2">EF17</f>
        <v>29.4</v>
      </c>
      <c r="EG6" s="146">
        <f t="shared" si="2"/>
        <v>29.4</v>
      </c>
      <c r="EH6" s="146">
        <f t="shared" si="2"/>
        <v>29.4</v>
      </c>
      <c r="EI6" s="146">
        <f t="shared" si="2"/>
        <v>29.4</v>
      </c>
      <c r="EJ6" s="146">
        <f t="shared" si="2"/>
        <v>29.4</v>
      </c>
      <c r="EK6" s="146">
        <f t="shared" si="2"/>
        <v>29.4</v>
      </c>
      <c r="EL6" s="146">
        <f t="shared" si="2"/>
        <v>29.4</v>
      </c>
      <c r="EM6" s="146">
        <f t="shared" si="2"/>
        <v>29.4</v>
      </c>
      <c r="EN6" s="146">
        <f t="shared" si="2"/>
        <v>29.4</v>
      </c>
      <c r="EO6" s="146">
        <f t="shared" si="2"/>
        <v>29.4</v>
      </c>
      <c r="EP6" s="146">
        <f t="shared" si="2"/>
        <v>29.4</v>
      </c>
      <c r="EQ6" s="146">
        <f t="shared" si="2"/>
        <v>29.4</v>
      </c>
      <c r="ER6" s="146">
        <f t="shared" si="2"/>
        <v>29.4</v>
      </c>
      <c r="ES6" s="146">
        <f t="shared" si="2"/>
        <v>29.4</v>
      </c>
      <c r="ET6" s="146">
        <f t="shared" si="2"/>
        <v>29.4</v>
      </c>
      <c r="EU6" s="146">
        <f t="shared" si="2"/>
        <v>29.4</v>
      </c>
      <c r="EV6" s="146">
        <f t="shared" si="2"/>
        <v>29.4</v>
      </c>
      <c r="EW6" s="146">
        <f t="shared" si="2"/>
        <v>29.4</v>
      </c>
      <c r="EX6" s="146">
        <f t="shared" si="2"/>
        <v>29.4</v>
      </c>
      <c r="EY6" s="146">
        <f t="shared" si="2"/>
        <v>29.4</v>
      </c>
      <c r="EZ6" s="146">
        <f t="shared" si="2"/>
        <v>29.4</v>
      </c>
      <c r="FA6" s="146">
        <f t="shared" si="2"/>
        <v>29.4</v>
      </c>
      <c r="FB6" s="146">
        <f t="shared" si="2"/>
        <v>29.4</v>
      </c>
      <c r="FC6" s="146">
        <f t="shared" si="2"/>
        <v>29.4</v>
      </c>
      <c r="FD6" s="146">
        <f t="shared" si="2"/>
        <v>29.4</v>
      </c>
      <c r="FE6" s="146">
        <f t="shared" si="2"/>
        <v>29.4</v>
      </c>
      <c r="FF6" s="146">
        <f t="shared" si="2"/>
        <v>29.4</v>
      </c>
      <c r="FG6" s="146">
        <f t="shared" si="2"/>
        <v>29.4</v>
      </c>
      <c r="FH6" s="146">
        <f t="shared" si="2"/>
        <v>29.4</v>
      </c>
      <c r="FI6" s="146">
        <f t="shared" si="2"/>
        <v>29.4</v>
      </c>
      <c r="FJ6" s="146">
        <f t="shared" si="2"/>
        <v>29.4</v>
      </c>
      <c r="FK6" s="146">
        <f t="shared" si="2"/>
        <v>29.4</v>
      </c>
      <c r="FL6" s="146">
        <f t="shared" si="2"/>
        <v>29.4</v>
      </c>
      <c r="FM6" s="146">
        <f t="shared" si="2"/>
        <v>29.4</v>
      </c>
      <c r="FN6" s="146">
        <f t="shared" si="2"/>
        <v>29.4</v>
      </c>
      <c r="FO6" s="146">
        <f t="shared" si="2"/>
        <v>29.4</v>
      </c>
      <c r="FP6" s="146">
        <f t="shared" si="2"/>
        <v>29.4</v>
      </c>
      <c r="FQ6" s="146">
        <f t="shared" si="2"/>
        <v>29.4</v>
      </c>
      <c r="FR6" s="146">
        <f t="shared" si="2"/>
        <v>29.4</v>
      </c>
      <c r="FS6" s="146">
        <f t="shared" si="2"/>
        <v>29.4</v>
      </c>
      <c r="FT6" s="146">
        <f t="shared" si="2"/>
        <v>29.4</v>
      </c>
      <c r="FU6" s="146">
        <f t="shared" si="2"/>
        <v>29.4</v>
      </c>
      <c r="FV6" s="146">
        <f t="shared" si="2"/>
        <v>29.4</v>
      </c>
      <c r="FW6" s="146">
        <f t="shared" si="2"/>
        <v>29.4</v>
      </c>
      <c r="FX6" s="146">
        <f t="shared" si="2"/>
        <v>29.4</v>
      </c>
      <c r="FY6" s="146">
        <f t="shared" si="2"/>
        <v>29.4</v>
      </c>
      <c r="FZ6" s="146">
        <f t="shared" si="2"/>
        <v>29.4</v>
      </c>
      <c r="GA6" s="146">
        <f t="shared" si="2"/>
        <v>29.4</v>
      </c>
      <c r="GB6" s="146">
        <f t="shared" si="2"/>
        <v>29.4</v>
      </c>
      <c r="GC6" s="146">
        <f t="shared" si="2"/>
        <v>29.4</v>
      </c>
      <c r="GD6" s="146">
        <f t="shared" si="2"/>
        <v>29.4</v>
      </c>
      <c r="GE6" s="146">
        <f t="shared" si="2"/>
        <v>29.4</v>
      </c>
      <c r="GF6" s="146">
        <f t="shared" si="2"/>
        <v>29.4</v>
      </c>
      <c r="GG6" s="146">
        <f t="shared" si="2"/>
        <v>29.4</v>
      </c>
      <c r="GH6" s="146">
        <f t="shared" si="2"/>
        <v>29.4</v>
      </c>
      <c r="GI6" s="146">
        <f t="shared" si="2"/>
        <v>29.4</v>
      </c>
      <c r="GJ6" s="146">
        <f t="shared" si="2"/>
        <v>29.4</v>
      </c>
      <c r="GK6" s="146">
        <f t="shared" si="2"/>
        <v>29.4</v>
      </c>
      <c r="GL6" s="146">
        <f t="shared" si="2"/>
        <v>29.4</v>
      </c>
      <c r="GM6" s="146">
        <f t="shared" si="2"/>
        <v>29.4</v>
      </c>
      <c r="GN6" s="146">
        <f t="shared" si="2"/>
        <v>29.4</v>
      </c>
      <c r="GO6" s="146">
        <f t="shared" si="2"/>
        <v>29.4</v>
      </c>
      <c r="GP6" s="146">
        <f t="shared" si="2"/>
        <v>29.4</v>
      </c>
      <c r="GQ6" s="146">
        <f t="shared" si="2"/>
        <v>29.4</v>
      </c>
      <c r="GR6" s="146">
        <f t="shared" ref="GR6:GZ6" si="3">GR17</f>
        <v>29.4</v>
      </c>
      <c r="GS6" s="146">
        <f t="shared" si="3"/>
        <v>29.4</v>
      </c>
      <c r="GT6" s="146">
        <f t="shared" si="3"/>
        <v>29.4</v>
      </c>
      <c r="GU6" s="146">
        <f t="shared" si="3"/>
        <v>29.4</v>
      </c>
      <c r="GV6" s="146">
        <f t="shared" si="3"/>
        <v>29.4</v>
      </c>
      <c r="GW6" s="146">
        <f t="shared" si="3"/>
        <v>29.4</v>
      </c>
      <c r="GX6" s="146">
        <f t="shared" si="3"/>
        <v>29.4</v>
      </c>
      <c r="GY6" s="146">
        <f t="shared" si="3"/>
        <v>29.4</v>
      </c>
      <c r="GZ6" s="146">
        <f t="shared" si="3"/>
        <v>29.4</v>
      </c>
    </row>
    <row r="7" spans="1:208" ht="12.95" customHeight="1" x14ac:dyDescent="0.2">
      <c r="B7" s="73" t="s">
        <v>1147</v>
      </c>
      <c r="C7" s="73"/>
      <c r="D7" s="73"/>
      <c r="E7" s="73"/>
      <c r="F7" s="12" t="s">
        <v>395</v>
      </c>
      <c r="G7" s="98" t="s">
        <v>950</v>
      </c>
      <c r="H7" s="146">
        <f>H30</f>
        <v>0</v>
      </c>
      <c r="I7" s="146">
        <f t="shared" ref="I7:BT7" si="4">I30</f>
        <v>1.3801503036642727E-2</v>
      </c>
      <c r="J7" s="146">
        <f t="shared" si="4"/>
        <v>0.10250810373022921</v>
      </c>
      <c r="K7" s="146">
        <f t="shared" si="4"/>
        <v>0.32140060564134304</v>
      </c>
      <c r="L7" s="146">
        <f t="shared" si="4"/>
        <v>0.70819088008020181</v>
      </c>
      <c r="M7" s="146">
        <f t="shared" si="4"/>
        <v>1.2865903014343147</v>
      </c>
      <c r="N7" s="146">
        <f t="shared" si="4"/>
        <v>2.0692648651289542</v>
      </c>
      <c r="O7" s="146">
        <f t="shared" si="4"/>
        <v>3.0602740346849182</v>
      </c>
      <c r="P7" s="146">
        <f t="shared" si="4"/>
        <v>4.2570757029793187</v>
      </c>
      <c r="Q7" s="146">
        <f t="shared" si="4"/>
        <v>5.6521671458405169</v>
      </c>
      <c r="R7" s="146">
        <f t="shared" si="4"/>
        <v>7.2344211823897746</v>
      </c>
      <c r="S7" s="146">
        <f t="shared" si="4"/>
        <v>8.9901676693851371</v>
      </c>
      <c r="T7" s="146">
        <f t="shared" si="4"/>
        <v>10.904062717666822</v>
      </c>
      <c r="U7" s="146">
        <f t="shared" si="4"/>
        <v>12.959781431811036</v>
      </c>
      <c r="V7" s="146">
        <f t="shared" si="4"/>
        <v>15.140564371508987</v>
      </c>
      <c r="W7" s="146">
        <f t="shared" si="4"/>
        <v>17.4296431713258</v>
      </c>
      <c r="X7" s="146">
        <f t="shared" si="4"/>
        <v>19.810566711342741</v>
      </c>
      <c r="Y7" s="146">
        <f t="shared" si="4"/>
        <v>22.267445799447479</v>
      </c>
      <c r="Z7" s="146">
        <f t="shared" si="4"/>
        <v>24.785131416603353</v>
      </c>
      <c r="AA7" s="146">
        <f t="shared" si="4"/>
        <v>27.349339112214277</v>
      </c>
      <c r="AB7" s="146">
        <f t="shared" si="4"/>
        <v>29.946730051786854</v>
      </c>
      <c r="AC7" s="146">
        <f t="shared" si="4"/>
        <v>32.564957457117195</v>
      </c>
      <c r="AD7" s="146">
        <f t="shared" si="4"/>
        <v>35.192685692036868</v>
      </c>
      <c r="AE7" s="146">
        <f t="shared" si="4"/>
        <v>37.819587993197999</v>
      </c>
      <c r="AF7" s="146">
        <f t="shared" si="4"/>
        <v>40.436327790332221</v>
      </c>
      <c r="AG7" s="146">
        <f t="shared" si="4"/>
        <v>43.034527673896086</v>
      </c>
      <c r="AH7" s="146">
        <f t="shared" si="4"/>
        <v>45.606729324439719</v>
      </c>
      <c r="AI7" s="146">
        <f t="shared" si="4"/>
        <v>48.146347095592041</v>
      </c>
      <c r="AJ7" s="146">
        <f t="shared" si="4"/>
        <v>50.647617422659295</v>
      </c>
      <c r="AK7" s="146">
        <f t="shared" si="4"/>
        <v>53.105545795652432</v>
      </c>
      <c r="AL7" s="146">
        <f t="shared" si="4"/>
        <v>55.515852675616792</v>
      </c>
      <c r="AM7" s="146">
        <f t="shared" si="4"/>
        <v>57.874919434974622</v>
      </c>
      <c r="AN7" s="146">
        <f t="shared" si="4"/>
        <v>60.179735156461923</v>
      </c>
      <c r="AO7" s="146">
        <f t="shared" si="4"/>
        <v>62.427844922873923</v>
      </c>
      <c r="AP7" s="146">
        <f t="shared" si="4"/>
        <v>64.617300064203548</v>
      </c>
      <c r="AQ7" s="146">
        <f t="shared" si="4"/>
        <v>66.746610693912174</v>
      </c>
      <c r="AR7" s="146">
        <f t="shared" si="4"/>
        <v>68.814700756968321</v>
      </c>
      <c r="AS7" s="146">
        <f t="shared" si="4"/>
        <v>70.820865724660678</v>
      </c>
      <c r="AT7" s="146">
        <f t="shared" si="4"/>
        <v>72.764733001429349</v>
      </c>
      <c r="AU7" s="146">
        <f t="shared" si="4"/>
        <v>74.646225054022594</v>
      </c>
      <c r="AV7" s="146">
        <f t="shared" si="4"/>
        <v>76.465525230604669</v>
      </c>
      <c r="AW7" s="146">
        <f t="shared" si="4"/>
        <v>78.22304620485869</v>
      </c>
      <c r="AX7" s="146">
        <f t="shared" si="4"/>
        <v>79.919400955828209</v>
      </c>
      <c r="AY7" s="146">
        <f t="shared" si="4"/>
        <v>81.555376176702282</v>
      </c>
      <c r="AZ7" s="146">
        <f t="shared" si="4"/>
        <v>83.131907993694981</v>
      </c>
      <c r="BA7" s="146">
        <f t="shared" si="4"/>
        <v>84.650059868539287</v>
      </c>
      <c r="BB7" s="146">
        <f t="shared" si="4"/>
        <v>86.111002554017915</v>
      </c>
      <c r="BC7" s="146">
        <f t="shared" si="4"/>
        <v>87.515995970655169</v>
      </c>
      <c r="BD7" s="146">
        <f t="shared" si="4"/>
        <v>88.866372873580801</v>
      </c>
      <c r="BE7" s="146">
        <f t="shared" si="4"/>
        <v>90.163524181150464</v>
      </c>
      <c r="BF7" s="146">
        <f t="shared" si="4"/>
        <v>91.408885840746265</v>
      </c>
      <c r="BG7" s="146">
        <f t="shared" si="4"/>
        <v>92.603927111953922</v>
      </c>
      <c r="BH7" s="146">
        <f t="shared" si="4"/>
        <v>93.750140152737799</v>
      </c>
      <c r="BI7" s="146">
        <f t="shared" si="4"/>
        <v>94.849030800092564</v>
      </c>
      <c r="BJ7" s="146">
        <f t="shared" si="4"/>
        <v>95.902110442760019</v>
      </c>
      <c r="BK7" s="146">
        <f t="shared" si="4"/>
        <v>96.910888889817528</v>
      </c>
      <c r="BL7" s="146">
        <f t="shared" si="4"/>
        <v>97.876868145162788</v>
      </c>
      <c r="BM7" s="146">
        <f t="shared" si="4"/>
        <v>98.801537004046068</v>
      </c>
      <c r="BN7" s="146">
        <f t="shared" si="4"/>
        <v>99.686366393772815</v>
      </c>
      <c r="BO7" s="146">
        <f t="shared" si="4"/>
        <v>100.5328053864676</v>
      </c>
      <c r="BP7" s="146">
        <f t="shared" si="4"/>
        <v>101.34227781731518</v>
      </c>
      <c r="BQ7" s="146">
        <f t="shared" si="4"/>
        <v>102.11617944695877</v>
      </c>
      <c r="BR7" s="146">
        <f t="shared" si="4"/>
        <v>102.85587561171667</v>
      </c>
      <c r="BS7" s="146">
        <f t="shared" si="4"/>
        <v>103.56269930997377</v>
      </c>
      <c r="BT7" s="146">
        <f t="shared" si="4"/>
        <v>104.23794967751182</v>
      </c>
      <c r="BU7" s="146">
        <f t="shared" ref="BU7:EF7" si="5">BU30</f>
        <v>104.88289080865843</v>
      </c>
      <c r="BV7" s="146">
        <f t="shared" si="5"/>
        <v>105.49875088397421</v>
      </c>
      <c r="BW7" s="146">
        <f t="shared" si="5"/>
        <v>106.08672156876112</v>
      </c>
      <c r="BX7" s="146">
        <f t="shared" si="5"/>
        <v>106.6479576499766</v>
      </c>
      <c r="BY7" s="146">
        <f t="shared" si="5"/>
        <v>107.18357688218988</v>
      </c>
      <c r="BZ7" s="146">
        <f t="shared" si="5"/>
        <v>107.69466001602949</v>
      </c>
      <c r="CA7" s="146">
        <f t="shared" si="5"/>
        <v>108.18225098515779</v>
      </c>
      <c r="CB7" s="146">
        <f t="shared" si="5"/>
        <v>108.64735723018511</v>
      </c>
      <c r="CC7" s="146">
        <f t="shared" si="5"/>
        <v>109.0909501401116</v>
      </c>
      <c r="CD7" s="146">
        <f t="shared" si="5"/>
        <v>109.51396559387747</v>
      </c>
      <c r="CE7" s="146">
        <f t="shared" si="5"/>
        <v>109.91730458641989</v>
      </c>
      <c r="CF7" s="146">
        <f t="shared" si="5"/>
        <v>110.3018339252922</v>
      </c>
      <c r="CG7" s="146">
        <f t="shared" si="5"/>
        <v>110.6683869854116</v>
      </c>
      <c r="CH7" s="146">
        <f t="shared" si="5"/>
        <v>111.01776451087146</v>
      </c>
      <c r="CI7" s="146">
        <f t="shared" si="5"/>
        <v>111.35073545400006</v>
      </c>
      <c r="CJ7" s="146">
        <f t="shared" si="5"/>
        <v>111.66803784297581</v>
      </c>
      <c r="CK7" s="146">
        <f t="shared" si="5"/>
        <v>111.97037967032826</v>
      </c>
      <c r="CL7" s="146">
        <f t="shared" si="5"/>
        <v>112.25843979557877</v>
      </c>
      <c r="CM7" s="146">
        <f t="shared" si="5"/>
        <v>112.53286885610451</v>
      </c>
      <c r="CN7" s="146">
        <f t="shared" si="5"/>
        <v>112.79429018106121</v>
      </c>
      <c r="CO7" s="146">
        <f t="shared" si="5"/>
        <v>113.04330070387277</v>
      </c>
      <c r="CP7" s="146">
        <f t="shared" si="5"/>
        <v>113.2804718694035</v>
      </c>
      <c r="CQ7" s="146">
        <f t="shared" si="5"/>
        <v>113.50635053246974</v>
      </c>
      <c r="CR7" s="146">
        <f t="shared" si="5"/>
        <v>113.72145984483637</v>
      </c>
      <c r="CS7" s="146">
        <f t="shared" si="5"/>
        <v>113.92630012827603</v>
      </c>
      <c r="CT7" s="146">
        <f t="shared" si="5"/>
        <v>114.121349731659</v>
      </c>
      <c r="CU7" s="146">
        <f t="shared" si="5"/>
        <v>114.30706587038449</v>
      </c>
      <c r="CV7" s="146">
        <f t="shared" si="5"/>
        <v>114.48388544677304</v>
      </c>
      <c r="CW7" s="146">
        <f t="shared" si="5"/>
        <v>114.65222585031027</v>
      </c>
      <c r="CX7" s="146">
        <f t="shared" si="5"/>
        <v>114.81248573687292</v>
      </c>
      <c r="CY7" s="146">
        <f t="shared" si="5"/>
        <v>114.96504578628149</v>
      </c>
      <c r="CZ7" s="146">
        <f t="shared" si="5"/>
        <v>115.11026943770834</v>
      </c>
      <c r="DA7" s="146">
        <f t="shared" si="5"/>
        <v>115.24850360263548</v>
      </c>
      <c r="DB7" s="146">
        <f t="shared" si="5"/>
        <v>115.38007935519893</v>
      </c>
      <c r="DC7" s="146">
        <f t="shared" si="5"/>
        <v>115.50531259987942</v>
      </c>
      <c r="DD7" s="146">
        <f t="shared" si="5"/>
        <v>115.62450471660945</v>
      </c>
      <c r="DE7" s="146">
        <f t="shared" si="5"/>
        <v>115.7379431834575</v>
      </c>
      <c r="DF7" s="146">
        <f t="shared" si="5"/>
        <v>115.8459021771306</v>
      </c>
      <c r="DG7" s="146">
        <f t="shared" si="5"/>
        <v>115.94864315160417</v>
      </c>
      <c r="DH7" s="146">
        <f t="shared" si="5"/>
        <v>116.04641539524519</v>
      </c>
      <c r="DI7" s="146">
        <f t="shared" si="5"/>
        <v>116.13945656684137</v>
      </c>
      <c r="DJ7" s="146">
        <f t="shared" si="5"/>
        <v>116.22799321099063</v>
      </c>
      <c r="DK7" s="146">
        <f t="shared" si="5"/>
        <v>116.31224125333401</v>
      </c>
      <c r="DL7" s="146">
        <f t="shared" si="5"/>
        <v>116.39240647614314</v>
      </c>
      <c r="DM7" s="146">
        <f t="shared" si="5"/>
        <v>116.4686849747918</v>
      </c>
      <c r="DN7" s="146">
        <f t="shared" si="5"/>
        <v>116.54126359565491</v>
      </c>
      <c r="DO7" s="146">
        <f t="shared" si="5"/>
        <v>116.6103203559903</v>
      </c>
      <c r="DP7" s="146">
        <f t="shared" si="5"/>
        <v>116.67602484636244</v>
      </c>
      <c r="DQ7" s="146">
        <f t="shared" si="5"/>
        <v>116.73853861617205</v>
      </c>
      <c r="DR7" s="146">
        <f t="shared" si="5"/>
        <v>116.79801554285352</v>
      </c>
      <c r="DS7" s="146">
        <f t="shared" si="5"/>
        <v>116.85460218530129</v>
      </c>
      <c r="DT7" s="146">
        <f t="shared" si="5"/>
        <v>116.9084381220791</v>
      </c>
      <c r="DU7" s="146">
        <f t="shared" si="5"/>
        <v>116.95965627496177</v>
      </c>
      <c r="DV7" s="146">
        <f t="shared" si="5"/>
        <v>117.00838321834841</v>
      </c>
      <c r="DW7" s="146">
        <f t="shared" si="5"/>
        <v>117.05473947507834</v>
      </c>
      <c r="DX7" s="146">
        <f t="shared" si="5"/>
        <v>117.09883979916818</v>
      </c>
      <c r="DY7" s="146">
        <f t="shared" si="5"/>
        <v>117.14079344597955</v>
      </c>
      <c r="DZ7" s="146">
        <f t="shared" si="5"/>
        <v>117.18070443031105</v>
      </c>
      <c r="EA7" s="146">
        <f t="shared" si="5"/>
        <v>117.21867177289863</v>
      </c>
      <c r="EB7" s="146">
        <f t="shared" si="5"/>
        <v>117.25478973579251</v>
      </c>
      <c r="EC7" s="146">
        <f t="shared" si="5"/>
        <v>117.28914804706666</v>
      </c>
      <c r="ED7" s="146">
        <f t="shared" si="5"/>
        <v>117.32183211530209</v>
      </c>
      <c r="EE7" s="146">
        <f t="shared" si="5"/>
        <v>117.35292323427164</v>
      </c>
      <c r="EF7" s="146">
        <f t="shared" si="5"/>
        <v>117.38249877823999</v>
      </c>
      <c r="EG7" s="146">
        <f t="shared" ref="EG7:GR7" si="6">EG30</f>
        <v>117.41063238827795</v>
      </c>
      <c r="EH7" s="146">
        <f t="shared" si="6"/>
        <v>117.43739414997717</v>
      </c>
      <c r="EI7" s="146">
        <f t="shared" si="6"/>
        <v>117.46285076293684</v>
      </c>
      <c r="EJ7" s="146">
        <f t="shared" si="6"/>
        <v>117.48706570238066</v>
      </c>
      <c r="EK7" s="146">
        <f t="shared" si="6"/>
        <v>117.5100993732495</v>
      </c>
      <c r="EL7" s="146">
        <f t="shared" si="6"/>
        <v>117.53200925710084</v>
      </c>
      <c r="EM7" s="146">
        <f t="shared" si="6"/>
        <v>117.55285005213496</v>
      </c>
      <c r="EN7" s="146">
        <f t="shared" si="6"/>
        <v>117.57267380665374</v>
      </c>
      <c r="EO7" s="146">
        <f t="shared" si="6"/>
        <v>117.59153004624702</v>
      </c>
      <c r="EP7" s="146">
        <f t="shared" si="6"/>
        <v>117.60946589498857</v>
      </c>
      <c r="EQ7" s="146">
        <f t="shared" si="6"/>
        <v>117.62652619091335</v>
      </c>
      <c r="ER7" s="146">
        <f t="shared" si="6"/>
        <v>117.64275359603508</v>
      </c>
      <c r="ES7" s="146">
        <f t="shared" si="6"/>
        <v>117.65818870115399</v>
      </c>
      <c r="ET7" s="146">
        <f t="shared" si="6"/>
        <v>117.67287012569282</v>
      </c>
      <c r="EU7" s="146">
        <f t="shared" si="6"/>
        <v>117.68683461278957</v>
      </c>
      <c r="EV7" s="146">
        <f t="shared" si="6"/>
        <v>117.70011711986589</v>
      </c>
      <c r="EW7" s="146">
        <f t="shared" si="6"/>
        <v>117.71275090488015</v>
      </c>
      <c r="EX7" s="146">
        <f t="shared" si="6"/>
        <v>117.72476760846551</v>
      </c>
      <c r="EY7" s="146">
        <f t="shared" si="6"/>
        <v>117.73619733214413</v>
      </c>
      <c r="EZ7" s="146">
        <f t="shared" si="6"/>
        <v>117.74706871280077</v>
      </c>
      <c r="FA7" s="146">
        <f t="shared" si="6"/>
        <v>117.75740899359064</v>
      </c>
      <c r="FB7" s="146">
        <f t="shared" si="6"/>
        <v>117.76724409144848</v>
      </c>
      <c r="FC7" s="146">
        <f t="shared" si="6"/>
        <v>117.77659866135841</v>
      </c>
      <c r="FD7" s="146">
        <f t="shared" si="6"/>
        <v>117.78549615753732</v>
      </c>
      <c r="FE7" s="146">
        <f t="shared" si="6"/>
        <v>117.79395889167701</v>
      </c>
      <c r="FF7" s="146">
        <f t="shared" si="6"/>
        <v>117.80200808838426</v>
      </c>
      <c r="FG7" s="146">
        <f t="shared" si="6"/>
        <v>117.80966393795133</v>
      </c>
      <c r="FH7" s="146">
        <f t="shared" si="6"/>
        <v>117.81694564658355</v>
      </c>
      <c r="FI7" s="146">
        <f t="shared" si="6"/>
        <v>117.82387148420449</v>
      </c>
      <c r="FJ7" s="146">
        <f t="shared" si="6"/>
        <v>117.83045882995454</v>
      </c>
      <c r="FK7" s="146">
        <f t="shared" si="6"/>
        <v>117.83672421549169</v>
      </c>
      <c r="FL7" s="146">
        <f t="shared" si="6"/>
        <v>117.8426833662006</v>
      </c>
      <c r="FM7" s="146">
        <f t="shared" si="6"/>
        <v>117.84835124040882</v>
      </c>
      <c r="FN7" s="146">
        <f t="shared" si="6"/>
        <v>117.85374206670555</v>
      </c>
      <c r="FO7" s="146">
        <f t="shared" si="6"/>
        <v>117.85886937945486</v>
      </c>
      <c r="FP7" s="146">
        <f t="shared" si="6"/>
        <v>117.86374605258784</v>
      </c>
      <c r="FQ7" s="146">
        <f t="shared" si="6"/>
        <v>117.86838433175856</v>
      </c>
      <c r="FR7" s="146">
        <f t="shared" si="6"/>
        <v>117.87279586494037</v>
      </c>
      <c r="FS7" s="146">
        <f t="shared" si="6"/>
        <v>117.87699173153898</v>
      </c>
      <c r="FT7" s="146">
        <f t="shared" si="6"/>
        <v>117.88098247009246</v>
      </c>
      <c r="FU7" s="146">
        <f t="shared" si="6"/>
        <v>117.8847781046275</v>
      </c>
      <c r="FV7" s="146">
        <f t="shared" si="6"/>
        <v>117.88838816973507</v>
      </c>
      <c r="FW7" s="146">
        <f t="shared" si="6"/>
        <v>117.89182173442904</v>
      </c>
      <c r="FX7" s="146">
        <f t="shared" si="6"/>
        <v>117.89508742484452</v>
      </c>
      <c r="FY7" s="146">
        <f t="shared" si="6"/>
        <v>117.89819344583395</v>
      </c>
      <c r="FZ7" s="146">
        <f t="shared" si="6"/>
        <v>117.90114760151226</v>
      </c>
      <c r="GA7" s="146">
        <f t="shared" si="6"/>
        <v>117.90395731480365</v>
      </c>
      <c r="GB7" s="146">
        <f t="shared" si="6"/>
        <v>117.90662964603671</v>
      </c>
      <c r="GC7" s="146">
        <f t="shared" si="6"/>
        <v>117.90917131063534</v>
      </c>
      <c r="GD7" s="146">
        <f t="shared" si="6"/>
        <v>117.91158869594817</v>
      </c>
      <c r="GE7" s="146">
        <f t="shared" si="6"/>
        <v>117.9138878772589</v>
      </c>
      <c r="GF7" s="146">
        <f t="shared" si="6"/>
        <v>117.91607463301668</v>
      </c>
      <c r="GG7" s="146">
        <f t="shared" si="6"/>
        <v>117.91815445932511</v>
      </c>
      <c r="GH7" s="146">
        <f t="shared" si="6"/>
        <v>117.92013258372505</v>
      </c>
      <c r="GI7" s="146">
        <f t="shared" si="6"/>
        <v>117.92201397830601</v>
      </c>
      <c r="GJ7" s="146">
        <f t="shared" si="6"/>
        <v>117.92380337217851</v>
      </c>
      <c r="GK7" s="146">
        <f t="shared" si="6"/>
        <v>117.92550526333847</v>
      </c>
      <c r="GL7" s="146">
        <f t="shared" si="6"/>
        <v>117.92712392995331</v>
      </c>
      <c r="GM7" s="146">
        <f t="shared" si="6"/>
        <v>117.92866344109758</v>
      </c>
      <c r="GN7" s="146">
        <f t="shared" si="6"/>
        <v>117.93012766696513</v>
      </c>
      <c r="GO7" s="146">
        <f t="shared" si="6"/>
        <v>117.93152028858323</v>
      </c>
      <c r="GP7" s="146">
        <f t="shared" si="6"/>
        <v>117.93284480705285</v>
      </c>
      <c r="GQ7" s="146">
        <f t="shared" si="6"/>
        <v>117.93410455233784</v>
      </c>
      <c r="GR7" s="146">
        <f t="shared" si="6"/>
        <v>117.93530269162589</v>
      </c>
      <c r="GS7" s="146">
        <f t="shared" ref="GS7:GZ7" si="7">GS30</f>
        <v>117.93644223728074</v>
      </c>
      <c r="GT7" s="146">
        <f t="shared" si="7"/>
        <v>117.9375260544068</v>
      </c>
      <c r="GU7" s="146">
        <f t="shared" si="7"/>
        <v>117.93855686804442</v>
      </c>
      <c r="GV7" s="146">
        <f t="shared" si="7"/>
        <v>117.9395372700138</v>
      </c>
      <c r="GW7" s="146">
        <f t="shared" si="7"/>
        <v>117.94046972542502</v>
      </c>
      <c r="GX7" s="146">
        <f t="shared" si="7"/>
        <v>117.94135657886997</v>
      </c>
      <c r="GY7" s="146">
        <f t="shared" si="7"/>
        <v>117.94220006031212</v>
      </c>
      <c r="GZ7" s="146">
        <f t="shared" si="7"/>
        <v>117.94300229068865</v>
      </c>
    </row>
    <row r="8" spans="1:208" ht="12.95" customHeight="1" x14ac:dyDescent="0.2">
      <c r="B8" s="73" t="s">
        <v>1148</v>
      </c>
      <c r="C8" s="73"/>
      <c r="D8" s="73"/>
      <c r="E8" s="73"/>
      <c r="F8" s="12" t="s">
        <v>395</v>
      </c>
      <c r="G8" s="98" t="s">
        <v>950</v>
      </c>
      <c r="H8" s="146">
        <f>H30</f>
        <v>0</v>
      </c>
      <c r="I8" s="146">
        <f t="shared" ref="I8:BT8" si="8">I30</f>
        <v>1.3801503036642727E-2</v>
      </c>
      <c r="J8" s="146">
        <f t="shared" si="8"/>
        <v>0.10250810373022921</v>
      </c>
      <c r="K8" s="146">
        <f t="shared" si="8"/>
        <v>0.32140060564134304</v>
      </c>
      <c r="L8" s="146">
        <f t="shared" si="8"/>
        <v>0.70819088008020181</v>
      </c>
      <c r="M8" s="146">
        <f t="shared" si="8"/>
        <v>1.2865903014343147</v>
      </c>
      <c r="N8" s="146">
        <f t="shared" si="8"/>
        <v>2.0692648651289542</v>
      </c>
      <c r="O8" s="146">
        <f t="shared" si="8"/>
        <v>3.0602740346849182</v>
      </c>
      <c r="P8" s="146">
        <f t="shared" si="8"/>
        <v>4.2570757029793187</v>
      </c>
      <c r="Q8" s="146">
        <f t="shared" si="8"/>
        <v>5.6521671458405169</v>
      </c>
      <c r="R8" s="146">
        <f t="shared" si="8"/>
        <v>7.2344211823897746</v>
      </c>
      <c r="S8" s="146">
        <f t="shared" si="8"/>
        <v>8.9901676693851371</v>
      </c>
      <c r="T8" s="146">
        <f t="shared" si="8"/>
        <v>10.904062717666822</v>
      </c>
      <c r="U8" s="146">
        <f t="shared" si="8"/>
        <v>12.959781431811036</v>
      </c>
      <c r="V8" s="146">
        <f t="shared" si="8"/>
        <v>15.140564371508987</v>
      </c>
      <c r="W8" s="146">
        <f t="shared" si="8"/>
        <v>17.4296431713258</v>
      </c>
      <c r="X8" s="146">
        <f t="shared" si="8"/>
        <v>19.810566711342741</v>
      </c>
      <c r="Y8" s="146">
        <f t="shared" si="8"/>
        <v>22.267445799447479</v>
      </c>
      <c r="Z8" s="146">
        <f t="shared" si="8"/>
        <v>24.785131416603353</v>
      </c>
      <c r="AA8" s="146">
        <f t="shared" si="8"/>
        <v>27.349339112214277</v>
      </c>
      <c r="AB8" s="146">
        <f t="shared" si="8"/>
        <v>29.946730051786854</v>
      </c>
      <c r="AC8" s="146">
        <f t="shared" si="8"/>
        <v>32.564957457117195</v>
      </c>
      <c r="AD8" s="146">
        <f t="shared" si="8"/>
        <v>35.192685692036868</v>
      </c>
      <c r="AE8" s="146">
        <f t="shared" si="8"/>
        <v>37.819587993197999</v>
      </c>
      <c r="AF8" s="146">
        <f t="shared" si="8"/>
        <v>40.436327790332221</v>
      </c>
      <c r="AG8" s="146">
        <f t="shared" si="8"/>
        <v>43.034527673896086</v>
      </c>
      <c r="AH8" s="146">
        <f t="shared" si="8"/>
        <v>45.606729324439719</v>
      </c>
      <c r="AI8" s="146">
        <f t="shared" si="8"/>
        <v>48.146347095592041</v>
      </c>
      <c r="AJ8" s="146">
        <f t="shared" si="8"/>
        <v>50.647617422659295</v>
      </c>
      <c r="AK8" s="146">
        <f t="shared" si="8"/>
        <v>53.105545795652432</v>
      </c>
      <c r="AL8" s="146">
        <f t="shared" si="8"/>
        <v>55.515852675616792</v>
      </c>
      <c r="AM8" s="146">
        <f t="shared" si="8"/>
        <v>57.874919434974622</v>
      </c>
      <c r="AN8" s="146">
        <f t="shared" si="8"/>
        <v>60.179735156461923</v>
      </c>
      <c r="AO8" s="146">
        <f t="shared" si="8"/>
        <v>62.427844922873923</v>
      </c>
      <c r="AP8" s="146">
        <f t="shared" si="8"/>
        <v>64.617300064203548</v>
      </c>
      <c r="AQ8" s="146">
        <f t="shared" si="8"/>
        <v>66.746610693912174</v>
      </c>
      <c r="AR8" s="146">
        <f t="shared" si="8"/>
        <v>68.814700756968321</v>
      </c>
      <c r="AS8" s="146">
        <f t="shared" si="8"/>
        <v>70.820865724660678</v>
      </c>
      <c r="AT8" s="146">
        <f t="shared" si="8"/>
        <v>72.764733001429349</v>
      </c>
      <c r="AU8" s="146">
        <f t="shared" si="8"/>
        <v>74.646225054022594</v>
      </c>
      <c r="AV8" s="146">
        <f t="shared" si="8"/>
        <v>76.465525230604669</v>
      </c>
      <c r="AW8" s="146">
        <f t="shared" si="8"/>
        <v>78.22304620485869</v>
      </c>
      <c r="AX8" s="146">
        <f t="shared" si="8"/>
        <v>79.919400955828209</v>
      </c>
      <c r="AY8" s="146">
        <f t="shared" si="8"/>
        <v>81.555376176702282</v>
      </c>
      <c r="AZ8" s="146">
        <f t="shared" si="8"/>
        <v>83.131907993694981</v>
      </c>
      <c r="BA8" s="146">
        <f t="shared" si="8"/>
        <v>84.650059868539287</v>
      </c>
      <c r="BB8" s="146">
        <f t="shared" si="8"/>
        <v>86.111002554017915</v>
      </c>
      <c r="BC8" s="146">
        <f t="shared" si="8"/>
        <v>87.515995970655169</v>
      </c>
      <c r="BD8" s="146">
        <f t="shared" si="8"/>
        <v>88.866372873580801</v>
      </c>
      <c r="BE8" s="146">
        <f t="shared" si="8"/>
        <v>90.163524181150464</v>
      </c>
      <c r="BF8" s="146">
        <f t="shared" si="8"/>
        <v>91.408885840746265</v>
      </c>
      <c r="BG8" s="146">
        <f t="shared" si="8"/>
        <v>92.603927111953922</v>
      </c>
      <c r="BH8" s="146">
        <f t="shared" si="8"/>
        <v>93.750140152737799</v>
      </c>
      <c r="BI8" s="146">
        <f t="shared" si="8"/>
        <v>94.849030800092564</v>
      </c>
      <c r="BJ8" s="146">
        <f t="shared" si="8"/>
        <v>95.902110442760019</v>
      </c>
      <c r="BK8" s="146">
        <f t="shared" si="8"/>
        <v>96.910888889817528</v>
      </c>
      <c r="BL8" s="146">
        <f t="shared" si="8"/>
        <v>97.876868145162788</v>
      </c>
      <c r="BM8" s="146">
        <f t="shared" si="8"/>
        <v>98.801537004046068</v>
      </c>
      <c r="BN8" s="146">
        <f t="shared" si="8"/>
        <v>99.686366393772815</v>
      </c>
      <c r="BO8" s="146">
        <f t="shared" si="8"/>
        <v>100.5328053864676</v>
      </c>
      <c r="BP8" s="146">
        <f t="shared" si="8"/>
        <v>101.34227781731518</v>
      </c>
      <c r="BQ8" s="146">
        <f t="shared" si="8"/>
        <v>102.11617944695877</v>
      </c>
      <c r="BR8" s="146">
        <f t="shared" si="8"/>
        <v>102.85587561171667</v>
      </c>
      <c r="BS8" s="146">
        <f t="shared" si="8"/>
        <v>103.56269930997377</v>
      </c>
      <c r="BT8" s="146">
        <f t="shared" si="8"/>
        <v>104.23794967751182</v>
      </c>
      <c r="BU8" s="146">
        <f t="shared" ref="BU8:EF8" si="9">BU30</f>
        <v>104.88289080865843</v>
      </c>
      <c r="BV8" s="146">
        <f t="shared" si="9"/>
        <v>105.49875088397421</v>
      </c>
      <c r="BW8" s="146">
        <f t="shared" si="9"/>
        <v>106.08672156876112</v>
      </c>
      <c r="BX8" s="146">
        <f t="shared" si="9"/>
        <v>106.6479576499766</v>
      </c>
      <c r="BY8" s="146">
        <f t="shared" si="9"/>
        <v>107.18357688218988</v>
      </c>
      <c r="BZ8" s="146">
        <f t="shared" si="9"/>
        <v>107.69466001602949</v>
      </c>
      <c r="CA8" s="146">
        <f t="shared" si="9"/>
        <v>108.18225098515779</v>
      </c>
      <c r="CB8" s="146">
        <f t="shared" si="9"/>
        <v>108.64735723018511</v>
      </c>
      <c r="CC8" s="146">
        <f t="shared" si="9"/>
        <v>109.0909501401116</v>
      </c>
      <c r="CD8" s="146">
        <f t="shared" si="9"/>
        <v>109.51396559387747</v>
      </c>
      <c r="CE8" s="146">
        <f t="shared" si="9"/>
        <v>109.91730458641989</v>
      </c>
      <c r="CF8" s="146">
        <f t="shared" si="9"/>
        <v>110.3018339252922</v>
      </c>
      <c r="CG8" s="146">
        <f t="shared" si="9"/>
        <v>110.6683869854116</v>
      </c>
      <c r="CH8" s="146">
        <f t="shared" si="9"/>
        <v>111.01776451087146</v>
      </c>
      <c r="CI8" s="146">
        <f t="shared" si="9"/>
        <v>111.35073545400006</v>
      </c>
      <c r="CJ8" s="146">
        <f t="shared" si="9"/>
        <v>111.66803784297581</v>
      </c>
      <c r="CK8" s="146">
        <f t="shared" si="9"/>
        <v>111.97037967032826</v>
      </c>
      <c r="CL8" s="146">
        <f t="shared" si="9"/>
        <v>112.25843979557877</v>
      </c>
      <c r="CM8" s="146">
        <f t="shared" si="9"/>
        <v>112.53286885610451</v>
      </c>
      <c r="CN8" s="146">
        <f t="shared" si="9"/>
        <v>112.79429018106121</v>
      </c>
      <c r="CO8" s="146">
        <f t="shared" si="9"/>
        <v>113.04330070387277</v>
      </c>
      <c r="CP8" s="146">
        <f t="shared" si="9"/>
        <v>113.2804718694035</v>
      </c>
      <c r="CQ8" s="146">
        <f t="shared" si="9"/>
        <v>113.50635053246974</v>
      </c>
      <c r="CR8" s="146">
        <f t="shared" si="9"/>
        <v>113.72145984483637</v>
      </c>
      <c r="CS8" s="146">
        <f t="shared" si="9"/>
        <v>113.92630012827603</v>
      </c>
      <c r="CT8" s="146">
        <f t="shared" si="9"/>
        <v>114.121349731659</v>
      </c>
      <c r="CU8" s="146">
        <f t="shared" si="9"/>
        <v>114.30706587038449</v>
      </c>
      <c r="CV8" s="146">
        <f t="shared" si="9"/>
        <v>114.48388544677304</v>
      </c>
      <c r="CW8" s="146">
        <f t="shared" si="9"/>
        <v>114.65222585031027</v>
      </c>
      <c r="CX8" s="146">
        <f t="shared" si="9"/>
        <v>114.81248573687292</v>
      </c>
      <c r="CY8" s="146">
        <f t="shared" si="9"/>
        <v>114.96504578628149</v>
      </c>
      <c r="CZ8" s="146">
        <f t="shared" si="9"/>
        <v>115.11026943770834</v>
      </c>
      <c r="DA8" s="146">
        <f t="shared" si="9"/>
        <v>115.24850360263548</v>
      </c>
      <c r="DB8" s="146">
        <f t="shared" si="9"/>
        <v>115.38007935519893</v>
      </c>
      <c r="DC8" s="146">
        <f t="shared" si="9"/>
        <v>115.50531259987942</v>
      </c>
      <c r="DD8" s="146">
        <f t="shared" si="9"/>
        <v>115.62450471660945</v>
      </c>
      <c r="DE8" s="146">
        <f t="shared" si="9"/>
        <v>115.7379431834575</v>
      </c>
      <c r="DF8" s="146">
        <f t="shared" si="9"/>
        <v>115.8459021771306</v>
      </c>
      <c r="DG8" s="146">
        <f t="shared" si="9"/>
        <v>115.94864315160417</v>
      </c>
      <c r="DH8" s="146">
        <f t="shared" si="9"/>
        <v>116.04641539524519</v>
      </c>
      <c r="DI8" s="146">
        <f t="shared" si="9"/>
        <v>116.13945656684137</v>
      </c>
      <c r="DJ8" s="146">
        <f t="shared" si="9"/>
        <v>116.22799321099063</v>
      </c>
      <c r="DK8" s="146">
        <f t="shared" si="9"/>
        <v>116.31224125333401</v>
      </c>
      <c r="DL8" s="146">
        <f t="shared" si="9"/>
        <v>116.39240647614314</v>
      </c>
      <c r="DM8" s="146">
        <f t="shared" si="9"/>
        <v>116.4686849747918</v>
      </c>
      <c r="DN8" s="146">
        <f t="shared" si="9"/>
        <v>116.54126359565491</v>
      </c>
      <c r="DO8" s="146">
        <f t="shared" si="9"/>
        <v>116.6103203559903</v>
      </c>
      <c r="DP8" s="146">
        <f t="shared" si="9"/>
        <v>116.67602484636244</v>
      </c>
      <c r="DQ8" s="146">
        <f t="shared" si="9"/>
        <v>116.73853861617205</v>
      </c>
      <c r="DR8" s="146">
        <f t="shared" si="9"/>
        <v>116.79801554285352</v>
      </c>
      <c r="DS8" s="146">
        <f t="shared" si="9"/>
        <v>116.85460218530129</v>
      </c>
      <c r="DT8" s="146">
        <f t="shared" si="9"/>
        <v>116.9084381220791</v>
      </c>
      <c r="DU8" s="146">
        <f t="shared" si="9"/>
        <v>116.95965627496177</v>
      </c>
      <c r="DV8" s="146">
        <f t="shared" si="9"/>
        <v>117.00838321834841</v>
      </c>
      <c r="DW8" s="146">
        <f t="shared" si="9"/>
        <v>117.05473947507834</v>
      </c>
      <c r="DX8" s="146">
        <f t="shared" si="9"/>
        <v>117.09883979916818</v>
      </c>
      <c r="DY8" s="146">
        <f t="shared" si="9"/>
        <v>117.14079344597955</v>
      </c>
      <c r="DZ8" s="146">
        <f t="shared" si="9"/>
        <v>117.18070443031105</v>
      </c>
      <c r="EA8" s="146">
        <f t="shared" si="9"/>
        <v>117.21867177289863</v>
      </c>
      <c r="EB8" s="146">
        <f t="shared" si="9"/>
        <v>117.25478973579251</v>
      </c>
      <c r="EC8" s="146">
        <f t="shared" si="9"/>
        <v>117.28914804706666</v>
      </c>
      <c r="ED8" s="146">
        <f t="shared" si="9"/>
        <v>117.32183211530209</v>
      </c>
      <c r="EE8" s="146">
        <f t="shared" si="9"/>
        <v>117.35292323427164</v>
      </c>
      <c r="EF8" s="146">
        <f t="shared" si="9"/>
        <v>117.38249877823999</v>
      </c>
      <c r="EG8" s="146">
        <f t="shared" ref="EG8:GR8" si="10">EG30</f>
        <v>117.41063238827795</v>
      </c>
      <c r="EH8" s="146">
        <f t="shared" si="10"/>
        <v>117.43739414997717</v>
      </c>
      <c r="EI8" s="146">
        <f t="shared" si="10"/>
        <v>117.46285076293684</v>
      </c>
      <c r="EJ8" s="146">
        <f t="shared" si="10"/>
        <v>117.48706570238066</v>
      </c>
      <c r="EK8" s="146">
        <f t="shared" si="10"/>
        <v>117.5100993732495</v>
      </c>
      <c r="EL8" s="146">
        <f t="shared" si="10"/>
        <v>117.53200925710084</v>
      </c>
      <c r="EM8" s="146">
        <f t="shared" si="10"/>
        <v>117.55285005213496</v>
      </c>
      <c r="EN8" s="146">
        <f t="shared" si="10"/>
        <v>117.57267380665374</v>
      </c>
      <c r="EO8" s="146">
        <f t="shared" si="10"/>
        <v>117.59153004624702</v>
      </c>
      <c r="EP8" s="146">
        <f t="shared" si="10"/>
        <v>117.60946589498857</v>
      </c>
      <c r="EQ8" s="146">
        <f t="shared" si="10"/>
        <v>117.62652619091335</v>
      </c>
      <c r="ER8" s="146">
        <f t="shared" si="10"/>
        <v>117.64275359603508</v>
      </c>
      <c r="ES8" s="146">
        <f t="shared" si="10"/>
        <v>117.65818870115399</v>
      </c>
      <c r="ET8" s="146">
        <f t="shared" si="10"/>
        <v>117.67287012569282</v>
      </c>
      <c r="EU8" s="146">
        <f t="shared" si="10"/>
        <v>117.68683461278957</v>
      </c>
      <c r="EV8" s="146">
        <f t="shared" si="10"/>
        <v>117.70011711986589</v>
      </c>
      <c r="EW8" s="146">
        <f t="shared" si="10"/>
        <v>117.71275090488015</v>
      </c>
      <c r="EX8" s="146">
        <f t="shared" si="10"/>
        <v>117.72476760846551</v>
      </c>
      <c r="EY8" s="146">
        <f t="shared" si="10"/>
        <v>117.73619733214413</v>
      </c>
      <c r="EZ8" s="146">
        <f t="shared" si="10"/>
        <v>117.74706871280077</v>
      </c>
      <c r="FA8" s="146">
        <f t="shared" si="10"/>
        <v>117.75740899359064</v>
      </c>
      <c r="FB8" s="146">
        <f t="shared" si="10"/>
        <v>117.76724409144848</v>
      </c>
      <c r="FC8" s="146">
        <f t="shared" si="10"/>
        <v>117.77659866135841</v>
      </c>
      <c r="FD8" s="146">
        <f t="shared" si="10"/>
        <v>117.78549615753732</v>
      </c>
      <c r="FE8" s="146">
        <f t="shared" si="10"/>
        <v>117.79395889167701</v>
      </c>
      <c r="FF8" s="146">
        <f t="shared" si="10"/>
        <v>117.80200808838426</v>
      </c>
      <c r="FG8" s="146">
        <f t="shared" si="10"/>
        <v>117.80966393795133</v>
      </c>
      <c r="FH8" s="146">
        <f t="shared" si="10"/>
        <v>117.81694564658355</v>
      </c>
      <c r="FI8" s="146">
        <f t="shared" si="10"/>
        <v>117.82387148420449</v>
      </c>
      <c r="FJ8" s="146">
        <f t="shared" si="10"/>
        <v>117.83045882995454</v>
      </c>
      <c r="FK8" s="146">
        <f t="shared" si="10"/>
        <v>117.83672421549169</v>
      </c>
      <c r="FL8" s="146">
        <f t="shared" si="10"/>
        <v>117.8426833662006</v>
      </c>
      <c r="FM8" s="146">
        <f t="shared" si="10"/>
        <v>117.84835124040882</v>
      </c>
      <c r="FN8" s="146">
        <f t="shared" si="10"/>
        <v>117.85374206670555</v>
      </c>
      <c r="FO8" s="146">
        <f t="shared" si="10"/>
        <v>117.85886937945486</v>
      </c>
      <c r="FP8" s="146">
        <f t="shared" si="10"/>
        <v>117.86374605258784</v>
      </c>
      <c r="FQ8" s="146">
        <f t="shared" si="10"/>
        <v>117.86838433175856</v>
      </c>
      <c r="FR8" s="146">
        <f t="shared" si="10"/>
        <v>117.87279586494037</v>
      </c>
      <c r="FS8" s="146">
        <f t="shared" si="10"/>
        <v>117.87699173153898</v>
      </c>
      <c r="FT8" s="146">
        <f t="shared" si="10"/>
        <v>117.88098247009246</v>
      </c>
      <c r="FU8" s="146">
        <f t="shared" si="10"/>
        <v>117.8847781046275</v>
      </c>
      <c r="FV8" s="146">
        <f t="shared" si="10"/>
        <v>117.88838816973507</v>
      </c>
      <c r="FW8" s="146">
        <f t="shared" si="10"/>
        <v>117.89182173442904</v>
      </c>
      <c r="FX8" s="146">
        <f t="shared" si="10"/>
        <v>117.89508742484452</v>
      </c>
      <c r="FY8" s="146">
        <f t="shared" si="10"/>
        <v>117.89819344583395</v>
      </c>
      <c r="FZ8" s="146">
        <f t="shared" si="10"/>
        <v>117.90114760151226</v>
      </c>
      <c r="GA8" s="146">
        <f t="shared" si="10"/>
        <v>117.90395731480365</v>
      </c>
      <c r="GB8" s="146">
        <f t="shared" si="10"/>
        <v>117.90662964603671</v>
      </c>
      <c r="GC8" s="146">
        <f t="shared" si="10"/>
        <v>117.90917131063534</v>
      </c>
      <c r="GD8" s="146">
        <f t="shared" si="10"/>
        <v>117.91158869594817</v>
      </c>
      <c r="GE8" s="146">
        <f t="shared" si="10"/>
        <v>117.9138878772589</v>
      </c>
      <c r="GF8" s="146">
        <f t="shared" si="10"/>
        <v>117.91607463301668</v>
      </c>
      <c r="GG8" s="146">
        <f t="shared" si="10"/>
        <v>117.91815445932511</v>
      </c>
      <c r="GH8" s="146">
        <f t="shared" si="10"/>
        <v>117.92013258372505</v>
      </c>
      <c r="GI8" s="146">
        <f t="shared" si="10"/>
        <v>117.92201397830601</v>
      </c>
      <c r="GJ8" s="146">
        <f t="shared" si="10"/>
        <v>117.92380337217851</v>
      </c>
      <c r="GK8" s="146">
        <f t="shared" si="10"/>
        <v>117.92550526333847</v>
      </c>
      <c r="GL8" s="146">
        <f t="shared" si="10"/>
        <v>117.92712392995331</v>
      </c>
      <c r="GM8" s="146">
        <f t="shared" si="10"/>
        <v>117.92866344109758</v>
      </c>
      <c r="GN8" s="146">
        <f t="shared" si="10"/>
        <v>117.93012766696513</v>
      </c>
      <c r="GO8" s="146">
        <f t="shared" si="10"/>
        <v>117.93152028858323</v>
      </c>
      <c r="GP8" s="146">
        <f t="shared" si="10"/>
        <v>117.93284480705285</v>
      </c>
      <c r="GQ8" s="146">
        <f t="shared" si="10"/>
        <v>117.93410455233784</v>
      </c>
      <c r="GR8" s="146">
        <f t="shared" si="10"/>
        <v>117.93530269162589</v>
      </c>
      <c r="GS8" s="146">
        <f t="shared" ref="GS8:GZ8" si="11">GS30</f>
        <v>117.93644223728074</v>
      </c>
      <c r="GT8" s="146">
        <f t="shared" si="11"/>
        <v>117.9375260544068</v>
      </c>
      <c r="GU8" s="146">
        <f t="shared" si="11"/>
        <v>117.93855686804442</v>
      </c>
      <c r="GV8" s="146">
        <f t="shared" si="11"/>
        <v>117.9395372700138</v>
      </c>
      <c r="GW8" s="146">
        <f t="shared" si="11"/>
        <v>117.94046972542502</v>
      </c>
      <c r="GX8" s="146">
        <f t="shared" si="11"/>
        <v>117.94135657886997</v>
      </c>
      <c r="GY8" s="146">
        <f t="shared" si="11"/>
        <v>117.94220006031212</v>
      </c>
      <c r="GZ8" s="146">
        <f t="shared" si="11"/>
        <v>117.94300229068865</v>
      </c>
    </row>
    <row r="9" spans="1:208" ht="12.95" customHeight="1" x14ac:dyDescent="0.2">
      <c r="B9" s="73" t="s">
        <v>1149</v>
      </c>
      <c r="C9" s="73"/>
      <c r="D9" s="73"/>
      <c r="E9" s="73"/>
      <c r="F9" s="12" t="s">
        <v>395</v>
      </c>
      <c r="G9" s="98" t="s">
        <v>950</v>
      </c>
      <c r="H9" s="146">
        <f t="shared" ref="H9:BS9" si="12">H30</f>
        <v>0</v>
      </c>
      <c r="I9" s="146">
        <f t="shared" si="12"/>
        <v>1.3801503036642727E-2</v>
      </c>
      <c r="J9" s="146">
        <f t="shared" si="12"/>
        <v>0.10250810373022921</v>
      </c>
      <c r="K9" s="146">
        <f t="shared" si="12"/>
        <v>0.32140060564134304</v>
      </c>
      <c r="L9" s="146">
        <f t="shared" si="12"/>
        <v>0.70819088008020181</v>
      </c>
      <c r="M9" s="146">
        <f t="shared" si="12"/>
        <v>1.2865903014343147</v>
      </c>
      <c r="N9" s="146">
        <f t="shared" si="12"/>
        <v>2.0692648651289542</v>
      </c>
      <c r="O9" s="146">
        <f t="shared" si="12"/>
        <v>3.0602740346849182</v>
      </c>
      <c r="P9" s="146">
        <f t="shared" si="12"/>
        <v>4.2570757029793187</v>
      </c>
      <c r="Q9" s="146">
        <f t="shared" si="12"/>
        <v>5.6521671458405169</v>
      </c>
      <c r="R9" s="146">
        <f t="shared" si="12"/>
        <v>7.2344211823897746</v>
      </c>
      <c r="S9" s="146">
        <f t="shared" si="12"/>
        <v>8.9901676693851371</v>
      </c>
      <c r="T9" s="146">
        <f t="shared" si="12"/>
        <v>10.904062717666822</v>
      </c>
      <c r="U9" s="146">
        <f t="shared" si="12"/>
        <v>12.959781431811036</v>
      </c>
      <c r="V9" s="146">
        <f t="shared" si="12"/>
        <v>15.140564371508987</v>
      </c>
      <c r="W9" s="146">
        <f t="shared" si="12"/>
        <v>17.4296431713258</v>
      </c>
      <c r="X9" s="146">
        <f t="shared" si="12"/>
        <v>19.810566711342741</v>
      </c>
      <c r="Y9" s="146">
        <f t="shared" si="12"/>
        <v>22.267445799447479</v>
      </c>
      <c r="Z9" s="146">
        <f t="shared" si="12"/>
        <v>24.785131416603353</v>
      </c>
      <c r="AA9" s="146">
        <f t="shared" si="12"/>
        <v>27.349339112214277</v>
      </c>
      <c r="AB9" s="146">
        <f t="shared" si="12"/>
        <v>29.946730051786854</v>
      </c>
      <c r="AC9" s="146">
        <f t="shared" si="12"/>
        <v>32.564957457117195</v>
      </c>
      <c r="AD9" s="146">
        <f t="shared" si="12"/>
        <v>35.192685692036868</v>
      </c>
      <c r="AE9" s="146">
        <f t="shared" si="12"/>
        <v>37.819587993197999</v>
      </c>
      <c r="AF9" s="146">
        <f t="shared" si="12"/>
        <v>40.436327790332221</v>
      </c>
      <c r="AG9" s="146">
        <f t="shared" si="12"/>
        <v>43.034527673896086</v>
      </c>
      <c r="AH9" s="146">
        <f t="shared" si="12"/>
        <v>45.606729324439719</v>
      </c>
      <c r="AI9" s="146">
        <f t="shared" si="12"/>
        <v>48.146347095592041</v>
      </c>
      <c r="AJ9" s="146">
        <f t="shared" si="12"/>
        <v>50.647617422659295</v>
      </c>
      <c r="AK9" s="146">
        <f t="shared" si="12"/>
        <v>53.105545795652432</v>
      </c>
      <c r="AL9" s="146">
        <f t="shared" si="12"/>
        <v>55.515852675616792</v>
      </c>
      <c r="AM9" s="146">
        <f t="shared" si="12"/>
        <v>57.874919434974622</v>
      </c>
      <c r="AN9" s="146">
        <f t="shared" si="12"/>
        <v>60.179735156461923</v>
      </c>
      <c r="AO9" s="146">
        <f t="shared" si="12"/>
        <v>62.427844922873923</v>
      </c>
      <c r="AP9" s="146">
        <f t="shared" si="12"/>
        <v>64.617300064203548</v>
      </c>
      <c r="AQ9" s="146">
        <f t="shared" si="12"/>
        <v>66.746610693912174</v>
      </c>
      <c r="AR9" s="146">
        <f t="shared" si="12"/>
        <v>68.814700756968321</v>
      </c>
      <c r="AS9" s="146">
        <f t="shared" si="12"/>
        <v>70.820865724660678</v>
      </c>
      <c r="AT9" s="146">
        <f t="shared" si="12"/>
        <v>72.764733001429349</v>
      </c>
      <c r="AU9" s="146">
        <f t="shared" si="12"/>
        <v>74.646225054022594</v>
      </c>
      <c r="AV9" s="146">
        <f t="shared" si="12"/>
        <v>76.465525230604669</v>
      </c>
      <c r="AW9" s="146">
        <f t="shared" si="12"/>
        <v>78.22304620485869</v>
      </c>
      <c r="AX9" s="146">
        <f t="shared" si="12"/>
        <v>79.919400955828209</v>
      </c>
      <c r="AY9" s="146">
        <f t="shared" si="12"/>
        <v>81.555376176702282</v>
      </c>
      <c r="AZ9" s="146">
        <f t="shared" si="12"/>
        <v>83.131907993694981</v>
      </c>
      <c r="BA9" s="146">
        <f t="shared" si="12"/>
        <v>84.650059868539287</v>
      </c>
      <c r="BB9" s="146">
        <f t="shared" si="12"/>
        <v>86.111002554017915</v>
      </c>
      <c r="BC9" s="146">
        <f t="shared" si="12"/>
        <v>87.515995970655169</v>
      </c>
      <c r="BD9" s="146">
        <f t="shared" si="12"/>
        <v>88.866372873580801</v>
      </c>
      <c r="BE9" s="146">
        <f t="shared" si="12"/>
        <v>90.163524181150464</v>
      </c>
      <c r="BF9" s="146">
        <f t="shared" si="12"/>
        <v>91.408885840746265</v>
      </c>
      <c r="BG9" s="146">
        <f t="shared" si="12"/>
        <v>92.603927111953922</v>
      </c>
      <c r="BH9" s="146">
        <f t="shared" si="12"/>
        <v>93.750140152737799</v>
      </c>
      <c r="BI9" s="146">
        <f t="shared" si="12"/>
        <v>94.849030800092564</v>
      </c>
      <c r="BJ9" s="146">
        <f t="shared" si="12"/>
        <v>95.902110442760019</v>
      </c>
      <c r="BK9" s="146">
        <f t="shared" si="12"/>
        <v>96.910888889817528</v>
      </c>
      <c r="BL9" s="146">
        <f t="shared" si="12"/>
        <v>97.876868145162788</v>
      </c>
      <c r="BM9" s="146">
        <f t="shared" si="12"/>
        <v>98.801537004046068</v>
      </c>
      <c r="BN9" s="146">
        <f t="shared" si="12"/>
        <v>99.686366393772815</v>
      </c>
      <c r="BO9" s="146">
        <f t="shared" si="12"/>
        <v>100.5328053864676</v>
      </c>
      <c r="BP9" s="146">
        <f t="shared" si="12"/>
        <v>101.34227781731518</v>
      </c>
      <c r="BQ9" s="146">
        <f t="shared" si="12"/>
        <v>102.11617944695877</v>
      </c>
      <c r="BR9" s="146">
        <f t="shared" si="12"/>
        <v>102.85587561171667</v>
      </c>
      <c r="BS9" s="146">
        <f t="shared" si="12"/>
        <v>103.56269930997377</v>
      </c>
      <c r="BT9" s="146">
        <f t="shared" ref="BT9:EE9" si="13">BT30</f>
        <v>104.23794967751182</v>
      </c>
      <c r="BU9" s="146">
        <f t="shared" si="13"/>
        <v>104.88289080865843</v>
      </c>
      <c r="BV9" s="146">
        <f t="shared" si="13"/>
        <v>105.49875088397421</v>
      </c>
      <c r="BW9" s="146">
        <f t="shared" si="13"/>
        <v>106.08672156876112</v>
      </c>
      <c r="BX9" s="146">
        <f t="shared" si="13"/>
        <v>106.6479576499766</v>
      </c>
      <c r="BY9" s="146">
        <f t="shared" si="13"/>
        <v>107.18357688218988</v>
      </c>
      <c r="BZ9" s="146">
        <f t="shared" si="13"/>
        <v>107.69466001602949</v>
      </c>
      <c r="CA9" s="146">
        <f t="shared" si="13"/>
        <v>108.18225098515779</v>
      </c>
      <c r="CB9" s="146">
        <f t="shared" si="13"/>
        <v>108.64735723018511</v>
      </c>
      <c r="CC9" s="146">
        <f t="shared" si="13"/>
        <v>109.0909501401116</v>
      </c>
      <c r="CD9" s="146">
        <f t="shared" si="13"/>
        <v>109.51396559387747</v>
      </c>
      <c r="CE9" s="146">
        <f t="shared" si="13"/>
        <v>109.91730458641989</v>
      </c>
      <c r="CF9" s="146">
        <f t="shared" si="13"/>
        <v>110.3018339252922</v>
      </c>
      <c r="CG9" s="146">
        <f t="shared" si="13"/>
        <v>110.6683869854116</v>
      </c>
      <c r="CH9" s="146">
        <f t="shared" si="13"/>
        <v>111.01776451087146</v>
      </c>
      <c r="CI9" s="146">
        <f t="shared" si="13"/>
        <v>111.35073545400006</v>
      </c>
      <c r="CJ9" s="146">
        <f t="shared" si="13"/>
        <v>111.66803784297581</v>
      </c>
      <c r="CK9" s="146">
        <f t="shared" si="13"/>
        <v>111.97037967032826</v>
      </c>
      <c r="CL9" s="146">
        <f t="shared" si="13"/>
        <v>112.25843979557877</v>
      </c>
      <c r="CM9" s="146">
        <f t="shared" si="13"/>
        <v>112.53286885610451</v>
      </c>
      <c r="CN9" s="146">
        <f t="shared" si="13"/>
        <v>112.79429018106121</v>
      </c>
      <c r="CO9" s="146">
        <f t="shared" si="13"/>
        <v>113.04330070387277</v>
      </c>
      <c r="CP9" s="146">
        <f t="shared" si="13"/>
        <v>113.2804718694035</v>
      </c>
      <c r="CQ9" s="146">
        <f t="shared" si="13"/>
        <v>113.50635053246974</v>
      </c>
      <c r="CR9" s="146">
        <f t="shared" si="13"/>
        <v>113.72145984483637</v>
      </c>
      <c r="CS9" s="146">
        <f t="shared" si="13"/>
        <v>113.92630012827603</v>
      </c>
      <c r="CT9" s="146">
        <f t="shared" si="13"/>
        <v>114.121349731659</v>
      </c>
      <c r="CU9" s="146">
        <f t="shared" si="13"/>
        <v>114.30706587038449</v>
      </c>
      <c r="CV9" s="146">
        <f t="shared" si="13"/>
        <v>114.48388544677304</v>
      </c>
      <c r="CW9" s="146">
        <f t="shared" si="13"/>
        <v>114.65222585031027</v>
      </c>
      <c r="CX9" s="146">
        <f t="shared" si="13"/>
        <v>114.81248573687292</v>
      </c>
      <c r="CY9" s="146">
        <f t="shared" si="13"/>
        <v>114.96504578628149</v>
      </c>
      <c r="CZ9" s="146">
        <f t="shared" si="13"/>
        <v>115.11026943770834</v>
      </c>
      <c r="DA9" s="146">
        <f t="shared" si="13"/>
        <v>115.24850360263548</v>
      </c>
      <c r="DB9" s="146">
        <f t="shared" si="13"/>
        <v>115.38007935519893</v>
      </c>
      <c r="DC9" s="146">
        <f t="shared" si="13"/>
        <v>115.50531259987942</v>
      </c>
      <c r="DD9" s="146">
        <f t="shared" si="13"/>
        <v>115.62450471660945</v>
      </c>
      <c r="DE9" s="146">
        <f t="shared" si="13"/>
        <v>115.7379431834575</v>
      </c>
      <c r="DF9" s="146">
        <f t="shared" si="13"/>
        <v>115.8459021771306</v>
      </c>
      <c r="DG9" s="146">
        <f t="shared" si="13"/>
        <v>115.94864315160417</v>
      </c>
      <c r="DH9" s="146">
        <f t="shared" si="13"/>
        <v>116.04641539524519</v>
      </c>
      <c r="DI9" s="146">
        <f t="shared" si="13"/>
        <v>116.13945656684137</v>
      </c>
      <c r="DJ9" s="146">
        <f t="shared" si="13"/>
        <v>116.22799321099063</v>
      </c>
      <c r="DK9" s="146">
        <f t="shared" si="13"/>
        <v>116.31224125333401</v>
      </c>
      <c r="DL9" s="146">
        <f t="shared" si="13"/>
        <v>116.39240647614314</v>
      </c>
      <c r="DM9" s="146">
        <f t="shared" si="13"/>
        <v>116.4686849747918</v>
      </c>
      <c r="DN9" s="146">
        <f t="shared" si="13"/>
        <v>116.54126359565491</v>
      </c>
      <c r="DO9" s="146">
        <f t="shared" si="13"/>
        <v>116.6103203559903</v>
      </c>
      <c r="DP9" s="146">
        <f t="shared" si="13"/>
        <v>116.67602484636244</v>
      </c>
      <c r="DQ9" s="146">
        <f t="shared" si="13"/>
        <v>116.73853861617205</v>
      </c>
      <c r="DR9" s="146">
        <f t="shared" si="13"/>
        <v>116.79801554285352</v>
      </c>
      <c r="DS9" s="146">
        <f t="shared" si="13"/>
        <v>116.85460218530129</v>
      </c>
      <c r="DT9" s="146">
        <f t="shared" si="13"/>
        <v>116.9084381220791</v>
      </c>
      <c r="DU9" s="146">
        <f t="shared" si="13"/>
        <v>116.95965627496177</v>
      </c>
      <c r="DV9" s="146">
        <f t="shared" si="13"/>
        <v>117.00838321834841</v>
      </c>
      <c r="DW9" s="146">
        <f t="shared" si="13"/>
        <v>117.05473947507834</v>
      </c>
      <c r="DX9" s="146">
        <f t="shared" si="13"/>
        <v>117.09883979916818</v>
      </c>
      <c r="DY9" s="146">
        <f t="shared" si="13"/>
        <v>117.14079344597955</v>
      </c>
      <c r="DZ9" s="146">
        <f t="shared" si="13"/>
        <v>117.18070443031105</v>
      </c>
      <c r="EA9" s="146">
        <f t="shared" si="13"/>
        <v>117.21867177289863</v>
      </c>
      <c r="EB9" s="146">
        <f t="shared" si="13"/>
        <v>117.25478973579251</v>
      </c>
      <c r="EC9" s="146">
        <f t="shared" si="13"/>
        <v>117.28914804706666</v>
      </c>
      <c r="ED9" s="146">
        <f t="shared" si="13"/>
        <v>117.32183211530209</v>
      </c>
      <c r="EE9" s="146">
        <f t="shared" si="13"/>
        <v>117.35292323427164</v>
      </c>
      <c r="EF9" s="146">
        <f t="shared" ref="EF9:GQ9" si="14">EF30</f>
        <v>117.38249877823999</v>
      </c>
      <c r="EG9" s="146">
        <f t="shared" si="14"/>
        <v>117.41063238827795</v>
      </c>
      <c r="EH9" s="146">
        <f t="shared" si="14"/>
        <v>117.43739414997717</v>
      </c>
      <c r="EI9" s="146">
        <f t="shared" si="14"/>
        <v>117.46285076293684</v>
      </c>
      <c r="EJ9" s="146">
        <f t="shared" si="14"/>
        <v>117.48706570238066</v>
      </c>
      <c r="EK9" s="146">
        <f t="shared" si="14"/>
        <v>117.5100993732495</v>
      </c>
      <c r="EL9" s="146">
        <f t="shared" si="14"/>
        <v>117.53200925710084</v>
      </c>
      <c r="EM9" s="146">
        <f t="shared" si="14"/>
        <v>117.55285005213496</v>
      </c>
      <c r="EN9" s="146">
        <f t="shared" si="14"/>
        <v>117.57267380665374</v>
      </c>
      <c r="EO9" s="146">
        <f t="shared" si="14"/>
        <v>117.59153004624702</v>
      </c>
      <c r="EP9" s="146">
        <f t="shared" si="14"/>
        <v>117.60946589498857</v>
      </c>
      <c r="EQ9" s="146">
        <f t="shared" si="14"/>
        <v>117.62652619091335</v>
      </c>
      <c r="ER9" s="146">
        <f t="shared" si="14"/>
        <v>117.64275359603508</v>
      </c>
      <c r="ES9" s="146">
        <f t="shared" si="14"/>
        <v>117.65818870115399</v>
      </c>
      <c r="ET9" s="146">
        <f t="shared" si="14"/>
        <v>117.67287012569282</v>
      </c>
      <c r="EU9" s="146">
        <f t="shared" si="14"/>
        <v>117.68683461278957</v>
      </c>
      <c r="EV9" s="146">
        <f t="shared" si="14"/>
        <v>117.70011711986589</v>
      </c>
      <c r="EW9" s="146">
        <f t="shared" si="14"/>
        <v>117.71275090488015</v>
      </c>
      <c r="EX9" s="146">
        <f t="shared" si="14"/>
        <v>117.72476760846551</v>
      </c>
      <c r="EY9" s="146">
        <f t="shared" si="14"/>
        <v>117.73619733214413</v>
      </c>
      <c r="EZ9" s="146">
        <f t="shared" si="14"/>
        <v>117.74706871280077</v>
      </c>
      <c r="FA9" s="146">
        <f t="shared" si="14"/>
        <v>117.75740899359064</v>
      </c>
      <c r="FB9" s="146">
        <f t="shared" si="14"/>
        <v>117.76724409144848</v>
      </c>
      <c r="FC9" s="146">
        <f t="shared" si="14"/>
        <v>117.77659866135841</v>
      </c>
      <c r="FD9" s="146">
        <f t="shared" si="14"/>
        <v>117.78549615753732</v>
      </c>
      <c r="FE9" s="146">
        <f t="shared" si="14"/>
        <v>117.79395889167701</v>
      </c>
      <c r="FF9" s="146">
        <f t="shared" si="14"/>
        <v>117.80200808838426</v>
      </c>
      <c r="FG9" s="146">
        <f t="shared" si="14"/>
        <v>117.80966393795133</v>
      </c>
      <c r="FH9" s="146">
        <f t="shared" si="14"/>
        <v>117.81694564658355</v>
      </c>
      <c r="FI9" s="146">
        <f t="shared" si="14"/>
        <v>117.82387148420449</v>
      </c>
      <c r="FJ9" s="146">
        <f t="shared" si="14"/>
        <v>117.83045882995454</v>
      </c>
      <c r="FK9" s="146">
        <f t="shared" si="14"/>
        <v>117.83672421549169</v>
      </c>
      <c r="FL9" s="146">
        <f t="shared" si="14"/>
        <v>117.8426833662006</v>
      </c>
      <c r="FM9" s="146">
        <f t="shared" si="14"/>
        <v>117.84835124040882</v>
      </c>
      <c r="FN9" s="146">
        <f t="shared" si="14"/>
        <v>117.85374206670555</v>
      </c>
      <c r="FO9" s="146">
        <f t="shared" si="14"/>
        <v>117.85886937945486</v>
      </c>
      <c r="FP9" s="146">
        <f t="shared" si="14"/>
        <v>117.86374605258784</v>
      </c>
      <c r="FQ9" s="146">
        <f t="shared" si="14"/>
        <v>117.86838433175856</v>
      </c>
      <c r="FR9" s="146">
        <f t="shared" si="14"/>
        <v>117.87279586494037</v>
      </c>
      <c r="FS9" s="146">
        <f t="shared" si="14"/>
        <v>117.87699173153898</v>
      </c>
      <c r="FT9" s="146">
        <f t="shared" si="14"/>
        <v>117.88098247009246</v>
      </c>
      <c r="FU9" s="146">
        <f t="shared" si="14"/>
        <v>117.8847781046275</v>
      </c>
      <c r="FV9" s="146">
        <f t="shared" si="14"/>
        <v>117.88838816973507</v>
      </c>
      <c r="FW9" s="146">
        <f t="shared" si="14"/>
        <v>117.89182173442904</v>
      </c>
      <c r="FX9" s="146">
        <f t="shared" si="14"/>
        <v>117.89508742484452</v>
      </c>
      <c r="FY9" s="146">
        <f t="shared" si="14"/>
        <v>117.89819344583395</v>
      </c>
      <c r="FZ9" s="146">
        <f t="shared" si="14"/>
        <v>117.90114760151226</v>
      </c>
      <c r="GA9" s="146">
        <f t="shared" si="14"/>
        <v>117.90395731480365</v>
      </c>
      <c r="GB9" s="146">
        <f t="shared" si="14"/>
        <v>117.90662964603671</v>
      </c>
      <c r="GC9" s="146">
        <f t="shared" si="14"/>
        <v>117.90917131063534</v>
      </c>
      <c r="GD9" s="146">
        <f t="shared" si="14"/>
        <v>117.91158869594817</v>
      </c>
      <c r="GE9" s="146">
        <f t="shared" si="14"/>
        <v>117.9138878772589</v>
      </c>
      <c r="GF9" s="146">
        <f t="shared" si="14"/>
        <v>117.91607463301668</v>
      </c>
      <c r="GG9" s="146">
        <f t="shared" si="14"/>
        <v>117.91815445932511</v>
      </c>
      <c r="GH9" s="146">
        <f t="shared" si="14"/>
        <v>117.92013258372505</v>
      </c>
      <c r="GI9" s="146">
        <f t="shared" si="14"/>
        <v>117.92201397830601</v>
      </c>
      <c r="GJ9" s="146">
        <f t="shared" si="14"/>
        <v>117.92380337217851</v>
      </c>
      <c r="GK9" s="146">
        <f t="shared" si="14"/>
        <v>117.92550526333847</v>
      </c>
      <c r="GL9" s="146">
        <f t="shared" si="14"/>
        <v>117.92712392995331</v>
      </c>
      <c r="GM9" s="146">
        <f t="shared" si="14"/>
        <v>117.92866344109758</v>
      </c>
      <c r="GN9" s="146">
        <f t="shared" si="14"/>
        <v>117.93012766696513</v>
      </c>
      <c r="GO9" s="146">
        <f t="shared" si="14"/>
        <v>117.93152028858323</v>
      </c>
      <c r="GP9" s="146">
        <f t="shared" si="14"/>
        <v>117.93284480705285</v>
      </c>
      <c r="GQ9" s="146">
        <f t="shared" si="14"/>
        <v>117.93410455233784</v>
      </c>
      <c r="GR9" s="146">
        <f t="shared" ref="GR9:GZ9" si="15">GR30</f>
        <v>117.93530269162589</v>
      </c>
      <c r="GS9" s="146">
        <f t="shared" si="15"/>
        <v>117.93644223728074</v>
      </c>
      <c r="GT9" s="146">
        <f t="shared" si="15"/>
        <v>117.9375260544068</v>
      </c>
      <c r="GU9" s="146">
        <f t="shared" si="15"/>
        <v>117.93855686804442</v>
      </c>
      <c r="GV9" s="146">
        <f t="shared" si="15"/>
        <v>117.9395372700138</v>
      </c>
      <c r="GW9" s="146">
        <f t="shared" si="15"/>
        <v>117.94046972542502</v>
      </c>
      <c r="GX9" s="146">
        <f t="shared" si="15"/>
        <v>117.94135657886997</v>
      </c>
      <c r="GY9" s="146">
        <f t="shared" si="15"/>
        <v>117.94220006031212</v>
      </c>
      <c r="GZ9" s="146">
        <f t="shared" si="15"/>
        <v>117.94300229068865</v>
      </c>
    </row>
    <row r="10" spans="1:208" ht="12.95" customHeight="1" x14ac:dyDescent="0.2">
      <c r="B10" s="73" t="s">
        <v>1150</v>
      </c>
      <c r="C10" s="73"/>
      <c r="D10" s="73"/>
      <c r="E10" s="73"/>
      <c r="F10" s="12" t="s">
        <v>395</v>
      </c>
      <c r="G10" s="98" t="s">
        <v>950</v>
      </c>
      <c r="H10" s="146">
        <f t="shared" ref="H10:BS10" si="16">H30</f>
        <v>0</v>
      </c>
      <c r="I10" s="146">
        <f t="shared" si="16"/>
        <v>1.3801503036642727E-2</v>
      </c>
      <c r="J10" s="146">
        <f t="shared" si="16"/>
        <v>0.10250810373022921</v>
      </c>
      <c r="K10" s="146">
        <f t="shared" si="16"/>
        <v>0.32140060564134304</v>
      </c>
      <c r="L10" s="146">
        <f t="shared" si="16"/>
        <v>0.70819088008020181</v>
      </c>
      <c r="M10" s="146">
        <f t="shared" si="16"/>
        <v>1.2865903014343147</v>
      </c>
      <c r="N10" s="146">
        <f t="shared" si="16"/>
        <v>2.0692648651289542</v>
      </c>
      <c r="O10" s="146">
        <f t="shared" si="16"/>
        <v>3.0602740346849182</v>
      </c>
      <c r="P10" s="146">
        <f t="shared" si="16"/>
        <v>4.2570757029793187</v>
      </c>
      <c r="Q10" s="146">
        <f t="shared" si="16"/>
        <v>5.6521671458405169</v>
      </c>
      <c r="R10" s="146">
        <f t="shared" si="16"/>
        <v>7.2344211823897746</v>
      </c>
      <c r="S10" s="146">
        <f t="shared" si="16"/>
        <v>8.9901676693851371</v>
      </c>
      <c r="T10" s="146">
        <f t="shared" si="16"/>
        <v>10.904062717666822</v>
      </c>
      <c r="U10" s="146">
        <f t="shared" si="16"/>
        <v>12.959781431811036</v>
      </c>
      <c r="V10" s="146">
        <f t="shared" si="16"/>
        <v>15.140564371508987</v>
      </c>
      <c r="W10" s="146">
        <f t="shared" si="16"/>
        <v>17.4296431713258</v>
      </c>
      <c r="X10" s="146">
        <f t="shared" si="16"/>
        <v>19.810566711342741</v>
      </c>
      <c r="Y10" s="146">
        <f t="shared" si="16"/>
        <v>22.267445799447479</v>
      </c>
      <c r="Z10" s="146">
        <f t="shared" si="16"/>
        <v>24.785131416603353</v>
      </c>
      <c r="AA10" s="146">
        <f t="shared" si="16"/>
        <v>27.349339112214277</v>
      </c>
      <c r="AB10" s="146">
        <f t="shared" si="16"/>
        <v>29.946730051786854</v>
      </c>
      <c r="AC10" s="146">
        <f t="shared" si="16"/>
        <v>32.564957457117195</v>
      </c>
      <c r="AD10" s="146">
        <f t="shared" si="16"/>
        <v>35.192685692036868</v>
      </c>
      <c r="AE10" s="146">
        <f t="shared" si="16"/>
        <v>37.819587993197999</v>
      </c>
      <c r="AF10" s="146">
        <f t="shared" si="16"/>
        <v>40.436327790332221</v>
      </c>
      <c r="AG10" s="146">
        <f t="shared" si="16"/>
        <v>43.034527673896086</v>
      </c>
      <c r="AH10" s="146">
        <f t="shared" si="16"/>
        <v>45.606729324439719</v>
      </c>
      <c r="AI10" s="146">
        <f t="shared" si="16"/>
        <v>48.146347095592041</v>
      </c>
      <c r="AJ10" s="146">
        <f t="shared" si="16"/>
        <v>50.647617422659295</v>
      </c>
      <c r="AK10" s="146">
        <f t="shared" si="16"/>
        <v>53.105545795652432</v>
      </c>
      <c r="AL10" s="146">
        <f t="shared" si="16"/>
        <v>55.515852675616792</v>
      </c>
      <c r="AM10" s="146">
        <f t="shared" si="16"/>
        <v>57.874919434974622</v>
      </c>
      <c r="AN10" s="146">
        <f t="shared" si="16"/>
        <v>60.179735156461923</v>
      </c>
      <c r="AO10" s="146">
        <f t="shared" si="16"/>
        <v>62.427844922873923</v>
      </c>
      <c r="AP10" s="146">
        <f t="shared" si="16"/>
        <v>64.617300064203548</v>
      </c>
      <c r="AQ10" s="146">
        <f t="shared" si="16"/>
        <v>66.746610693912174</v>
      </c>
      <c r="AR10" s="146">
        <f t="shared" si="16"/>
        <v>68.814700756968321</v>
      </c>
      <c r="AS10" s="146">
        <f t="shared" si="16"/>
        <v>70.820865724660678</v>
      </c>
      <c r="AT10" s="146">
        <f t="shared" si="16"/>
        <v>72.764733001429349</v>
      </c>
      <c r="AU10" s="146">
        <f t="shared" si="16"/>
        <v>74.646225054022594</v>
      </c>
      <c r="AV10" s="146">
        <f t="shared" si="16"/>
        <v>76.465525230604669</v>
      </c>
      <c r="AW10" s="146">
        <f t="shared" si="16"/>
        <v>78.22304620485869</v>
      </c>
      <c r="AX10" s="146">
        <f t="shared" si="16"/>
        <v>79.919400955828209</v>
      </c>
      <c r="AY10" s="146">
        <f t="shared" si="16"/>
        <v>81.555376176702282</v>
      </c>
      <c r="AZ10" s="146">
        <f t="shared" si="16"/>
        <v>83.131907993694981</v>
      </c>
      <c r="BA10" s="146">
        <f t="shared" si="16"/>
        <v>84.650059868539287</v>
      </c>
      <c r="BB10" s="146">
        <f t="shared" si="16"/>
        <v>86.111002554017915</v>
      </c>
      <c r="BC10" s="146">
        <f t="shared" si="16"/>
        <v>87.515995970655169</v>
      </c>
      <c r="BD10" s="146">
        <f t="shared" si="16"/>
        <v>88.866372873580801</v>
      </c>
      <c r="BE10" s="146">
        <f t="shared" si="16"/>
        <v>90.163524181150464</v>
      </c>
      <c r="BF10" s="146">
        <f t="shared" si="16"/>
        <v>91.408885840746265</v>
      </c>
      <c r="BG10" s="146">
        <f t="shared" si="16"/>
        <v>92.603927111953922</v>
      </c>
      <c r="BH10" s="146">
        <f t="shared" si="16"/>
        <v>93.750140152737799</v>
      </c>
      <c r="BI10" s="146">
        <f t="shared" si="16"/>
        <v>94.849030800092564</v>
      </c>
      <c r="BJ10" s="146">
        <f t="shared" si="16"/>
        <v>95.902110442760019</v>
      </c>
      <c r="BK10" s="146">
        <f t="shared" si="16"/>
        <v>96.910888889817528</v>
      </c>
      <c r="BL10" s="146">
        <f t="shared" si="16"/>
        <v>97.876868145162788</v>
      </c>
      <c r="BM10" s="146">
        <f t="shared" si="16"/>
        <v>98.801537004046068</v>
      </c>
      <c r="BN10" s="146">
        <f t="shared" si="16"/>
        <v>99.686366393772815</v>
      </c>
      <c r="BO10" s="146">
        <f t="shared" si="16"/>
        <v>100.5328053864676</v>
      </c>
      <c r="BP10" s="146">
        <f t="shared" si="16"/>
        <v>101.34227781731518</v>
      </c>
      <c r="BQ10" s="146">
        <f t="shared" si="16"/>
        <v>102.11617944695877</v>
      </c>
      <c r="BR10" s="146">
        <f t="shared" si="16"/>
        <v>102.85587561171667</v>
      </c>
      <c r="BS10" s="146">
        <f t="shared" si="16"/>
        <v>103.56269930997377</v>
      </c>
      <c r="BT10" s="146">
        <f t="shared" ref="BT10:EE10" si="17">BT30</f>
        <v>104.23794967751182</v>
      </c>
      <c r="BU10" s="146">
        <f t="shared" si="17"/>
        <v>104.88289080865843</v>
      </c>
      <c r="BV10" s="146">
        <f t="shared" si="17"/>
        <v>105.49875088397421</v>
      </c>
      <c r="BW10" s="146">
        <f t="shared" si="17"/>
        <v>106.08672156876112</v>
      </c>
      <c r="BX10" s="146">
        <f t="shared" si="17"/>
        <v>106.6479576499766</v>
      </c>
      <c r="BY10" s="146">
        <f t="shared" si="17"/>
        <v>107.18357688218988</v>
      </c>
      <c r="BZ10" s="146">
        <f t="shared" si="17"/>
        <v>107.69466001602949</v>
      </c>
      <c r="CA10" s="146">
        <f t="shared" si="17"/>
        <v>108.18225098515779</v>
      </c>
      <c r="CB10" s="146">
        <f t="shared" si="17"/>
        <v>108.64735723018511</v>
      </c>
      <c r="CC10" s="146">
        <f t="shared" si="17"/>
        <v>109.0909501401116</v>
      </c>
      <c r="CD10" s="146">
        <f t="shared" si="17"/>
        <v>109.51396559387747</v>
      </c>
      <c r="CE10" s="146">
        <f t="shared" si="17"/>
        <v>109.91730458641989</v>
      </c>
      <c r="CF10" s="146">
        <f t="shared" si="17"/>
        <v>110.3018339252922</v>
      </c>
      <c r="CG10" s="146">
        <f t="shared" si="17"/>
        <v>110.6683869854116</v>
      </c>
      <c r="CH10" s="146">
        <f t="shared" si="17"/>
        <v>111.01776451087146</v>
      </c>
      <c r="CI10" s="146">
        <f t="shared" si="17"/>
        <v>111.35073545400006</v>
      </c>
      <c r="CJ10" s="146">
        <f t="shared" si="17"/>
        <v>111.66803784297581</v>
      </c>
      <c r="CK10" s="146">
        <f t="shared" si="17"/>
        <v>111.97037967032826</v>
      </c>
      <c r="CL10" s="146">
        <f t="shared" si="17"/>
        <v>112.25843979557877</v>
      </c>
      <c r="CM10" s="146">
        <f t="shared" si="17"/>
        <v>112.53286885610451</v>
      </c>
      <c r="CN10" s="146">
        <f t="shared" si="17"/>
        <v>112.79429018106121</v>
      </c>
      <c r="CO10" s="146">
        <f t="shared" si="17"/>
        <v>113.04330070387277</v>
      </c>
      <c r="CP10" s="146">
        <f t="shared" si="17"/>
        <v>113.2804718694035</v>
      </c>
      <c r="CQ10" s="146">
        <f t="shared" si="17"/>
        <v>113.50635053246974</v>
      </c>
      <c r="CR10" s="146">
        <f t="shared" si="17"/>
        <v>113.72145984483637</v>
      </c>
      <c r="CS10" s="146">
        <f t="shared" si="17"/>
        <v>113.92630012827603</v>
      </c>
      <c r="CT10" s="146">
        <f t="shared" si="17"/>
        <v>114.121349731659</v>
      </c>
      <c r="CU10" s="146">
        <f t="shared" si="17"/>
        <v>114.30706587038449</v>
      </c>
      <c r="CV10" s="146">
        <f t="shared" si="17"/>
        <v>114.48388544677304</v>
      </c>
      <c r="CW10" s="146">
        <f t="shared" si="17"/>
        <v>114.65222585031027</v>
      </c>
      <c r="CX10" s="146">
        <f t="shared" si="17"/>
        <v>114.81248573687292</v>
      </c>
      <c r="CY10" s="146">
        <f t="shared" si="17"/>
        <v>114.96504578628149</v>
      </c>
      <c r="CZ10" s="146">
        <f t="shared" si="17"/>
        <v>115.11026943770834</v>
      </c>
      <c r="DA10" s="146">
        <f t="shared" si="17"/>
        <v>115.24850360263548</v>
      </c>
      <c r="DB10" s="146">
        <f t="shared" si="17"/>
        <v>115.38007935519893</v>
      </c>
      <c r="DC10" s="146">
        <f t="shared" si="17"/>
        <v>115.50531259987942</v>
      </c>
      <c r="DD10" s="146">
        <f t="shared" si="17"/>
        <v>115.62450471660945</v>
      </c>
      <c r="DE10" s="146">
        <f t="shared" si="17"/>
        <v>115.7379431834575</v>
      </c>
      <c r="DF10" s="146">
        <f t="shared" si="17"/>
        <v>115.8459021771306</v>
      </c>
      <c r="DG10" s="146">
        <f t="shared" si="17"/>
        <v>115.94864315160417</v>
      </c>
      <c r="DH10" s="146">
        <f t="shared" si="17"/>
        <v>116.04641539524519</v>
      </c>
      <c r="DI10" s="146">
        <f t="shared" si="17"/>
        <v>116.13945656684137</v>
      </c>
      <c r="DJ10" s="146">
        <f t="shared" si="17"/>
        <v>116.22799321099063</v>
      </c>
      <c r="DK10" s="146">
        <f t="shared" si="17"/>
        <v>116.31224125333401</v>
      </c>
      <c r="DL10" s="146">
        <f t="shared" si="17"/>
        <v>116.39240647614314</v>
      </c>
      <c r="DM10" s="146">
        <f t="shared" si="17"/>
        <v>116.4686849747918</v>
      </c>
      <c r="DN10" s="146">
        <f t="shared" si="17"/>
        <v>116.54126359565491</v>
      </c>
      <c r="DO10" s="146">
        <f t="shared" si="17"/>
        <v>116.6103203559903</v>
      </c>
      <c r="DP10" s="146">
        <f t="shared" si="17"/>
        <v>116.67602484636244</v>
      </c>
      <c r="DQ10" s="146">
        <f t="shared" si="17"/>
        <v>116.73853861617205</v>
      </c>
      <c r="DR10" s="146">
        <f t="shared" si="17"/>
        <v>116.79801554285352</v>
      </c>
      <c r="DS10" s="146">
        <f t="shared" si="17"/>
        <v>116.85460218530129</v>
      </c>
      <c r="DT10" s="146">
        <f t="shared" si="17"/>
        <v>116.9084381220791</v>
      </c>
      <c r="DU10" s="146">
        <f t="shared" si="17"/>
        <v>116.95965627496177</v>
      </c>
      <c r="DV10" s="146">
        <f t="shared" si="17"/>
        <v>117.00838321834841</v>
      </c>
      <c r="DW10" s="146">
        <f t="shared" si="17"/>
        <v>117.05473947507834</v>
      </c>
      <c r="DX10" s="146">
        <f t="shared" si="17"/>
        <v>117.09883979916818</v>
      </c>
      <c r="DY10" s="146">
        <f t="shared" si="17"/>
        <v>117.14079344597955</v>
      </c>
      <c r="DZ10" s="146">
        <f t="shared" si="17"/>
        <v>117.18070443031105</v>
      </c>
      <c r="EA10" s="146">
        <f t="shared" si="17"/>
        <v>117.21867177289863</v>
      </c>
      <c r="EB10" s="146">
        <f t="shared" si="17"/>
        <v>117.25478973579251</v>
      </c>
      <c r="EC10" s="146">
        <f t="shared" si="17"/>
        <v>117.28914804706666</v>
      </c>
      <c r="ED10" s="146">
        <f t="shared" si="17"/>
        <v>117.32183211530209</v>
      </c>
      <c r="EE10" s="146">
        <f t="shared" si="17"/>
        <v>117.35292323427164</v>
      </c>
      <c r="EF10" s="146">
        <f t="shared" ref="EF10:GQ10" si="18">EF30</f>
        <v>117.38249877823999</v>
      </c>
      <c r="EG10" s="146">
        <f t="shared" si="18"/>
        <v>117.41063238827795</v>
      </c>
      <c r="EH10" s="146">
        <f t="shared" si="18"/>
        <v>117.43739414997717</v>
      </c>
      <c r="EI10" s="146">
        <f t="shared" si="18"/>
        <v>117.46285076293684</v>
      </c>
      <c r="EJ10" s="146">
        <f t="shared" si="18"/>
        <v>117.48706570238066</v>
      </c>
      <c r="EK10" s="146">
        <f t="shared" si="18"/>
        <v>117.5100993732495</v>
      </c>
      <c r="EL10" s="146">
        <f t="shared" si="18"/>
        <v>117.53200925710084</v>
      </c>
      <c r="EM10" s="146">
        <f t="shared" si="18"/>
        <v>117.55285005213496</v>
      </c>
      <c r="EN10" s="146">
        <f t="shared" si="18"/>
        <v>117.57267380665374</v>
      </c>
      <c r="EO10" s="146">
        <f t="shared" si="18"/>
        <v>117.59153004624702</v>
      </c>
      <c r="EP10" s="146">
        <f t="shared" si="18"/>
        <v>117.60946589498857</v>
      </c>
      <c r="EQ10" s="146">
        <f t="shared" si="18"/>
        <v>117.62652619091335</v>
      </c>
      <c r="ER10" s="146">
        <f t="shared" si="18"/>
        <v>117.64275359603508</v>
      </c>
      <c r="ES10" s="146">
        <f t="shared" si="18"/>
        <v>117.65818870115399</v>
      </c>
      <c r="ET10" s="146">
        <f t="shared" si="18"/>
        <v>117.67287012569282</v>
      </c>
      <c r="EU10" s="146">
        <f t="shared" si="18"/>
        <v>117.68683461278957</v>
      </c>
      <c r="EV10" s="146">
        <f t="shared" si="18"/>
        <v>117.70011711986589</v>
      </c>
      <c r="EW10" s="146">
        <f t="shared" si="18"/>
        <v>117.71275090488015</v>
      </c>
      <c r="EX10" s="146">
        <f t="shared" si="18"/>
        <v>117.72476760846551</v>
      </c>
      <c r="EY10" s="146">
        <f t="shared" si="18"/>
        <v>117.73619733214413</v>
      </c>
      <c r="EZ10" s="146">
        <f t="shared" si="18"/>
        <v>117.74706871280077</v>
      </c>
      <c r="FA10" s="146">
        <f t="shared" si="18"/>
        <v>117.75740899359064</v>
      </c>
      <c r="FB10" s="146">
        <f t="shared" si="18"/>
        <v>117.76724409144848</v>
      </c>
      <c r="FC10" s="146">
        <f t="shared" si="18"/>
        <v>117.77659866135841</v>
      </c>
      <c r="FD10" s="146">
        <f t="shared" si="18"/>
        <v>117.78549615753732</v>
      </c>
      <c r="FE10" s="146">
        <f t="shared" si="18"/>
        <v>117.79395889167701</v>
      </c>
      <c r="FF10" s="146">
        <f t="shared" si="18"/>
        <v>117.80200808838426</v>
      </c>
      <c r="FG10" s="146">
        <f t="shared" si="18"/>
        <v>117.80966393795133</v>
      </c>
      <c r="FH10" s="146">
        <f t="shared" si="18"/>
        <v>117.81694564658355</v>
      </c>
      <c r="FI10" s="146">
        <f t="shared" si="18"/>
        <v>117.82387148420449</v>
      </c>
      <c r="FJ10" s="146">
        <f t="shared" si="18"/>
        <v>117.83045882995454</v>
      </c>
      <c r="FK10" s="146">
        <f t="shared" si="18"/>
        <v>117.83672421549169</v>
      </c>
      <c r="FL10" s="146">
        <f t="shared" si="18"/>
        <v>117.8426833662006</v>
      </c>
      <c r="FM10" s="146">
        <f t="shared" si="18"/>
        <v>117.84835124040882</v>
      </c>
      <c r="FN10" s="146">
        <f t="shared" si="18"/>
        <v>117.85374206670555</v>
      </c>
      <c r="FO10" s="146">
        <f t="shared" si="18"/>
        <v>117.85886937945486</v>
      </c>
      <c r="FP10" s="146">
        <f t="shared" si="18"/>
        <v>117.86374605258784</v>
      </c>
      <c r="FQ10" s="146">
        <f t="shared" si="18"/>
        <v>117.86838433175856</v>
      </c>
      <c r="FR10" s="146">
        <f t="shared" si="18"/>
        <v>117.87279586494037</v>
      </c>
      <c r="FS10" s="146">
        <f t="shared" si="18"/>
        <v>117.87699173153898</v>
      </c>
      <c r="FT10" s="146">
        <f t="shared" si="18"/>
        <v>117.88098247009246</v>
      </c>
      <c r="FU10" s="146">
        <f t="shared" si="18"/>
        <v>117.8847781046275</v>
      </c>
      <c r="FV10" s="146">
        <f t="shared" si="18"/>
        <v>117.88838816973507</v>
      </c>
      <c r="FW10" s="146">
        <f t="shared" si="18"/>
        <v>117.89182173442904</v>
      </c>
      <c r="FX10" s="146">
        <f t="shared" si="18"/>
        <v>117.89508742484452</v>
      </c>
      <c r="FY10" s="146">
        <f t="shared" si="18"/>
        <v>117.89819344583395</v>
      </c>
      <c r="FZ10" s="146">
        <f t="shared" si="18"/>
        <v>117.90114760151226</v>
      </c>
      <c r="GA10" s="146">
        <f t="shared" si="18"/>
        <v>117.90395731480365</v>
      </c>
      <c r="GB10" s="146">
        <f t="shared" si="18"/>
        <v>117.90662964603671</v>
      </c>
      <c r="GC10" s="146">
        <f t="shared" si="18"/>
        <v>117.90917131063534</v>
      </c>
      <c r="GD10" s="146">
        <f t="shared" si="18"/>
        <v>117.91158869594817</v>
      </c>
      <c r="GE10" s="146">
        <f t="shared" si="18"/>
        <v>117.9138878772589</v>
      </c>
      <c r="GF10" s="146">
        <f t="shared" si="18"/>
        <v>117.91607463301668</v>
      </c>
      <c r="GG10" s="146">
        <f t="shared" si="18"/>
        <v>117.91815445932511</v>
      </c>
      <c r="GH10" s="146">
        <f t="shared" si="18"/>
        <v>117.92013258372505</v>
      </c>
      <c r="GI10" s="146">
        <f t="shared" si="18"/>
        <v>117.92201397830601</v>
      </c>
      <c r="GJ10" s="146">
        <f t="shared" si="18"/>
        <v>117.92380337217851</v>
      </c>
      <c r="GK10" s="146">
        <f t="shared" si="18"/>
        <v>117.92550526333847</v>
      </c>
      <c r="GL10" s="146">
        <f t="shared" si="18"/>
        <v>117.92712392995331</v>
      </c>
      <c r="GM10" s="146">
        <f t="shared" si="18"/>
        <v>117.92866344109758</v>
      </c>
      <c r="GN10" s="146">
        <f t="shared" si="18"/>
        <v>117.93012766696513</v>
      </c>
      <c r="GO10" s="146">
        <f t="shared" si="18"/>
        <v>117.93152028858323</v>
      </c>
      <c r="GP10" s="146">
        <f t="shared" si="18"/>
        <v>117.93284480705285</v>
      </c>
      <c r="GQ10" s="146">
        <f t="shared" si="18"/>
        <v>117.93410455233784</v>
      </c>
      <c r="GR10" s="146">
        <f t="shared" ref="GR10:GZ10" si="19">GR30</f>
        <v>117.93530269162589</v>
      </c>
      <c r="GS10" s="146">
        <f t="shared" si="19"/>
        <v>117.93644223728074</v>
      </c>
      <c r="GT10" s="146">
        <f t="shared" si="19"/>
        <v>117.9375260544068</v>
      </c>
      <c r="GU10" s="146">
        <f t="shared" si="19"/>
        <v>117.93855686804442</v>
      </c>
      <c r="GV10" s="146">
        <f t="shared" si="19"/>
        <v>117.9395372700138</v>
      </c>
      <c r="GW10" s="146">
        <f t="shared" si="19"/>
        <v>117.94046972542502</v>
      </c>
      <c r="GX10" s="146">
        <f t="shared" si="19"/>
        <v>117.94135657886997</v>
      </c>
      <c r="GY10" s="146">
        <f t="shared" si="19"/>
        <v>117.94220006031212</v>
      </c>
      <c r="GZ10" s="146">
        <f t="shared" si="19"/>
        <v>117.94300229068865</v>
      </c>
    </row>
    <row r="11" spans="1:208" ht="12.95" customHeight="1" x14ac:dyDescent="0.2">
      <c r="B11" s="21"/>
      <c r="C11" s="21"/>
      <c r="D11" s="21"/>
      <c r="E11" s="21"/>
      <c r="F11" s="21"/>
      <c r="G11" s="21"/>
      <c r="I11" s="81"/>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row>
    <row r="12" spans="1:208" ht="12.95" customHeight="1" x14ac:dyDescent="0.25">
      <c r="B12" s="105" t="s">
        <v>945</v>
      </c>
      <c r="C12" s="106"/>
      <c r="D12" s="106"/>
      <c r="E12" s="106"/>
      <c r="F12" s="106"/>
      <c r="G12" s="106"/>
      <c r="H12" s="106"/>
      <c r="I12" s="106"/>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107"/>
      <c r="DM12" s="107"/>
      <c r="DN12" s="107"/>
      <c r="DO12" s="107"/>
      <c r="DP12" s="107"/>
      <c r="DQ12" s="107"/>
      <c r="DR12" s="107"/>
      <c r="DS12" s="107"/>
      <c r="DT12" s="107"/>
      <c r="DU12" s="107"/>
      <c r="DV12" s="107"/>
      <c r="DW12" s="107"/>
      <c r="DX12" s="107"/>
      <c r="DY12" s="107"/>
      <c r="DZ12" s="107"/>
      <c r="EA12" s="107"/>
      <c r="EB12" s="107"/>
      <c r="EC12" s="107"/>
      <c r="ED12" s="107"/>
      <c r="EE12" s="107"/>
      <c r="EF12" s="107"/>
      <c r="EG12" s="107"/>
      <c r="EH12" s="107"/>
      <c r="EI12" s="107"/>
      <c r="EJ12" s="107"/>
      <c r="EK12" s="107"/>
      <c r="EL12" s="107"/>
      <c r="EM12" s="107"/>
      <c r="EN12" s="107"/>
      <c r="EO12" s="107"/>
      <c r="EP12" s="107"/>
      <c r="EQ12" s="107"/>
      <c r="ER12" s="107"/>
      <c r="ES12" s="107"/>
      <c r="ET12" s="107"/>
      <c r="EU12" s="107"/>
      <c r="EV12" s="107"/>
      <c r="EW12" s="107"/>
      <c r="EX12" s="107"/>
      <c r="EY12" s="107"/>
      <c r="EZ12" s="107"/>
      <c r="FA12" s="107"/>
      <c r="FB12" s="107"/>
      <c r="FC12" s="107"/>
      <c r="FD12" s="107"/>
      <c r="FE12" s="107"/>
      <c r="FF12" s="107"/>
      <c r="FG12" s="107"/>
      <c r="FH12" s="107"/>
      <c r="FI12" s="107"/>
      <c r="FJ12" s="107"/>
      <c r="FK12" s="107"/>
      <c r="FL12" s="107"/>
      <c r="FM12" s="107"/>
      <c r="FN12" s="107"/>
      <c r="FO12" s="107"/>
      <c r="FP12" s="107"/>
      <c r="FQ12" s="107"/>
      <c r="FR12" s="107"/>
      <c r="FS12" s="107"/>
      <c r="FT12" s="107"/>
      <c r="FU12" s="107"/>
      <c r="FV12" s="107"/>
      <c r="FW12" s="107"/>
      <c r="FX12" s="107"/>
      <c r="FY12" s="107"/>
      <c r="FZ12" s="107"/>
      <c r="GA12" s="107"/>
      <c r="GB12" s="107"/>
      <c r="GC12" s="107"/>
      <c r="GD12" s="107"/>
      <c r="GE12" s="107"/>
      <c r="GF12" s="107"/>
      <c r="GG12" s="107"/>
      <c r="GH12" s="107"/>
      <c r="GI12" s="107"/>
      <c r="GJ12" s="107"/>
      <c r="GK12" s="107"/>
      <c r="GL12" s="107"/>
      <c r="GM12" s="107"/>
      <c r="GN12" s="107"/>
      <c r="GO12" s="107"/>
      <c r="GP12" s="107"/>
      <c r="GQ12" s="107"/>
      <c r="GR12" s="107"/>
      <c r="GS12" s="107"/>
      <c r="GT12" s="107"/>
      <c r="GU12" s="107"/>
      <c r="GV12" s="107"/>
      <c r="GW12" s="107"/>
      <c r="GX12" s="107"/>
      <c r="GY12" s="107"/>
      <c r="GZ12" s="161"/>
    </row>
    <row r="13" spans="1:208" ht="12.95" customHeight="1" x14ac:dyDescent="0.25">
      <c r="B13" s="19" t="s">
        <v>300</v>
      </c>
      <c r="C13" s="20"/>
      <c r="D13" s="20"/>
      <c r="E13" s="5" t="s">
        <v>0</v>
      </c>
      <c r="F13" s="5" t="s">
        <v>1</v>
      </c>
      <c r="G13" s="5" t="s">
        <v>305</v>
      </c>
      <c r="H13" s="5">
        <v>0</v>
      </c>
      <c r="I13" s="5">
        <v>1</v>
      </c>
      <c r="J13" s="5">
        <v>2</v>
      </c>
      <c r="K13" s="5">
        <v>3</v>
      </c>
      <c r="L13" s="5">
        <v>4</v>
      </c>
      <c r="M13" s="5">
        <v>5</v>
      </c>
      <c r="N13" s="5">
        <v>6</v>
      </c>
      <c r="O13" s="5">
        <v>7</v>
      </c>
      <c r="P13" s="5">
        <v>8</v>
      </c>
      <c r="Q13" s="5">
        <v>9</v>
      </c>
      <c r="R13" s="5">
        <v>10</v>
      </c>
      <c r="S13" s="5">
        <v>11</v>
      </c>
      <c r="T13" s="5">
        <v>12</v>
      </c>
      <c r="U13" s="5">
        <v>13</v>
      </c>
      <c r="V13" s="5">
        <v>14</v>
      </c>
      <c r="W13" s="5">
        <v>15</v>
      </c>
      <c r="X13" s="5">
        <v>16</v>
      </c>
      <c r="Y13" s="5">
        <v>17</v>
      </c>
      <c r="Z13" s="5">
        <v>18</v>
      </c>
      <c r="AA13" s="5">
        <v>19</v>
      </c>
      <c r="AB13" s="5">
        <v>20</v>
      </c>
      <c r="AC13" s="5">
        <v>21</v>
      </c>
      <c r="AD13" s="5">
        <v>22</v>
      </c>
      <c r="AE13" s="5">
        <v>23</v>
      </c>
      <c r="AF13" s="5">
        <v>24</v>
      </c>
      <c r="AG13" s="5">
        <v>25</v>
      </c>
      <c r="AH13" s="5">
        <v>26</v>
      </c>
      <c r="AI13" s="5">
        <v>27</v>
      </c>
      <c r="AJ13" s="5">
        <v>28</v>
      </c>
      <c r="AK13" s="5">
        <v>29</v>
      </c>
      <c r="AL13" s="5">
        <v>30</v>
      </c>
      <c r="AM13" s="5">
        <v>31</v>
      </c>
      <c r="AN13" s="5">
        <v>32</v>
      </c>
      <c r="AO13" s="5">
        <v>33</v>
      </c>
      <c r="AP13" s="5">
        <v>34</v>
      </c>
      <c r="AQ13" s="5">
        <v>35</v>
      </c>
      <c r="AR13" s="5">
        <v>36</v>
      </c>
      <c r="AS13" s="5">
        <v>37</v>
      </c>
      <c r="AT13" s="5">
        <v>38</v>
      </c>
      <c r="AU13" s="5">
        <v>39</v>
      </c>
      <c r="AV13" s="5">
        <v>40</v>
      </c>
      <c r="AW13" s="5">
        <v>41</v>
      </c>
      <c r="AX13" s="5">
        <v>42</v>
      </c>
      <c r="AY13" s="5">
        <v>43</v>
      </c>
      <c r="AZ13" s="5">
        <v>44</v>
      </c>
      <c r="BA13" s="5">
        <v>45</v>
      </c>
      <c r="BB13" s="5">
        <v>46</v>
      </c>
      <c r="BC13" s="5">
        <v>47</v>
      </c>
      <c r="BD13" s="5">
        <v>48</v>
      </c>
      <c r="BE13" s="5">
        <v>49</v>
      </c>
      <c r="BF13" s="5">
        <v>50</v>
      </c>
      <c r="BG13" s="5">
        <v>51</v>
      </c>
      <c r="BH13" s="5">
        <v>52</v>
      </c>
      <c r="BI13" s="5">
        <v>53</v>
      </c>
      <c r="BJ13" s="5">
        <v>54</v>
      </c>
      <c r="BK13" s="5">
        <v>55</v>
      </c>
      <c r="BL13" s="5">
        <v>56</v>
      </c>
      <c r="BM13" s="5">
        <v>57</v>
      </c>
      <c r="BN13" s="5">
        <v>58</v>
      </c>
      <c r="BO13" s="5">
        <v>59</v>
      </c>
      <c r="BP13" s="5">
        <v>60</v>
      </c>
      <c r="BQ13" s="5">
        <v>61</v>
      </c>
      <c r="BR13" s="5">
        <v>62</v>
      </c>
      <c r="BS13" s="5">
        <v>63</v>
      </c>
      <c r="BT13" s="5">
        <v>64</v>
      </c>
      <c r="BU13" s="5">
        <v>65</v>
      </c>
      <c r="BV13" s="5">
        <v>66</v>
      </c>
      <c r="BW13" s="5">
        <v>67</v>
      </c>
      <c r="BX13" s="5">
        <v>68</v>
      </c>
      <c r="BY13" s="5">
        <v>69</v>
      </c>
      <c r="BZ13" s="5">
        <v>70</v>
      </c>
      <c r="CA13" s="5">
        <v>71</v>
      </c>
      <c r="CB13" s="5">
        <v>72</v>
      </c>
      <c r="CC13" s="5">
        <v>73</v>
      </c>
      <c r="CD13" s="5">
        <v>74</v>
      </c>
      <c r="CE13" s="5">
        <v>75</v>
      </c>
      <c r="CF13" s="5">
        <v>76</v>
      </c>
      <c r="CG13" s="5">
        <v>77</v>
      </c>
      <c r="CH13" s="5">
        <v>78</v>
      </c>
      <c r="CI13" s="5">
        <v>79</v>
      </c>
      <c r="CJ13" s="5">
        <v>80</v>
      </c>
      <c r="CK13" s="5">
        <v>81</v>
      </c>
      <c r="CL13" s="5">
        <v>82</v>
      </c>
      <c r="CM13" s="5">
        <v>83</v>
      </c>
      <c r="CN13" s="5">
        <v>84</v>
      </c>
      <c r="CO13" s="5">
        <v>85</v>
      </c>
      <c r="CP13" s="5">
        <v>86</v>
      </c>
      <c r="CQ13" s="5">
        <v>87</v>
      </c>
      <c r="CR13" s="5">
        <v>88</v>
      </c>
      <c r="CS13" s="5">
        <v>89</v>
      </c>
      <c r="CT13" s="5">
        <v>90</v>
      </c>
      <c r="CU13" s="5">
        <v>91</v>
      </c>
      <c r="CV13" s="5">
        <v>92</v>
      </c>
      <c r="CW13" s="5">
        <v>93</v>
      </c>
      <c r="CX13" s="5">
        <v>94</v>
      </c>
      <c r="CY13" s="5">
        <v>95</v>
      </c>
      <c r="CZ13" s="5">
        <v>96</v>
      </c>
      <c r="DA13" s="5">
        <v>97</v>
      </c>
      <c r="DB13" s="5">
        <v>98</v>
      </c>
      <c r="DC13" s="5">
        <v>99</v>
      </c>
      <c r="DD13" s="5">
        <v>100</v>
      </c>
      <c r="DE13" s="5">
        <v>101</v>
      </c>
      <c r="DF13" s="5">
        <v>102</v>
      </c>
      <c r="DG13" s="5">
        <v>103</v>
      </c>
      <c r="DH13" s="5">
        <v>104</v>
      </c>
      <c r="DI13" s="5">
        <v>105</v>
      </c>
      <c r="DJ13" s="5">
        <v>106</v>
      </c>
      <c r="DK13" s="5">
        <v>107</v>
      </c>
      <c r="DL13" s="5">
        <v>108</v>
      </c>
      <c r="DM13" s="5">
        <v>109</v>
      </c>
      <c r="DN13" s="5">
        <v>110</v>
      </c>
      <c r="DO13" s="5">
        <v>111</v>
      </c>
      <c r="DP13" s="5">
        <v>112</v>
      </c>
      <c r="DQ13" s="5">
        <v>113</v>
      </c>
      <c r="DR13" s="5">
        <v>114</v>
      </c>
      <c r="DS13" s="5">
        <v>115</v>
      </c>
      <c r="DT13" s="5">
        <v>116</v>
      </c>
      <c r="DU13" s="5">
        <v>117</v>
      </c>
      <c r="DV13" s="5">
        <v>118</v>
      </c>
      <c r="DW13" s="5">
        <v>119</v>
      </c>
      <c r="DX13" s="5">
        <v>120</v>
      </c>
      <c r="DY13" s="5">
        <v>121</v>
      </c>
      <c r="DZ13" s="5">
        <v>122</v>
      </c>
      <c r="EA13" s="5">
        <v>123</v>
      </c>
      <c r="EB13" s="5">
        <v>124</v>
      </c>
      <c r="EC13" s="5">
        <v>125</v>
      </c>
      <c r="ED13" s="5">
        <v>126</v>
      </c>
      <c r="EE13" s="5">
        <v>127</v>
      </c>
      <c r="EF13" s="5">
        <v>128</v>
      </c>
      <c r="EG13" s="5">
        <v>129</v>
      </c>
      <c r="EH13" s="5">
        <v>130</v>
      </c>
      <c r="EI13" s="5">
        <v>131</v>
      </c>
      <c r="EJ13" s="5">
        <v>132</v>
      </c>
      <c r="EK13" s="5">
        <v>133</v>
      </c>
      <c r="EL13" s="5">
        <v>134</v>
      </c>
      <c r="EM13" s="5">
        <v>135</v>
      </c>
      <c r="EN13" s="5">
        <v>136</v>
      </c>
      <c r="EO13" s="5">
        <v>137</v>
      </c>
      <c r="EP13" s="5">
        <v>138</v>
      </c>
      <c r="EQ13" s="5">
        <v>139</v>
      </c>
      <c r="ER13" s="5">
        <v>140</v>
      </c>
      <c r="ES13" s="5">
        <v>141</v>
      </c>
      <c r="ET13" s="5">
        <v>142</v>
      </c>
      <c r="EU13" s="5">
        <v>143</v>
      </c>
      <c r="EV13" s="5">
        <v>144</v>
      </c>
      <c r="EW13" s="5">
        <v>145</v>
      </c>
      <c r="EX13" s="5">
        <v>146</v>
      </c>
      <c r="EY13" s="5">
        <v>147</v>
      </c>
      <c r="EZ13" s="5">
        <v>148</v>
      </c>
      <c r="FA13" s="5">
        <v>149</v>
      </c>
      <c r="FB13" s="5">
        <v>150</v>
      </c>
      <c r="FC13" s="5">
        <v>151</v>
      </c>
      <c r="FD13" s="5">
        <v>152</v>
      </c>
      <c r="FE13" s="5">
        <v>153</v>
      </c>
      <c r="FF13" s="5">
        <v>154</v>
      </c>
      <c r="FG13" s="5">
        <v>155</v>
      </c>
      <c r="FH13" s="5">
        <v>156</v>
      </c>
      <c r="FI13" s="5">
        <v>157</v>
      </c>
      <c r="FJ13" s="5">
        <v>158</v>
      </c>
      <c r="FK13" s="5">
        <v>159</v>
      </c>
      <c r="FL13" s="5">
        <v>160</v>
      </c>
      <c r="FM13" s="5">
        <v>161</v>
      </c>
      <c r="FN13" s="5">
        <v>162</v>
      </c>
      <c r="FO13" s="5">
        <v>163</v>
      </c>
      <c r="FP13" s="5">
        <v>164</v>
      </c>
      <c r="FQ13" s="5">
        <v>165</v>
      </c>
      <c r="FR13" s="5">
        <v>166</v>
      </c>
      <c r="FS13" s="5">
        <v>167</v>
      </c>
      <c r="FT13" s="5">
        <v>168</v>
      </c>
      <c r="FU13" s="5">
        <v>169</v>
      </c>
      <c r="FV13" s="5">
        <v>170</v>
      </c>
      <c r="FW13" s="5">
        <v>171</v>
      </c>
      <c r="FX13" s="5">
        <v>172</v>
      </c>
      <c r="FY13" s="5">
        <v>173</v>
      </c>
      <c r="FZ13" s="5">
        <v>174</v>
      </c>
      <c r="GA13" s="5">
        <v>175</v>
      </c>
      <c r="GB13" s="5">
        <v>176</v>
      </c>
      <c r="GC13" s="5">
        <v>177</v>
      </c>
      <c r="GD13" s="5">
        <v>178</v>
      </c>
      <c r="GE13" s="5">
        <v>179</v>
      </c>
      <c r="GF13" s="5">
        <v>180</v>
      </c>
      <c r="GG13" s="5">
        <v>181</v>
      </c>
      <c r="GH13" s="5">
        <v>182</v>
      </c>
      <c r="GI13" s="5">
        <v>183</v>
      </c>
      <c r="GJ13" s="5">
        <v>184</v>
      </c>
      <c r="GK13" s="5">
        <v>185</v>
      </c>
      <c r="GL13" s="5">
        <v>186</v>
      </c>
      <c r="GM13" s="5">
        <v>187</v>
      </c>
      <c r="GN13" s="5">
        <v>188</v>
      </c>
      <c r="GO13" s="5">
        <v>189</v>
      </c>
      <c r="GP13" s="5">
        <v>190</v>
      </c>
      <c r="GQ13" s="5">
        <v>191</v>
      </c>
      <c r="GR13" s="5">
        <v>192</v>
      </c>
      <c r="GS13" s="5">
        <v>193</v>
      </c>
      <c r="GT13" s="5">
        <v>194</v>
      </c>
      <c r="GU13" s="5">
        <v>195</v>
      </c>
      <c r="GV13" s="5">
        <v>196</v>
      </c>
      <c r="GW13" s="5">
        <v>197</v>
      </c>
      <c r="GX13" s="5">
        <v>198</v>
      </c>
      <c r="GY13" s="5">
        <v>199</v>
      </c>
      <c r="GZ13" s="5">
        <v>200</v>
      </c>
    </row>
    <row r="14" spans="1:208" ht="12.95" customHeight="1" x14ac:dyDescent="0.2">
      <c r="B14" s="54" t="s">
        <v>400</v>
      </c>
      <c r="E14" s="164">
        <v>29.4</v>
      </c>
      <c r="F14" s="54" t="s">
        <v>395</v>
      </c>
      <c r="G14" s="78" t="s">
        <v>1262</v>
      </c>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row>
    <row r="15" spans="1:208" ht="12.95" customHeight="1" x14ac:dyDescent="0.2">
      <c r="B15" s="118" t="s">
        <v>394</v>
      </c>
      <c r="E15" s="165">
        <v>2.34</v>
      </c>
      <c r="F15" s="54" t="s">
        <v>4</v>
      </c>
      <c r="G15" s="78" t="s">
        <v>1262</v>
      </c>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row>
    <row r="16" spans="1:208" ht="12.95" customHeight="1" x14ac:dyDescent="0.2">
      <c r="B16" s="118" t="s">
        <v>397</v>
      </c>
      <c r="E16" s="165">
        <v>5.34</v>
      </c>
      <c r="F16" s="54" t="s">
        <v>396</v>
      </c>
      <c r="G16" s="78" t="s">
        <v>1262</v>
      </c>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row>
    <row r="17" spans="2:208" ht="12.95" customHeight="1" x14ac:dyDescent="0.2">
      <c r="B17" s="118" t="s">
        <v>577</v>
      </c>
      <c r="F17" s="54" t="s">
        <v>395</v>
      </c>
      <c r="H17" s="146">
        <v>0</v>
      </c>
      <c r="I17" s="146">
        <f t="shared" ref="I17:AN17" si="20">$E$14*(1-EXP(-I13/$E$15))^$E$16</f>
        <v>0.10442733828597339</v>
      </c>
      <c r="J17" s="146">
        <f t="shared" si="20"/>
        <v>1.525167867693304</v>
      </c>
      <c r="K17" s="146">
        <f t="shared" si="20"/>
        <v>5.1837686199986015</v>
      </c>
      <c r="L17" s="146">
        <f t="shared" si="20"/>
        <v>10.124110763786708</v>
      </c>
      <c r="M17" s="146">
        <f t="shared" si="20"/>
        <v>15.033175614903744</v>
      </c>
      <c r="N17" s="146">
        <f t="shared" si="20"/>
        <v>19.166991741648051</v>
      </c>
      <c r="O17" s="146">
        <f t="shared" si="20"/>
        <v>22.32892818343981</v>
      </c>
      <c r="P17" s="146">
        <f t="shared" si="20"/>
        <v>24.610495271011789</v>
      </c>
      <c r="Q17" s="146">
        <f t="shared" si="20"/>
        <v>26.198102076037593</v>
      </c>
      <c r="R17" s="146">
        <f t="shared" si="20"/>
        <v>27.277711881022622</v>
      </c>
      <c r="S17" s="146">
        <f t="shared" si="20"/>
        <v>28.001149072508561</v>
      </c>
      <c r="T17" s="146">
        <f t="shared" si="20"/>
        <v>28.481344925123462</v>
      </c>
      <c r="U17" s="146">
        <f t="shared" si="20"/>
        <v>28.798135734419169</v>
      </c>
      <c r="V17" s="146">
        <f t="shared" si="20"/>
        <v>29.006296380433795</v>
      </c>
      <c r="W17" s="146">
        <f t="shared" si="20"/>
        <v>29.14272370731311</v>
      </c>
      <c r="X17" s="146">
        <f t="shared" si="20"/>
        <v>29.231987034552965</v>
      </c>
      <c r="Y17" s="146">
        <f t="shared" si="20"/>
        <v>29.290327333322292</v>
      </c>
      <c r="Z17" s="146">
        <f t="shared" si="20"/>
        <v>29.328429877456351</v>
      </c>
      <c r="AA17" s="146">
        <f t="shared" si="20"/>
        <v>29.353303387053302</v>
      </c>
      <c r="AB17" s="146">
        <f t="shared" si="20"/>
        <v>29.369535995373578</v>
      </c>
      <c r="AC17" s="146">
        <f t="shared" si="20"/>
        <v>29.380127400403801</v>
      </c>
      <c r="AD17" s="146">
        <f t="shared" si="20"/>
        <v>29.387037157437746</v>
      </c>
      <c r="AE17" s="146">
        <f t="shared" si="20"/>
        <v>29.391544654085816</v>
      </c>
      <c r="AF17" s="146">
        <f t="shared" si="20"/>
        <v>29.394484903697649</v>
      </c>
      <c r="AG17" s="146">
        <f t="shared" si="20"/>
        <v>29.396402766063698</v>
      </c>
      <c r="AH17" s="146">
        <f t="shared" si="20"/>
        <v>29.397653717727351</v>
      </c>
      <c r="AI17" s="146">
        <f t="shared" si="20"/>
        <v>29.398469655436475</v>
      </c>
      <c r="AJ17" s="146">
        <f t="shared" si="20"/>
        <v>29.399001848445678</v>
      </c>
      <c r="AK17" s="146">
        <f t="shared" si="20"/>
        <v>29.399348967546032</v>
      </c>
      <c r="AL17" s="146">
        <f t="shared" si="20"/>
        <v>29.399575372550309</v>
      </c>
      <c r="AM17" s="146">
        <f t="shared" si="20"/>
        <v>29.39972304257077</v>
      </c>
      <c r="AN17" s="146">
        <f t="shared" si="20"/>
        <v>29.399819358444169</v>
      </c>
      <c r="AO17" s="146">
        <f t="shared" ref="AO17:BT17" si="21">$E$14*(1-EXP(-AO13/$E$15))^$E$16</f>
        <v>29.399882179161349</v>
      </c>
      <c r="AP17" s="146">
        <f t="shared" si="21"/>
        <v>29.399923153087517</v>
      </c>
      <c r="AQ17" s="146">
        <f t="shared" si="21"/>
        <v>29.399949877739271</v>
      </c>
      <c r="AR17" s="146">
        <f t="shared" si="21"/>
        <v>29.399967308501843</v>
      </c>
      <c r="AS17" s="146">
        <f t="shared" si="21"/>
        <v>29.39997867745895</v>
      </c>
      <c r="AT17" s="146">
        <f t="shared" si="21"/>
        <v>29.399986092692046</v>
      </c>
      <c r="AU17" s="146">
        <f t="shared" si="21"/>
        <v>29.399990929167064</v>
      </c>
      <c r="AV17" s="146">
        <f t="shared" si="21"/>
        <v>29.399994083685478</v>
      </c>
      <c r="AW17" s="146">
        <f t="shared" si="21"/>
        <v>29.399996141172764</v>
      </c>
      <c r="AX17" s="146">
        <f t="shared" si="21"/>
        <v>29.39999748313797</v>
      </c>
      <c r="AY17" s="146">
        <f t="shared" si="21"/>
        <v>29.399998358414589</v>
      </c>
      <c r="AZ17" s="146">
        <f t="shared" si="21"/>
        <v>29.399998929300608</v>
      </c>
      <c r="BA17" s="146">
        <f t="shared" si="21"/>
        <v>29.399999301652432</v>
      </c>
      <c r="BB17" s="146">
        <f t="shared" si="21"/>
        <v>29.399999544513317</v>
      </c>
      <c r="BC17" s="146">
        <f t="shared" si="21"/>
        <v>29.399999702915654</v>
      </c>
      <c r="BD17" s="146">
        <f t="shared" si="21"/>
        <v>29.399999806231204</v>
      </c>
      <c r="BE17" s="146">
        <f t="shared" si="21"/>
        <v>29.399999873617215</v>
      </c>
      <c r="BF17" s="146">
        <f t="shared" si="21"/>
        <v>29.399999917568728</v>
      </c>
      <c r="BG17" s="146">
        <f t="shared" si="21"/>
        <v>29.399999946235454</v>
      </c>
      <c r="BH17" s="146">
        <f t="shared" si="21"/>
        <v>29.399999964932885</v>
      </c>
      <c r="BI17" s="146">
        <f t="shared" si="21"/>
        <v>29.399999977128001</v>
      </c>
      <c r="BJ17" s="146">
        <f t="shared" si="21"/>
        <v>29.399999985082083</v>
      </c>
      <c r="BK17" s="146">
        <f t="shared" si="21"/>
        <v>29.399999990270018</v>
      </c>
      <c r="BL17" s="146">
        <f t="shared" si="21"/>
        <v>29.399999993653768</v>
      </c>
      <c r="BM17" s="146">
        <f t="shared" si="21"/>
        <v>29.39999999586076</v>
      </c>
      <c r="BN17" s="146">
        <f t="shared" si="21"/>
        <v>29.399999997300238</v>
      </c>
      <c r="BO17" s="146">
        <f t="shared" si="21"/>
        <v>29.399999998239124</v>
      </c>
      <c r="BP17" s="146">
        <f t="shared" si="21"/>
        <v>29.399999998851499</v>
      </c>
      <c r="BQ17" s="146">
        <f t="shared" si="21"/>
        <v>29.399999999250909</v>
      </c>
      <c r="BR17" s="146">
        <f t="shared" si="21"/>
        <v>29.399999999511415</v>
      </c>
      <c r="BS17" s="146">
        <f t="shared" si="21"/>
        <v>29.399999999681327</v>
      </c>
      <c r="BT17" s="146">
        <f t="shared" si="21"/>
        <v>29.399999999792144</v>
      </c>
      <c r="BU17" s="146">
        <f t="shared" ref="BU17:CZ17" si="22">$E$14*(1-EXP(-BU13/$E$15))^$E$16</f>
        <v>29.399999999864427</v>
      </c>
      <c r="BV17" s="146">
        <f t="shared" si="22"/>
        <v>29.399999999911575</v>
      </c>
      <c r="BW17" s="146">
        <f t="shared" si="22"/>
        <v>29.399999999942324</v>
      </c>
      <c r="BX17" s="146">
        <f t="shared" si="22"/>
        <v>29.399999999962382</v>
      </c>
      <c r="BY17" s="146">
        <f t="shared" si="22"/>
        <v>29.399999999975456</v>
      </c>
      <c r="BZ17" s="146">
        <f t="shared" si="22"/>
        <v>29.399999999983997</v>
      </c>
      <c r="CA17" s="146">
        <f t="shared" si="22"/>
        <v>29.399999999989557</v>
      </c>
      <c r="CB17" s="146">
        <f t="shared" si="22"/>
        <v>29.399999999993184</v>
      </c>
      <c r="CC17" s="146">
        <f t="shared" si="22"/>
        <v>29.399999999995554</v>
      </c>
      <c r="CD17" s="146">
        <f t="shared" si="22"/>
        <v>29.399999999997107</v>
      </c>
      <c r="CE17" s="146">
        <f t="shared" si="22"/>
        <v>29.399999999998116</v>
      </c>
      <c r="CF17" s="146">
        <f t="shared" si="22"/>
        <v>29.399999999998762</v>
      </c>
      <c r="CG17" s="146">
        <f t="shared" si="22"/>
        <v>29.399999999999196</v>
      </c>
      <c r="CH17" s="146">
        <f t="shared" si="22"/>
        <v>29.399999999999476</v>
      </c>
      <c r="CI17" s="146">
        <f t="shared" si="22"/>
        <v>29.39999999999965</v>
      </c>
      <c r="CJ17" s="146">
        <f t="shared" si="22"/>
        <v>29.399999999999775</v>
      </c>
      <c r="CK17" s="146">
        <f t="shared" si="22"/>
        <v>29.399999999999856</v>
      </c>
      <c r="CL17" s="146">
        <f t="shared" si="22"/>
        <v>29.39999999999991</v>
      </c>
      <c r="CM17" s="146">
        <f t="shared" si="22"/>
        <v>29.399999999999931</v>
      </c>
      <c r="CN17" s="146">
        <f t="shared" si="22"/>
        <v>29.399999999999963</v>
      </c>
      <c r="CO17" s="146">
        <f t="shared" si="22"/>
        <v>29.399999999999963</v>
      </c>
      <c r="CP17" s="146">
        <f t="shared" si="22"/>
        <v>29.399999999999981</v>
      </c>
      <c r="CQ17" s="146">
        <f t="shared" si="22"/>
        <v>29.399999999999981</v>
      </c>
      <c r="CR17" s="146">
        <f t="shared" si="22"/>
        <v>29.4</v>
      </c>
      <c r="CS17" s="146">
        <f t="shared" si="22"/>
        <v>29.4</v>
      </c>
      <c r="CT17" s="146">
        <f t="shared" si="22"/>
        <v>29.4</v>
      </c>
      <c r="CU17" s="146">
        <f t="shared" si="22"/>
        <v>29.4</v>
      </c>
      <c r="CV17" s="146">
        <f t="shared" si="22"/>
        <v>29.4</v>
      </c>
      <c r="CW17" s="146">
        <f t="shared" si="22"/>
        <v>29.4</v>
      </c>
      <c r="CX17" s="146">
        <f t="shared" si="22"/>
        <v>29.4</v>
      </c>
      <c r="CY17" s="146">
        <f t="shared" si="22"/>
        <v>29.4</v>
      </c>
      <c r="CZ17" s="146">
        <f t="shared" si="22"/>
        <v>29.4</v>
      </c>
      <c r="DA17" s="146">
        <f t="shared" ref="DA17:EF17" si="23">$E$14*(1-EXP(-DA13/$E$15))^$E$16</f>
        <v>29.4</v>
      </c>
      <c r="DB17" s="146">
        <f t="shared" si="23"/>
        <v>29.4</v>
      </c>
      <c r="DC17" s="146">
        <f t="shared" si="23"/>
        <v>29.4</v>
      </c>
      <c r="DD17" s="146">
        <f t="shared" si="23"/>
        <v>29.4</v>
      </c>
      <c r="DE17" s="146">
        <f t="shared" si="23"/>
        <v>29.4</v>
      </c>
      <c r="DF17" s="146">
        <f t="shared" si="23"/>
        <v>29.4</v>
      </c>
      <c r="DG17" s="146">
        <f t="shared" si="23"/>
        <v>29.4</v>
      </c>
      <c r="DH17" s="146">
        <f t="shared" si="23"/>
        <v>29.4</v>
      </c>
      <c r="DI17" s="146">
        <f t="shared" si="23"/>
        <v>29.4</v>
      </c>
      <c r="DJ17" s="146">
        <f t="shared" si="23"/>
        <v>29.4</v>
      </c>
      <c r="DK17" s="146">
        <f t="shared" si="23"/>
        <v>29.4</v>
      </c>
      <c r="DL17" s="146">
        <f t="shared" si="23"/>
        <v>29.4</v>
      </c>
      <c r="DM17" s="146">
        <f t="shared" si="23"/>
        <v>29.4</v>
      </c>
      <c r="DN17" s="146">
        <f t="shared" si="23"/>
        <v>29.4</v>
      </c>
      <c r="DO17" s="146">
        <f t="shared" si="23"/>
        <v>29.4</v>
      </c>
      <c r="DP17" s="146">
        <f t="shared" si="23"/>
        <v>29.4</v>
      </c>
      <c r="DQ17" s="146">
        <f t="shared" si="23"/>
        <v>29.4</v>
      </c>
      <c r="DR17" s="146">
        <f t="shared" si="23"/>
        <v>29.4</v>
      </c>
      <c r="DS17" s="146">
        <f t="shared" si="23"/>
        <v>29.4</v>
      </c>
      <c r="DT17" s="146">
        <f t="shared" si="23"/>
        <v>29.4</v>
      </c>
      <c r="DU17" s="146">
        <f t="shared" si="23"/>
        <v>29.4</v>
      </c>
      <c r="DV17" s="146">
        <f t="shared" si="23"/>
        <v>29.4</v>
      </c>
      <c r="DW17" s="146">
        <f t="shared" si="23"/>
        <v>29.4</v>
      </c>
      <c r="DX17" s="146">
        <f t="shared" si="23"/>
        <v>29.4</v>
      </c>
      <c r="DY17" s="146">
        <f t="shared" si="23"/>
        <v>29.4</v>
      </c>
      <c r="DZ17" s="146">
        <f t="shared" si="23"/>
        <v>29.4</v>
      </c>
      <c r="EA17" s="146">
        <f t="shared" si="23"/>
        <v>29.4</v>
      </c>
      <c r="EB17" s="146">
        <f t="shared" si="23"/>
        <v>29.4</v>
      </c>
      <c r="EC17" s="146">
        <f t="shared" si="23"/>
        <v>29.4</v>
      </c>
      <c r="ED17" s="146">
        <f t="shared" si="23"/>
        <v>29.4</v>
      </c>
      <c r="EE17" s="146">
        <f t="shared" si="23"/>
        <v>29.4</v>
      </c>
      <c r="EF17" s="146">
        <f t="shared" si="23"/>
        <v>29.4</v>
      </c>
      <c r="EG17" s="146">
        <f t="shared" ref="EG17:FL17" si="24">$E$14*(1-EXP(-EG13/$E$15))^$E$16</f>
        <v>29.4</v>
      </c>
      <c r="EH17" s="146">
        <f t="shared" si="24"/>
        <v>29.4</v>
      </c>
      <c r="EI17" s="146">
        <f t="shared" si="24"/>
        <v>29.4</v>
      </c>
      <c r="EJ17" s="146">
        <f t="shared" si="24"/>
        <v>29.4</v>
      </c>
      <c r="EK17" s="146">
        <f t="shared" si="24"/>
        <v>29.4</v>
      </c>
      <c r="EL17" s="146">
        <f t="shared" si="24"/>
        <v>29.4</v>
      </c>
      <c r="EM17" s="146">
        <f t="shared" si="24"/>
        <v>29.4</v>
      </c>
      <c r="EN17" s="146">
        <f t="shared" si="24"/>
        <v>29.4</v>
      </c>
      <c r="EO17" s="146">
        <f t="shared" si="24"/>
        <v>29.4</v>
      </c>
      <c r="EP17" s="146">
        <f t="shared" si="24"/>
        <v>29.4</v>
      </c>
      <c r="EQ17" s="146">
        <f t="shared" si="24"/>
        <v>29.4</v>
      </c>
      <c r="ER17" s="146">
        <f t="shared" si="24"/>
        <v>29.4</v>
      </c>
      <c r="ES17" s="146">
        <f t="shared" si="24"/>
        <v>29.4</v>
      </c>
      <c r="ET17" s="146">
        <f t="shared" si="24"/>
        <v>29.4</v>
      </c>
      <c r="EU17" s="146">
        <f t="shared" si="24"/>
        <v>29.4</v>
      </c>
      <c r="EV17" s="146">
        <f t="shared" si="24"/>
        <v>29.4</v>
      </c>
      <c r="EW17" s="146">
        <f t="shared" si="24"/>
        <v>29.4</v>
      </c>
      <c r="EX17" s="146">
        <f t="shared" si="24"/>
        <v>29.4</v>
      </c>
      <c r="EY17" s="146">
        <f t="shared" si="24"/>
        <v>29.4</v>
      </c>
      <c r="EZ17" s="146">
        <f t="shared" si="24"/>
        <v>29.4</v>
      </c>
      <c r="FA17" s="146">
        <f t="shared" si="24"/>
        <v>29.4</v>
      </c>
      <c r="FB17" s="146">
        <f t="shared" si="24"/>
        <v>29.4</v>
      </c>
      <c r="FC17" s="146">
        <f t="shared" si="24"/>
        <v>29.4</v>
      </c>
      <c r="FD17" s="146">
        <f t="shared" si="24"/>
        <v>29.4</v>
      </c>
      <c r="FE17" s="146">
        <f t="shared" si="24"/>
        <v>29.4</v>
      </c>
      <c r="FF17" s="146">
        <f t="shared" si="24"/>
        <v>29.4</v>
      </c>
      <c r="FG17" s="146">
        <f t="shared" si="24"/>
        <v>29.4</v>
      </c>
      <c r="FH17" s="146">
        <f t="shared" si="24"/>
        <v>29.4</v>
      </c>
      <c r="FI17" s="146">
        <f t="shared" si="24"/>
        <v>29.4</v>
      </c>
      <c r="FJ17" s="146">
        <f t="shared" si="24"/>
        <v>29.4</v>
      </c>
      <c r="FK17" s="146">
        <f t="shared" si="24"/>
        <v>29.4</v>
      </c>
      <c r="FL17" s="146">
        <f t="shared" si="24"/>
        <v>29.4</v>
      </c>
      <c r="FM17" s="146">
        <f t="shared" ref="FM17:GR17" si="25">$E$14*(1-EXP(-FM13/$E$15))^$E$16</f>
        <v>29.4</v>
      </c>
      <c r="FN17" s="146">
        <f t="shared" si="25"/>
        <v>29.4</v>
      </c>
      <c r="FO17" s="146">
        <f t="shared" si="25"/>
        <v>29.4</v>
      </c>
      <c r="FP17" s="146">
        <f t="shared" si="25"/>
        <v>29.4</v>
      </c>
      <c r="FQ17" s="146">
        <f t="shared" si="25"/>
        <v>29.4</v>
      </c>
      <c r="FR17" s="146">
        <f t="shared" si="25"/>
        <v>29.4</v>
      </c>
      <c r="FS17" s="146">
        <f t="shared" si="25"/>
        <v>29.4</v>
      </c>
      <c r="FT17" s="146">
        <f t="shared" si="25"/>
        <v>29.4</v>
      </c>
      <c r="FU17" s="146">
        <f t="shared" si="25"/>
        <v>29.4</v>
      </c>
      <c r="FV17" s="146">
        <f t="shared" si="25"/>
        <v>29.4</v>
      </c>
      <c r="FW17" s="146">
        <f t="shared" si="25"/>
        <v>29.4</v>
      </c>
      <c r="FX17" s="146">
        <f t="shared" si="25"/>
        <v>29.4</v>
      </c>
      <c r="FY17" s="146">
        <f t="shared" si="25"/>
        <v>29.4</v>
      </c>
      <c r="FZ17" s="146">
        <f t="shared" si="25"/>
        <v>29.4</v>
      </c>
      <c r="GA17" s="146">
        <f t="shared" si="25"/>
        <v>29.4</v>
      </c>
      <c r="GB17" s="146">
        <f t="shared" si="25"/>
        <v>29.4</v>
      </c>
      <c r="GC17" s="146">
        <f t="shared" si="25"/>
        <v>29.4</v>
      </c>
      <c r="GD17" s="146">
        <f t="shared" si="25"/>
        <v>29.4</v>
      </c>
      <c r="GE17" s="146">
        <f t="shared" si="25"/>
        <v>29.4</v>
      </c>
      <c r="GF17" s="146">
        <f t="shared" si="25"/>
        <v>29.4</v>
      </c>
      <c r="GG17" s="146">
        <f t="shared" si="25"/>
        <v>29.4</v>
      </c>
      <c r="GH17" s="146">
        <f t="shared" si="25"/>
        <v>29.4</v>
      </c>
      <c r="GI17" s="146">
        <f t="shared" si="25"/>
        <v>29.4</v>
      </c>
      <c r="GJ17" s="146">
        <f t="shared" si="25"/>
        <v>29.4</v>
      </c>
      <c r="GK17" s="146">
        <f t="shared" si="25"/>
        <v>29.4</v>
      </c>
      <c r="GL17" s="146">
        <f t="shared" si="25"/>
        <v>29.4</v>
      </c>
      <c r="GM17" s="146">
        <f t="shared" si="25"/>
        <v>29.4</v>
      </c>
      <c r="GN17" s="146">
        <f t="shared" si="25"/>
        <v>29.4</v>
      </c>
      <c r="GO17" s="146">
        <f t="shared" si="25"/>
        <v>29.4</v>
      </c>
      <c r="GP17" s="146">
        <f t="shared" si="25"/>
        <v>29.4</v>
      </c>
      <c r="GQ17" s="146">
        <f t="shared" si="25"/>
        <v>29.4</v>
      </c>
      <c r="GR17" s="146">
        <f t="shared" si="25"/>
        <v>29.4</v>
      </c>
      <c r="GS17" s="146">
        <f t="shared" ref="GS17:GZ17" si="26">$E$14*(1-EXP(-GS13/$E$15))^$E$16</f>
        <v>29.4</v>
      </c>
      <c r="GT17" s="146">
        <f t="shared" si="26"/>
        <v>29.4</v>
      </c>
      <c r="GU17" s="146">
        <f t="shared" si="26"/>
        <v>29.4</v>
      </c>
      <c r="GV17" s="146">
        <f t="shared" si="26"/>
        <v>29.4</v>
      </c>
      <c r="GW17" s="146">
        <f t="shared" si="26"/>
        <v>29.4</v>
      </c>
      <c r="GX17" s="146">
        <f t="shared" si="26"/>
        <v>29.4</v>
      </c>
      <c r="GY17" s="146">
        <f t="shared" si="26"/>
        <v>29.4</v>
      </c>
      <c r="GZ17" s="146">
        <f t="shared" si="26"/>
        <v>29.4</v>
      </c>
    </row>
    <row r="18" spans="2:208" ht="12.95" customHeight="1" x14ac:dyDescent="0.2">
      <c r="B18" s="21"/>
      <c r="C18" s="21"/>
      <c r="D18" s="21"/>
      <c r="E18" s="21"/>
      <c r="F18" s="21"/>
      <c r="G18" s="21"/>
      <c r="I18" s="81"/>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row>
    <row r="19" spans="2:208" ht="12.95" customHeight="1" x14ac:dyDescent="0.25">
      <c r="B19" s="105" t="s">
        <v>1222</v>
      </c>
      <c r="C19" s="106"/>
      <c r="D19" s="106"/>
      <c r="E19" s="106"/>
      <c r="F19" s="106"/>
      <c r="G19" s="106"/>
      <c r="H19" s="106"/>
      <c r="I19" s="106"/>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7"/>
      <c r="DQ19" s="107"/>
      <c r="DR19" s="107"/>
      <c r="DS19" s="107"/>
      <c r="DT19" s="107"/>
      <c r="DU19" s="107"/>
      <c r="DV19" s="107"/>
      <c r="DW19" s="107"/>
      <c r="DX19" s="107"/>
      <c r="DY19" s="107"/>
      <c r="DZ19" s="107"/>
      <c r="EA19" s="107"/>
      <c r="EB19" s="107"/>
      <c r="EC19" s="107"/>
      <c r="ED19" s="107"/>
      <c r="EE19" s="107"/>
      <c r="EF19" s="107"/>
      <c r="EG19" s="107"/>
      <c r="EH19" s="107"/>
      <c r="EI19" s="107"/>
      <c r="EJ19" s="107"/>
      <c r="EK19" s="107"/>
      <c r="EL19" s="107"/>
      <c r="EM19" s="107"/>
      <c r="EN19" s="107"/>
      <c r="EO19" s="107"/>
      <c r="EP19" s="107"/>
      <c r="EQ19" s="107"/>
      <c r="ER19" s="107"/>
      <c r="ES19" s="107"/>
      <c r="ET19" s="107"/>
      <c r="EU19" s="107"/>
      <c r="EV19" s="107"/>
      <c r="EW19" s="107"/>
      <c r="EX19" s="107"/>
      <c r="EY19" s="107"/>
      <c r="EZ19" s="107"/>
      <c r="FA19" s="107"/>
      <c r="FB19" s="107"/>
      <c r="FC19" s="107"/>
      <c r="FD19" s="107"/>
      <c r="FE19" s="107"/>
      <c r="FF19" s="107"/>
      <c r="FG19" s="107"/>
      <c r="FH19" s="107"/>
      <c r="FI19" s="107"/>
      <c r="FJ19" s="107"/>
      <c r="FK19" s="107"/>
      <c r="FL19" s="107"/>
      <c r="FM19" s="107"/>
      <c r="FN19" s="107"/>
      <c r="FO19" s="107"/>
      <c r="FP19" s="107"/>
      <c r="FQ19" s="107"/>
      <c r="FR19" s="107"/>
      <c r="FS19" s="107"/>
      <c r="FT19" s="107"/>
      <c r="FU19" s="107"/>
      <c r="FV19" s="107"/>
      <c r="FW19" s="107"/>
      <c r="FX19" s="107"/>
      <c r="FY19" s="107"/>
      <c r="FZ19" s="107"/>
      <c r="GA19" s="107"/>
      <c r="GB19" s="107"/>
      <c r="GC19" s="107"/>
      <c r="GD19" s="107"/>
      <c r="GE19" s="107"/>
      <c r="GF19" s="107"/>
      <c r="GG19" s="107"/>
      <c r="GH19" s="107"/>
      <c r="GI19" s="107"/>
      <c r="GJ19" s="107"/>
      <c r="GK19" s="107"/>
      <c r="GL19" s="107"/>
      <c r="GM19" s="107"/>
      <c r="GN19" s="107"/>
      <c r="GO19" s="107"/>
      <c r="GP19" s="107"/>
      <c r="GQ19" s="107"/>
      <c r="GR19" s="107"/>
      <c r="GS19" s="107"/>
      <c r="GT19" s="107"/>
      <c r="GU19" s="107"/>
      <c r="GV19" s="107"/>
      <c r="GW19" s="107"/>
      <c r="GX19" s="107"/>
      <c r="GY19" s="107"/>
      <c r="GZ19" s="161"/>
    </row>
    <row r="20" spans="2:208" ht="12.95" customHeight="1" x14ac:dyDescent="0.25">
      <c r="B20" s="19" t="s">
        <v>300</v>
      </c>
      <c r="C20" s="20"/>
      <c r="D20" s="20"/>
      <c r="E20" s="345"/>
      <c r="F20" s="5" t="s">
        <v>1</v>
      </c>
      <c r="G20" s="5" t="s">
        <v>305</v>
      </c>
      <c r="H20" s="5">
        <v>0</v>
      </c>
      <c r="I20" s="5">
        <v>1</v>
      </c>
      <c r="J20" s="5">
        <v>2</v>
      </c>
      <c r="K20" s="5">
        <v>3</v>
      </c>
      <c r="L20" s="5">
        <v>4</v>
      </c>
      <c r="M20" s="5">
        <v>5</v>
      </c>
      <c r="N20" s="5">
        <v>6</v>
      </c>
      <c r="O20" s="5">
        <v>7</v>
      </c>
      <c r="P20" s="5">
        <v>8</v>
      </c>
      <c r="Q20" s="5">
        <v>9</v>
      </c>
      <c r="R20" s="5">
        <v>10</v>
      </c>
      <c r="S20" s="5">
        <v>11</v>
      </c>
      <c r="T20" s="5">
        <v>12</v>
      </c>
      <c r="U20" s="5">
        <v>13</v>
      </c>
      <c r="V20" s="5">
        <v>14</v>
      </c>
      <c r="W20" s="5">
        <v>15</v>
      </c>
      <c r="X20" s="5">
        <v>16</v>
      </c>
      <c r="Y20" s="5">
        <v>17</v>
      </c>
      <c r="Z20" s="5">
        <v>18</v>
      </c>
      <c r="AA20" s="5">
        <v>19</v>
      </c>
      <c r="AB20" s="5">
        <v>20</v>
      </c>
      <c r="AC20" s="5">
        <v>21</v>
      </c>
      <c r="AD20" s="5">
        <v>22</v>
      </c>
      <c r="AE20" s="5">
        <v>23</v>
      </c>
      <c r="AF20" s="5">
        <v>24</v>
      </c>
      <c r="AG20" s="5">
        <v>25</v>
      </c>
      <c r="AH20" s="5">
        <v>26</v>
      </c>
      <c r="AI20" s="5">
        <v>27</v>
      </c>
      <c r="AJ20" s="5">
        <v>28</v>
      </c>
      <c r="AK20" s="5">
        <v>29</v>
      </c>
      <c r="AL20" s="5">
        <v>30</v>
      </c>
      <c r="AM20" s="5">
        <v>31</v>
      </c>
      <c r="AN20" s="5">
        <v>32</v>
      </c>
      <c r="AO20" s="5">
        <v>33</v>
      </c>
      <c r="AP20" s="5">
        <v>34</v>
      </c>
      <c r="AQ20" s="5">
        <v>35</v>
      </c>
      <c r="AR20" s="5">
        <v>36</v>
      </c>
      <c r="AS20" s="5">
        <v>37</v>
      </c>
      <c r="AT20" s="5">
        <v>38</v>
      </c>
      <c r="AU20" s="5">
        <v>39</v>
      </c>
      <c r="AV20" s="5">
        <v>40</v>
      </c>
      <c r="AW20" s="5">
        <v>41</v>
      </c>
      <c r="AX20" s="5">
        <v>42</v>
      </c>
      <c r="AY20" s="5">
        <v>43</v>
      </c>
      <c r="AZ20" s="5">
        <v>44</v>
      </c>
      <c r="BA20" s="5">
        <v>45</v>
      </c>
      <c r="BB20" s="5">
        <v>46</v>
      </c>
      <c r="BC20" s="5">
        <v>47</v>
      </c>
      <c r="BD20" s="5">
        <v>48</v>
      </c>
      <c r="BE20" s="5">
        <v>49</v>
      </c>
      <c r="BF20" s="5">
        <v>50</v>
      </c>
      <c r="BG20" s="5">
        <v>51</v>
      </c>
      <c r="BH20" s="5">
        <v>52</v>
      </c>
      <c r="BI20" s="5">
        <v>53</v>
      </c>
      <c r="BJ20" s="5">
        <v>54</v>
      </c>
      <c r="BK20" s="5">
        <v>55</v>
      </c>
      <c r="BL20" s="5">
        <v>56</v>
      </c>
      <c r="BM20" s="5">
        <v>57</v>
      </c>
      <c r="BN20" s="5">
        <v>58</v>
      </c>
      <c r="BO20" s="5">
        <v>59</v>
      </c>
      <c r="BP20" s="5">
        <v>60</v>
      </c>
      <c r="BQ20" s="5">
        <v>61</v>
      </c>
      <c r="BR20" s="5">
        <v>62</v>
      </c>
      <c r="BS20" s="5">
        <v>63</v>
      </c>
      <c r="BT20" s="5">
        <v>64</v>
      </c>
      <c r="BU20" s="5">
        <v>65</v>
      </c>
      <c r="BV20" s="5">
        <v>66</v>
      </c>
      <c r="BW20" s="5">
        <v>67</v>
      </c>
      <c r="BX20" s="5">
        <v>68</v>
      </c>
      <c r="BY20" s="5">
        <v>69</v>
      </c>
      <c r="BZ20" s="5">
        <v>70</v>
      </c>
      <c r="CA20" s="5">
        <v>71</v>
      </c>
      <c r="CB20" s="5">
        <v>72</v>
      </c>
      <c r="CC20" s="5">
        <v>73</v>
      </c>
      <c r="CD20" s="5">
        <v>74</v>
      </c>
      <c r="CE20" s="5">
        <v>75</v>
      </c>
      <c r="CF20" s="5">
        <v>76</v>
      </c>
      <c r="CG20" s="5">
        <v>77</v>
      </c>
      <c r="CH20" s="5">
        <v>78</v>
      </c>
      <c r="CI20" s="5">
        <v>79</v>
      </c>
      <c r="CJ20" s="5">
        <v>80</v>
      </c>
      <c r="CK20" s="5">
        <v>81</v>
      </c>
      <c r="CL20" s="5">
        <v>82</v>
      </c>
      <c r="CM20" s="5">
        <v>83</v>
      </c>
      <c r="CN20" s="5">
        <v>84</v>
      </c>
      <c r="CO20" s="5">
        <v>85</v>
      </c>
      <c r="CP20" s="5">
        <v>86</v>
      </c>
      <c r="CQ20" s="5">
        <v>87</v>
      </c>
      <c r="CR20" s="5">
        <v>88</v>
      </c>
      <c r="CS20" s="5">
        <v>89</v>
      </c>
      <c r="CT20" s="5">
        <v>90</v>
      </c>
      <c r="CU20" s="5">
        <v>91</v>
      </c>
      <c r="CV20" s="5">
        <v>92</v>
      </c>
      <c r="CW20" s="5">
        <v>93</v>
      </c>
      <c r="CX20" s="5">
        <v>94</v>
      </c>
      <c r="CY20" s="5">
        <v>95</v>
      </c>
      <c r="CZ20" s="5">
        <v>96</v>
      </c>
      <c r="DA20" s="5">
        <v>97</v>
      </c>
      <c r="DB20" s="5">
        <v>98</v>
      </c>
      <c r="DC20" s="5">
        <v>99</v>
      </c>
      <c r="DD20" s="5">
        <v>100</v>
      </c>
      <c r="DE20" s="5">
        <v>101</v>
      </c>
      <c r="DF20" s="5">
        <v>102</v>
      </c>
      <c r="DG20" s="5">
        <v>103</v>
      </c>
      <c r="DH20" s="5">
        <v>104</v>
      </c>
      <c r="DI20" s="5">
        <v>105</v>
      </c>
      <c r="DJ20" s="5">
        <v>106</v>
      </c>
      <c r="DK20" s="5">
        <v>107</v>
      </c>
      <c r="DL20" s="5">
        <v>108</v>
      </c>
      <c r="DM20" s="5">
        <v>109</v>
      </c>
      <c r="DN20" s="5">
        <v>110</v>
      </c>
      <c r="DO20" s="5">
        <v>111</v>
      </c>
      <c r="DP20" s="5">
        <v>112</v>
      </c>
      <c r="DQ20" s="5">
        <v>113</v>
      </c>
      <c r="DR20" s="5">
        <v>114</v>
      </c>
      <c r="DS20" s="5">
        <v>115</v>
      </c>
      <c r="DT20" s="5">
        <v>116</v>
      </c>
      <c r="DU20" s="5">
        <v>117</v>
      </c>
      <c r="DV20" s="5">
        <v>118</v>
      </c>
      <c r="DW20" s="5">
        <v>119</v>
      </c>
      <c r="DX20" s="5">
        <v>120</v>
      </c>
      <c r="DY20" s="5">
        <v>121</v>
      </c>
      <c r="DZ20" s="5">
        <v>122</v>
      </c>
      <c r="EA20" s="5">
        <v>123</v>
      </c>
      <c r="EB20" s="5">
        <v>124</v>
      </c>
      <c r="EC20" s="5">
        <v>125</v>
      </c>
      <c r="ED20" s="5">
        <v>126</v>
      </c>
      <c r="EE20" s="5">
        <v>127</v>
      </c>
      <c r="EF20" s="5">
        <v>128</v>
      </c>
      <c r="EG20" s="5">
        <v>129</v>
      </c>
      <c r="EH20" s="5">
        <v>130</v>
      </c>
      <c r="EI20" s="5">
        <v>131</v>
      </c>
      <c r="EJ20" s="5">
        <v>132</v>
      </c>
      <c r="EK20" s="5">
        <v>133</v>
      </c>
      <c r="EL20" s="5">
        <v>134</v>
      </c>
      <c r="EM20" s="5">
        <v>135</v>
      </c>
      <c r="EN20" s="5">
        <v>136</v>
      </c>
      <c r="EO20" s="5">
        <v>137</v>
      </c>
      <c r="EP20" s="5">
        <v>138</v>
      </c>
      <c r="EQ20" s="5">
        <v>139</v>
      </c>
      <c r="ER20" s="5">
        <v>140</v>
      </c>
      <c r="ES20" s="5">
        <v>141</v>
      </c>
      <c r="ET20" s="5">
        <v>142</v>
      </c>
      <c r="EU20" s="5">
        <v>143</v>
      </c>
      <c r="EV20" s="5">
        <v>144</v>
      </c>
      <c r="EW20" s="5">
        <v>145</v>
      </c>
      <c r="EX20" s="5">
        <v>146</v>
      </c>
      <c r="EY20" s="5">
        <v>147</v>
      </c>
      <c r="EZ20" s="5">
        <v>148</v>
      </c>
      <c r="FA20" s="5">
        <v>149</v>
      </c>
      <c r="FB20" s="5">
        <v>150</v>
      </c>
      <c r="FC20" s="5">
        <v>151</v>
      </c>
      <c r="FD20" s="5">
        <v>152</v>
      </c>
      <c r="FE20" s="5">
        <v>153</v>
      </c>
      <c r="FF20" s="5">
        <v>154</v>
      </c>
      <c r="FG20" s="5">
        <v>155</v>
      </c>
      <c r="FH20" s="5">
        <v>156</v>
      </c>
      <c r="FI20" s="5">
        <v>157</v>
      </c>
      <c r="FJ20" s="5">
        <v>158</v>
      </c>
      <c r="FK20" s="5">
        <v>159</v>
      </c>
      <c r="FL20" s="5">
        <v>160</v>
      </c>
      <c r="FM20" s="5">
        <v>161</v>
      </c>
      <c r="FN20" s="5">
        <v>162</v>
      </c>
      <c r="FO20" s="5">
        <v>163</v>
      </c>
      <c r="FP20" s="5">
        <v>164</v>
      </c>
      <c r="FQ20" s="5">
        <v>165</v>
      </c>
      <c r="FR20" s="5">
        <v>166</v>
      </c>
      <c r="FS20" s="5">
        <v>167</v>
      </c>
      <c r="FT20" s="5">
        <v>168</v>
      </c>
      <c r="FU20" s="5">
        <v>169</v>
      </c>
      <c r="FV20" s="5">
        <v>170</v>
      </c>
      <c r="FW20" s="5">
        <v>171</v>
      </c>
      <c r="FX20" s="5">
        <v>172</v>
      </c>
      <c r="FY20" s="5">
        <v>173</v>
      </c>
      <c r="FZ20" s="5">
        <v>174</v>
      </c>
      <c r="GA20" s="5">
        <v>175</v>
      </c>
      <c r="GB20" s="5">
        <v>176</v>
      </c>
      <c r="GC20" s="5">
        <v>177</v>
      </c>
      <c r="GD20" s="5">
        <v>178</v>
      </c>
      <c r="GE20" s="5">
        <v>179</v>
      </c>
      <c r="GF20" s="5">
        <v>180</v>
      </c>
      <c r="GG20" s="5">
        <v>181</v>
      </c>
      <c r="GH20" s="5">
        <v>182</v>
      </c>
      <c r="GI20" s="5">
        <v>183</v>
      </c>
      <c r="GJ20" s="5">
        <v>184</v>
      </c>
      <c r="GK20" s="5">
        <v>185</v>
      </c>
      <c r="GL20" s="5">
        <v>186</v>
      </c>
      <c r="GM20" s="5">
        <v>187</v>
      </c>
      <c r="GN20" s="5">
        <v>188</v>
      </c>
      <c r="GO20" s="5">
        <v>189</v>
      </c>
      <c r="GP20" s="5">
        <v>190</v>
      </c>
      <c r="GQ20" s="5">
        <v>191</v>
      </c>
      <c r="GR20" s="5">
        <v>192</v>
      </c>
      <c r="GS20" s="5">
        <v>193</v>
      </c>
      <c r="GT20" s="5">
        <v>194</v>
      </c>
      <c r="GU20" s="5">
        <v>195</v>
      </c>
      <c r="GV20" s="5">
        <v>196</v>
      </c>
      <c r="GW20" s="5">
        <v>197</v>
      </c>
      <c r="GX20" s="5">
        <v>198</v>
      </c>
      <c r="GY20" s="5">
        <v>199</v>
      </c>
      <c r="GZ20" s="5">
        <v>200</v>
      </c>
    </row>
    <row r="21" spans="2:208" ht="12.95" customHeight="1" x14ac:dyDescent="0.2">
      <c r="B21" s="73" t="s">
        <v>576</v>
      </c>
      <c r="C21" s="73"/>
      <c r="D21" s="73"/>
      <c r="E21" s="73"/>
      <c r="F21" s="73" t="s">
        <v>395</v>
      </c>
      <c r="G21" s="78" t="s">
        <v>571</v>
      </c>
      <c r="H21" s="187">
        <v>0</v>
      </c>
      <c r="I21" s="146"/>
      <c r="J21" s="146"/>
      <c r="K21" s="146"/>
      <c r="L21" s="146"/>
      <c r="M21" s="187">
        <v>11.1</v>
      </c>
      <c r="N21" s="146"/>
      <c r="O21" s="146"/>
      <c r="P21" s="146"/>
      <c r="Q21" s="146"/>
      <c r="R21" s="187">
        <v>22.6</v>
      </c>
      <c r="S21" s="146"/>
      <c r="T21" s="146"/>
      <c r="U21" s="146"/>
      <c r="V21" s="146"/>
      <c r="W21" s="187">
        <v>31.3</v>
      </c>
      <c r="X21" s="146"/>
      <c r="Y21" s="146"/>
      <c r="Z21" s="146"/>
      <c r="AA21" s="146"/>
      <c r="AB21" s="187">
        <v>40.799999999999997</v>
      </c>
      <c r="AC21" s="146"/>
      <c r="AD21" s="146"/>
      <c r="AE21" s="146"/>
      <c r="AF21" s="146"/>
      <c r="AG21" s="187">
        <v>50.3</v>
      </c>
      <c r="AH21" s="146"/>
      <c r="AI21" s="146"/>
      <c r="AJ21" s="146"/>
      <c r="AK21" s="146"/>
      <c r="AL21" s="187">
        <v>58.2</v>
      </c>
      <c r="AM21" s="146"/>
      <c r="AN21" s="146"/>
      <c r="AO21" s="146"/>
      <c r="AP21" s="146"/>
      <c r="AQ21" s="187">
        <v>65.599999999999994</v>
      </c>
      <c r="AR21" s="146"/>
      <c r="AS21" s="146"/>
      <c r="AT21" s="146"/>
      <c r="AU21" s="146"/>
      <c r="AV21" s="187">
        <v>72.5</v>
      </c>
      <c r="AW21" s="146"/>
      <c r="AX21" s="146"/>
      <c r="AY21" s="146"/>
      <c r="AZ21" s="146"/>
      <c r="BA21" s="187">
        <v>78.900000000000006</v>
      </c>
      <c r="BB21" s="146"/>
      <c r="BC21" s="146"/>
      <c r="BD21" s="146"/>
      <c r="BE21" s="146"/>
      <c r="BF21" s="187">
        <v>85</v>
      </c>
      <c r="BG21" s="146"/>
      <c r="BH21" s="146"/>
      <c r="BI21" s="146"/>
      <c r="BJ21" s="146"/>
      <c r="BK21" s="187">
        <v>90.3</v>
      </c>
      <c r="BL21" s="146"/>
      <c r="BM21" s="146"/>
      <c r="BN21" s="146"/>
      <c r="BO21" s="146"/>
      <c r="BP21" s="187">
        <v>95.1</v>
      </c>
      <c r="BQ21" s="146"/>
      <c r="BR21" s="146"/>
      <c r="BS21" s="146"/>
      <c r="BT21" s="146"/>
      <c r="BU21" s="187">
        <v>99.6</v>
      </c>
      <c r="BV21" s="146"/>
      <c r="BW21" s="146"/>
      <c r="BX21" s="146"/>
      <c r="BY21" s="146"/>
      <c r="BZ21" s="187">
        <v>104</v>
      </c>
      <c r="CA21" s="146"/>
      <c r="CB21" s="146"/>
      <c r="CC21" s="146"/>
      <c r="CD21" s="146"/>
      <c r="CE21" s="187">
        <v>107.6</v>
      </c>
      <c r="CF21" s="146"/>
      <c r="CG21" s="146"/>
      <c r="CH21" s="146"/>
      <c r="CI21" s="146"/>
      <c r="CJ21" s="187">
        <v>111.4</v>
      </c>
      <c r="CK21" s="146"/>
      <c r="CL21" s="146"/>
      <c r="CM21" s="146"/>
      <c r="CN21" s="146"/>
      <c r="CO21" s="187">
        <v>115.1</v>
      </c>
      <c r="CP21" s="146"/>
      <c r="CQ21" s="146"/>
      <c r="CR21" s="146"/>
      <c r="CS21" s="146"/>
      <c r="CT21" s="187">
        <v>118.2</v>
      </c>
      <c r="CU21" s="146"/>
      <c r="CV21" s="146"/>
      <c r="CW21" s="146"/>
      <c r="CX21" s="146"/>
      <c r="CY21" s="146"/>
      <c r="CZ21" s="146"/>
      <c r="DA21" s="146"/>
      <c r="DB21" s="146"/>
      <c r="DC21" s="146"/>
      <c r="DD21" s="146"/>
      <c r="DE21" s="146"/>
      <c r="DF21" s="146"/>
      <c r="DG21" s="146"/>
      <c r="DH21" s="146"/>
      <c r="DI21" s="146"/>
      <c r="DJ21" s="146"/>
      <c r="DK21" s="146"/>
      <c r="DL21" s="146"/>
      <c r="DM21" s="146"/>
      <c r="DN21" s="146"/>
      <c r="DO21" s="146"/>
      <c r="DP21" s="146"/>
      <c r="DQ21" s="146"/>
      <c r="DR21" s="146"/>
      <c r="DS21" s="146"/>
      <c r="DT21" s="146"/>
      <c r="DU21" s="146"/>
      <c r="DV21" s="146"/>
      <c r="DW21" s="146"/>
      <c r="DX21" s="146"/>
      <c r="DY21" s="146"/>
      <c r="DZ21" s="146"/>
      <c r="EA21" s="146"/>
      <c r="EB21" s="146"/>
      <c r="EC21" s="146"/>
      <c r="ED21" s="146"/>
      <c r="EE21" s="146"/>
      <c r="EF21" s="146"/>
      <c r="EG21" s="146"/>
      <c r="EH21" s="146"/>
      <c r="EI21" s="146"/>
      <c r="EJ21" s="146"/>
      <c r="EK21" s="146"/>
      <c r="EL21" s="146"/>
      <c r="EM21" s="146"/>
      <c r="EN21" s="146"/>
      <c r="EO21" s="146"/>
      <c r="EP21" s="146"/>
      <c r="EQ21" s="146"/>
      <c r="ER21" s="146"/>
      <c r="ES21" s="146"/>
      <c r="ET21" s="146"/>
      <c r="EU21" s="146"/>
      <c r="EV21" s="146"/>
      <c r="EW21" s="146"/>
      <c r="EX21" s="146"/>
      <c r="EY21" s="146"/>
      <c r="EZ21" s="146"/>
      <c r="FA21" s="146"/>
      <c r="FB21" s="146"/>
      <c r="FC21" s="146"/>
      <c r="FD21" s="146"/>
      <c r="FE21" s="146"/>
      <c r="FF21" s="146"/>
      <c r="FG21" s="146"/>
      <c r="FH21" s="146"/>
      <c r="FI21" s="146"/>
      <c r="FJ21" s="146"/>
      <c r="FK21" s="146"/>
      <c r="FL21" s="146"/>
      <c r="FM21" s="146"/>
      <c r="FN21" s="146"/>
      <c r="FO21" s="146"/>
      <c r="FP21" s="146"/>
      <c r="FQ21" s="146"/>
      <c r="FR21" s="146"/>
      <c r="FS21" s="146"/>
      <c r="FT21" s="146"/>
      <c r="FU21" s="146"/>
      <c r="FV21" s="146"/>
      <c r="FW21" s="146"/>
      <c r="FX21" s="146"/>
      <c r="FY21" s="146"/>
      <c r="FZ21" s="146"/>
      <c r="GA21" s="146"/>
      <c r="GB21" s="146"/>
      <c r="GC21" s="146"/>
      <c r="GD21" s="146"/>
      <c r="GE21" s="146"/>
      <c r="GF21" s="146"/>
      <c r="GG21" s="146"/>
      <c r="GH21" s="146"/>
      <c r="GI21" s="146"/>
      <c r="GJ21" s="146"/>
      <c r="GK21" s="146"/>
      <c r="GL21" s="146"/>
      <c r="GM21" s="146"/>
      <c r="GN21" s="146"/>
      <c r="GO21" s="146"/>
      <c r="GP21" s="146"/>
      <c r="GQ21" s="146"/>
      <c r="GR21" s="146"/>
      <c r="GS21" s="146"/>
      <c r="GT21" s="146"/>
      <c r="GU21" s="146"/>
      <c r="GV21" s="146"/>
      <c r="GW21" s="146"/>
      <c r="GX21" s="146"/>
      <c r="GY21" s="146"/>
      <c r="GZ21" s="146"/>
    </row>
    <row r="22" spans="2:208" ht="12.95" customHeight="1" x14ac:dyDescent="0.2">
      <c r="B22" s="54" t="s">
        <v>572</v>
      </c>
      <c r="F22" s="73" t="s">
        <v>395</v>
      </c>
      <c r="H22" s="188">
        <f>(M21-H21)/5</f>
        <v>2.2199999999999998</v>
      </c>
      <c r="I22" s="170"/>
      <c r="J22" s="170"/>
      <c r="K22" s="170"/>
      <c r="L22" s="170"/>
      <c r="M22" s="188">
        <f>(R21-M21)/5</f>
        <v>2.3000000000000003</v>
      </c>
      <c r="N22" s="170"/>
      <c r="O22" s="170"/>
      <c r="P22" s="170"/>
      <c r="Q22" s="170"/>
      <c r="R22" s="188">
        <f>(W21-R21)/5</f>
        <v>1.7399999999999998</v>
      </c>
      <c r="S22" s="170"/>
      <c r="T22" s="170"/>
      <c r="U22" s="170"/>
      <c r="V22" s="170"/>
      <c r="W22" s="188">
        <f>(AB21-W21)/5</f>
        <v>1.8999999999999992</v>
      </c>
      <c r="X22" s="170"/>
      <c r="Y22" s="170"/>
      <c r="Z22" s="170"/>
      <c r="AA22" s="170"/>
      <c r="AB22" s="188">
        <f>(AG21-AB21)/5</f>
        <v>1.9</v>
      </c>
      <c r="AC22" s="170"/>
      <c r="AD22" s="170"/>
      <c r="AE22" s="170"/>
      <c r="AF22" s="170"/>
      <c r="AG22" s="188">
        <f>(AL21-AG21)/5</f>
        <v>1.5800000000000012</v>
      </c>
      <c r="AH22" s="170"/>
      <c r="AI22" s="170"/>
      <c r="AJ22" s="170"/>
      <c r="AK22" s="170"/>
      <c r="AL22" s="188">
        <f>(AQ21-AL21)/5</f>
        <v>1.4799999999999982</v>
      </c>
      <c r="AM22" s="170"/>
      <c r="AN22" s="170"/>
      <c r="AO22" s="170"/>
      <c r="AP22" s="170"/>
      <c r="AQ22" s="188">
        <f>(AV21-AQ21)/5</f>
        <v>1.3800000000000012</v>
      </c>
      <c r="AR22" s="170"/>
      <c r="AS22" s="170"/>
      <c r="AT22" s="170"/>
      <c r="AU22" s="170"/>
      <c r="AV22" s="188">
        <f>(BA21-AV21)/5</f>
        <v>1.2800000000000011</v>
      </c>
      <c r="AW22" s="170"/>
      <c r="AX22" s="170"/>
      <c r="AY22" s="170"/>
      <c r="AZ22" s="170"/>
      <c r="BA22" s="188">
        <f>(BF21-BA21)/5</f>
        <v>1.2199999999999989</v>
      </c>
      <c r="BB22" s="170"/>
      <c r="BC22" s="170"/>
      <c r="BD22" s="170"/>
      <c r="BE22" s="170"/>
      <c r="BF22" s="188">
        <f>(BK21-BF21)/5</f>
        <v>1.0599999999999994</v>
      </c>
      <c r="BG22" s="170"/>
      <c r="BH22" s="170"/>
      <c r="BI22" s="170"/>
      <c r="BJ22" s="170"/>
      <c r="BK22" s="188">
        <f>(BP21-BK21)/5</f>
        <v>0.95999999999999941</v>
      </c>
      <c r="BL22" s="170"/>
      <c r="BM22" s="170"/>
      <c r="BN22" s="170"/>
      <c r="BO22" s="170"/>
      <c r="BP22" s="188">
        <f>(BU21-BP21)/5</f>
        <v>0.9</v>
      </c>
      <c r="BQ22" s="170"/>
      <c r="BR22" s="170"/>
      <c r="BS22" s="170"/>
      <c r="BT22" s="170"/>
      <c r="BU22" s="188">
        <f>(BZ21-BU21)/5</f>
        <v>0.88000000000000111</v>
      </c>
      <c r="BV22" s="170"/>
      <c r="BW22" s="170"/>
      <c r="BX22" s="170"/>
      <c r="BY22" s="170"/>
      <c r="BZ22" s="188">
        <f>(CE21-BZ21)/5</f>
        <v>0.71999999999999886</v>
      </c>
      <c r="CA22" s="170"/>
      <c r="CB22" s="170"/>
      <c r="CC22" s="170"/>
      <c r="CD22" s="170"/>
      <c r="CE22" s="188">
        <f>(CJ21-CE21)/5</f>
        <v>0.76000000000000223</v>
      </c>
      <c r="CF22" s="170"/>
      <c r="CG22" s="170"/>
      <c r="CH22" s="170"/>
      <c r="CI22" s="170"/>
      <c r="CJ22" s="188">
        <f>(CO21-CJ21)/5</f>
        <v>0.73999999999999777</v>
      </c>
      <c r="CK22" s="170"/>
      <c r="CL22" s="170"/>
      <c r="CM22" s="170"/>
      <c r="CN22" s="170"/>
      <c r="CO22" s="188">
        <f>(CT21-CO21)/5</f>
        <v>0.62000000000000166</v>
      </c>
      <c r="CP22" s="170"/>
      <c r="CQ22" s="170"/>
      <c r="CR22" s="170"/>
      <c r="CS22" s="170"/>
      <c r="CT22" s="188">
        <v>0</v>
      </c>
      <c r="CU22" s="170"/>
      <c r="CV22" s="170"/>
      <c r="CW22" s="170"/>
      <c r="CX22" s="170"/>
      <c r="CY22" s="170"/>
      <c r="CZ22" s="170"/>
      <c r="DA22" s="170"/>
      <c r="DB22" s="170"/>
      <c r="DC22" s="170"/>
      <c r="DD22" s="170"/>
      <c r="DE22" s="170"/>
      <c r="DF22" s="170"/>
      <c r="DG22" s="170"/>
      <c r="DH22" s="170"/>
      <c r="DI22" s="170"/>
      <c r="DJ22" s="170"/>
      <c r="DK22" s="170"/>
      <c r="DL22" s="170"/>
      <c r="DM22" s="170"/>
      <c r="DN22" s="170"/>
      <c r="DO22" s="170"/>
      <c r="DP22" s="170"/>
      <c r="DQ22" s="170"/>
      <c r="DR22" s="170"/>
      <c r="DS22" s="170"/>
      <c r="DT22" s="170"/>
      <c r="DU22" s="170"/>
      <c r="DV22" s="170"/>
      <c r="DW22" s="170"/>
      <c r="DX22" s="170"/>
      <c r="DY22" s="170"/>
      <c r="DZ22" s="170"/>
      <c r="EA22" s="170"/>
      <c r="EB22" s="170"/>
      <c r="EC22" s="170"/>
      <c r="ED22" s="170"/>
      <c r="EE22" s="170"/>
      <c r="EF22" s="170"/>
      <c r="EG22" s="170"/>
      <c r="EH22" s="170"/>
      <c r="EI22" s="170"/>
      <c r="EJ22" s="170"/>
      <c r="EK22" s="170"/>
      <c r="EL22" s="170"/>
      <c r="EM22" s="170"/>
      <c r="EN22" s="170"/>
      <c r="EO22" s="170"/>
      <c r="EP22" s="170"/>
      <c r="EQ22" s="170"/>
      <c r="ER22" s="170"/>
      <c r="ES22" s="170"/>
      <c r="ET22" s="170"/>
      <c r="EU22" s="170"/>
      <c r="EV22" s="170"/>
      <c r="EW22" s="170"/>
      <c r="EX22" s="170"/>
      <c r="EY22" s="170"/>
      <c r="EZ22" s="170"/>
      <c r="FA22" s="170"/>
      <c r="FB22" s="170"/>
      <c r="FC22" s="170"/>
      <c r="FD22" s="170"/>
      <c r="FE22" s="170"/>
      <c r="FF22" s="170"/>
      <c r="FG22" s="170"/>
      <c r="FH22" s="170"/>
      <c r="FI22" s="170"/>
      <c r="FJ22" s="170"/>
      <c r="FK22" s="170"/>
      <c r="FL22" s="170"/>
      <c r="FM22" s="170"/>
      <c r="FN22" s="170"/>
      <c r="FO22" s="170"/>
      <c r="FP22" s="170"/>
      <c r="FQ22" s="170"/>
      <c r="FR22" s="170"/>
      <c r="FS22" s="170"/>
      <c r="FT22" s="170"/>
      <c r="FU22" s="170"/>
      <c r="FV22" s="170"/>
      <c r="FW22" s="170"/>
      <c r="FX22" s="170"/>
      <c r="FY22" s="170"/>
      <c r="FZ22" s="170"/>
      <c r="GA22" s="170"/>
      <c r="GB22" s="170"/>
      <c r="GC22" s="170"/>
      <c r="GD22" s="170"/>
      <c r="GE22" s="170"/>
      <c r="GF22" s="170"/>
      <c r="GG22" s="170"/>
      <c r="GH22" s="170"/>
      <c r="GI22" s="170"/>
      <c r="GJ22" s="170"/>
      <c r="GK22" s="170"/>
      <c r="GL22" s="170"/>
      <c r="GM22" s="170"/>
      <c r="GN22" s="170"/>
      <c r="GO22" s="170"/>
      <c r="GP22" s="170"/>
      <c r="GQ22" s="170"/>
      <c r="GR22" s="170"/>
      <c r="GS22" s="170"/>
      <c r="GT22" s="170"/>
      <c r="GU22" s="170"/>
      <c r="GV22" s="170"/>
      <c r="GW22" s="170"/>
      <c r="GX22" s="170"/>
      <c r="GY22" s="170"/>
      <c r="GZ22" s="170"/>
    </row>
    <row r="23" spans="2:208" ht="12.95" customHeight="1" x14ac:dyDescent="0.2">
      <c r="B23" s="54" t="s">
        <v>573</v>
      </c>
      <c r="F23" s="54" t="s">
        <v>395</v>
      </c>
      <c r="H23" s="146">
        <f>H21</f>
        <v>0</v>
      </c>
      <c r="I23" s="146">
        <f>H21+H22</f>
        <v>2.2199999999999998</v>
      </c>
      <c r="J23" s="146">
        <f>H21+2*H22</f>
        <v>4.4399999999999995</v>
      </c>
      <c r="K23" s="146">
        <f>H21+3*H22</f>
        <v>6.6599999999999993</v>
      </c>
      <c r="L23" s="146">
        <f>H21+4*H22</f>
        <v>8.879999999999999</v>
      </c>
      <c r="M23" s="146">
        <f>M21</f>
        <v>11.1</v>
      </c>
      <c r="N23" s="146">
        <f>M21+M22</f>
        <v>13.4</v>
      </c>
      <c r="O23" s="146">
        <f>M21+2*M22</f>
        <v>15.7</v>
      </c>
      <c r="P23" s="146">
        <f>M21+3*M22</f>
        <v>18</v>
      </c>
      <c r="Q23" s="146">
        <f>M21+4*M22</f>
        <v>20.3</v>
      </c>
      <c r="R23" s="146">
        <f>R21</f>
        <v>22.6</v>
      </c>
      <c r="S23" s="146">
        <f>R21+R22</f>
        <v>24.34</v>
      </c>
      <c r="T23" s="146">
        <f>R21+2*R22</f>
        <v>26.080000000000002</v>
      </c>
      <c r="U23" s="146">
        <f>R21+3*R22</f>
        <v>27.82</v>
      </c>
      <c r="V23" s="146">
        <f>R21+4*R22</f>
        <v>29.560000000000002</v>
      </c>
      <c r="W23" s="146">
        <f>W21</f>
        <v>31.3</v>
      </c>
      <c r="X23" s="146">
        <f>W21+W22</f>
        <v>33.200000000000003</v>
      </c>
      <c r="Y23" s="146">
        <f>W21+2*W22</f>
        <v>35.1</v>
      </c>
      <c r="Z23" s="146">
        <f>W21+3*W22</f>
        <v>37</v>
      </c>
      <c r="AA23" s="146">
        <f>W21+4*W22</f>
        <v>38.9</v>
      </c>
      <c r="AB23" s="146">
        <f>AB21</f>
        <v>40.799999999999997</v>
      </c>
      <c r="AC23" s="146">
        <f>AB21+AB22</f>
        <v>42.699999999999996</v>
      </c>
      <c r="AD23" s="146">
        <f>AB21+2*AB22</f>
        <v>44.599999999999994</v>
      </c>
      <c r="AE23" s="146">
        <f>AB21+3*AB22</f>
        <v>46.5</v>
      </c>
      <c r="AF23" s="146">
        <f>AB21+4*AB22</f>
        <v>48.4</v>
      </c>
      <c r="AG23" s="146">
        <f>AG21</f>
        <v>50.3</v>
      </c>
      <c r="AH23" s="146">
        <f>AG21+AG22</f>
        <v>51.879999999999995</v>
      </c>
      <c r="AI23" s="146">
        <f>AG21+2*AG22</f>
        <v>53.46</v>
      </c>
      <c r="AJ23" s="146">
        <f>AG21+3*AG22</f>
        <v>55.04</v>
      </c>
      <c r="AK23" s="146">
        <f>AG21+4*AG22</f>
        <v>56.620000000000005</v>
      </c>
      <c r="AL23" s="146">
        <f>AL21</f>
        <v>58.2</v>
      </c>
      <c r="AM23" s="146">
        <f>AL21+AL22</f>
        <v>59.68</v>
      </c>
      <c r="AN23" s="146">
        <f>AL21+2*AL22</f>
        <v>61.16</v>
      </c>
      <c r="AO23" s="146">
        <f>AL21+3*AL22</f>
        <v>62.64</v>
      </c>
      <c r="AP23" s="146">
        <f>AL21+4*AL22</f>
        <v>64.11999999999999</v>
      </c>
      <c r="AQ23" s="146">
        <f>AQ21</f>
        <v>65.599999999999994</v>
      </c>
      <c r="AR23" s="146">
        <f>AQ21+AQ22</f>
        <v>66.97999999999999</v>
      </c>
      <c r="AS23" s="146">
        <f>AQ21+2*AQ22</f>
        <v>68.36</v>
      </c>
      <c r="AT23" s="146">
        <f>AQ21+3*AQ22</f>
        <v>69.739999999999995</v>
      </c>
      <c r="AU23" s="146">
        <f>AQ21+4*AQ22</f>
        <v>71.12</v>
      </c>
      <c r="AV23" s="146">
        <f>AV21</f>
        <v>72.5</v>
      </c>
      <c r="AW23" s="146">
        <f>AV21+AV22</f>
        <v>73.78</v>
      </c>
      <c r="AX23" s="146">
        <f>AV21+2*AV22</f>
        <v>75.06</v>
      </c>
      <c r="AY23" s="146">
        <f>AV21+3*AV22</f>
        <v>76.34</v>
      </c>
      <c r="AZ23" s="146">
        <f>AV21+4*AV22</f>
        <v>77.62</v>
      </c>
      <c r="BA23" s="146">
        <f>BA21</f>
        <v>78.900000000000006</v>
      </c>
      <c r="BB23" s="146">
        <f>BA21+BA22</f>
        <v>80.12</v>
      </c>
      <c r="BC23" s="146">
        <f>BA21+2*BA22</f>
        <v>81.34</v>
      </c>
      <c r="BD23" s="146">
        <f>BA21+3*BA22</f>
        <v>82.56</v>
      </c>
      <c r="BE23" s="146">
        <f>BA21+4*BA22</f>
        <v>83.78</v>
      </c>
      <c r="BF23" s="146">
        <f>BF21</f>
        <v>85</v>
      </c>
      <c r="BG23" s="146">
        <f>BF21+BF22</f>
        <v>86.06</v>
      </c>
      <c r="BH23" s="146">
        <f>BF21+2*BF22</f>
        <v>87.12</v>
      </c>
      <c r="BI23" s="146">
        <f>BF21+3*BF22</f>
        <v>88.179999999999993</v>
      </c>
      <c r="BJ23" s="146">
        <f>BF21+4*BF22</f>
        <v>89.24</v>
      </c>
      <c r="BK23" s="146">
        <f>BK21</f>
        <v>90.3</v>
      </c>
      <c r="BL23" s="146">
        <f>BK21+BK22</f>
        <v>91.259999999999991</v>
      </c>
      <c r="BM23" s="146">
        <f>BK21+2*BK22</f>
        <v>92.22</v>
      </c>
      <c r="BN23" s="146">
        <f>BK21+3*BK22</f>
        <v>93.179999999999993</v>
      </c>
      <c r="BO23" s="146">
        <f>BK21+4*BK22</f>
        <v>94.14</v>
      </c>
      <c r="BP23" s="146">
        <f>BP21</f>
        <v>95.1</v>
      </c>
      <c r="BQ23" s="146">
        <f>BP21+BP22</f>
        <v>96</v>
      </c>
      <c r="BR23" s="146">
        <f>BP21+2*BP22</f>
        <v>96.899999999999991</v>
      </c>
      <c r="BS23" s="146">
        <f>BP21+3*BP22</f>
        <v>97.8</v>
      </c>
      <c r="BT23" s="146">
        <f>BP21+4*BP22</f>
        <v>98.699999999999989</v>
      </c>
      <c r="BU23" s="146">
        <f>BU21</f>
        <v>99.6</v>
      </c>
      <c r="BV23" s="146">
        <f>BU21+BU22</f>
        <v>100.47999999999999</v>
      </c>
      <c r="BW23" s="146">
        <f>BU21+2*BU22</f>
        <v>101.36</v>
      </c>
      <c r="BX23" s="146">
        <f>BU21+3*BU22</f>
        <v>102.24</v>
      </c>
      <c r="BY23" s="146">
        <f>BU21+4*BU22</f>
        <v>103.12</v>
      </c>
      <c r="BZ23" s="146">
        <f>BZ21</f>
        <v>104</v>
      </c>
      <c r="CA23" s="146">
        <f>BZ21+BZ22</f>
        <v>104.72</v>
      </c>
      <c r="CB23" s="146">
        <f>BZ21+2*BZ22</f>
        <v>105.44</v>
      </c>
      <c r="CC23" s="146">
        <f>BZ21+3*BZ22</f>
        <v>106.16</v>
      </c>
      <c r="CD23" s="146">
        <f>BZ21+4*BZ22</f>
        <v>106.88</v>
      </c>
      <c r="CE23" s="146">
        <f>CE21</f>
        <v>107.6</v>
      </c>
      <c r="CF23" s="146">
        <f>CE21+CE22</f>
        <v>108.36</v>
      </c>
      <c r="CG23" s="146">
        <f>CE21+2*CE22</f>
        <v>109.12</v>
      </c>
      <c r="CH23" s="146">
        <f>CE21+3*CE22</f>
        <v>109.88</v>
      </c>
      <c r="CI23" s="146">
        <f>CE21+4*CE22</f>
        <v>110.64</v>
      </c>
      <c r="CJ23" s="146">
        <f>CJ21</f>
        <v>111.4</v>
      </c>
      <c r="CK23" s="146">
        <f>CJ21+CJ22</f>
        <v>112.14</v>
      </c>
      <c r="CL23" s="146">
        <f>CJ21+2*CJ22</f>
        <v>112.88</v>
      </c>
      <c r="CM23" s="146">
        <f>CJ21+3*CJ22</f>
        <v>113.62</v>
      </c>
      <c r="CN23" s="146">
        <f>CJ21+4*CJ22</f>
        <v>114.36</v>
      </c>
      <c r="CO23" s="146">
        <f>CO21</f>
        <v>115.1</v>
      </c>
      <c r="CP23" s="146">
        <f>CO21+CO22</f>
        <v>115.72</v>
      </c>
      <c r="CQ23" s="146">
        <f>CO21+2*CO22</f>
        <v>116.34</v>
      </c>
      <c r="CR23" s="146">
        <f>CO21+3*CO22</f>
        <v>116.96</v>
      </c>
      <c r="CS23" s="146">
        <f>CO21+4*CO22</f>
        <v>117.58</v>
      </c>
      <c r="CT23" s="146">
        <f>CT21</f>
        <v>118.2</v>
      </c>
      <c r="CU23" s="146">
        <f t="shared" ref="CU23:DZ23" si="27">$CT$23</f>
        <v>118.2</v>
      </c>
      <c r="CV23" s="146">
        <f t="shared" si="27"/>
        <v>118.2</v>
      </c>
      <c r="CW23" s="146">
        <f t="shared" si="27"/>
        <v>118.2</v>
      </c>
      <c r="CX23" s="146">
        <f t="shared" si="27"/>
        <v>118.2</v>
      </c>
      <c r="CY23" s="146">
        <f t="shared" si="27"/>
        <v>118.2</v>
      </c>
      <c r="CZ23" s="146">
        <f t="shared" si="27"/>
        <v>118.2</v>
      </c>
      <c r="DA23" s="146">
        <f t="shared" si="27"/>
        <v>118.2</v>
      </c>
      <c r="DB23" s="146">
        <f t="shared" si="27"/>
        <v>118.2</v>
      </c>
      <c r="DC23" s="146">
        <f t="shared" si="27"/>
        <v>118.2</v>
      </c>
      <c r="DD23" s="146">
        <f t="shared" si="27"/>
        <v>118.2</v>
      </c>
      <c r="DE23" s="146">
        <f t="shared" si="27"/>
        <v>118.2</v>
      </c>
      <c r="DF23" s="146">
        <f t="shared" si="27"/>
        <v>118.2</v>
      </c>
      <c r="DG23" s="146">
        <f t="shared" si="27"/>
        <v>118.2</v>
      </c>
      <c r="DH23" s="146">
        <f t="shared" si="27"/>
        <v>118.2</v>
      </c>
      <c r="DI23" s="146">
        <f t="shared" si="27"/>
        <v>118.2</v>
      </c>
      <c r="DJ23" s="146">
        <f t="shared" si="27"/>
        <v>118.2</v>
      </c>
      <c r="DK23" s="146">
        <f t="shared" si="27"/>
        <v>118.2</v>
      </c>
      <c r="DL23" s="146">
        <f t="shared" si="27"/>
        <v>118.2</v>
      </c>
      <c r="DM23" s="146">
        <f t="shared" si="27"/>
        <v>118.2</v>
      </c>
      <c r="DN23" s="146">
        <f t="shared" si="27"/>
        <v>118.2</v>
      </c>
      <c r="DO23" s="146">
        <f t="shared" si="27"/>
        <v>118.2</v>
      </c>
      <c r="DP23" s="146">
        <f t="shared" si="27"/>
        <v>118.2</v>
      </c>
      <c r="DQ23" s="146">
        <f t="shared" si="27"/>
        <v>118.2</v>
      </c>
      <c r="DR23" s="146">
        <f t="shared" si="27"/>
        <v>118.2</v>
      </c>
      <c r="DS23" s="146">
        <f t="shared" si="27"/>
        <v>118.2</v>
      </c>
      <c r="DT23" s="146">
        <f t="shared" si="27"/>
        <v>118.2</v>
      </c>
      <c r="DU23" s="146">
        <f t="shared" si="27"/>
        <v>118.2</v>
      </c>
      <c r="DV23" s="146">
        <f t="shared" si="27"/>
        <v>118.2</v>
      </c>
      <c r="DW23" s="146">
        <f t="shared" si="27"/>
        <v>118.2</v>
      </c>
      <c r="DX23" s="146">
        <f t="shared" si="27"/>
        <v>118.2</v>
      </c>
      <c r="DY23" s="146">
        <f t="shared" si="27"/>
        <v>118.2</v>
      </c>
      <c r="DZ23" s="146">
        <f t="shared" si="27"/>
        <v>118.2</v>
      </c>
      <c r="EA23" s="146">
        <f t="shared" ref="EA23:FF23" si="28">$CT$23</f>
        <v>118.2</v>
      </c>
      <c r="EB23" s="146">
        <f t="shared" si="28"/>
        <v>118.2</v>
      </c>
      <c r="EC23" s="146">
        <f t="shared" si="28"/>
        <v>118.2</v>
      </c>
      <c r="ED23" s="146">
        <f t="shared" si="28"/>
        <v>118.2</v>
      </c>
      <c r="EE23" s="146">
        <f t="shared" si="28"/>
        <v>118.2</v>
      </c>
      <c r="EF23" s="146">
        <f t="shared" si="28"/>
        <v>118.2</v>
      </c>
      <c r="EG23" s="146">
        <f t="shared" si="28"/>
        <v>118.2</v>
      </c>
      <c r="EH23" s="146">
        <f t="shared" si="28"/>
        <v>118.2</v>
      </c>
      <c r="EI23" s="146">
        <f t="shared" si="28"/>
        <v>118.2</v>
      </c>
      <c r="EJ23" s="146">
        <f t="shared" si="28"/>
        <v>118.2</v>
      </c>
      <c r="EK23" s="146">
        <f t="shared" si="28"/>
        <v>118.2</v>
      </c>
      <c r="EL23" s="146">
        <f t="shared" si="28"/>
        <v>118.2</v>
      </c>
      <c r="EM23" s="146">
        <f t="shared" si="28"/>
        <v>118.2</v>
      </c>
      <c r="EN23" s="146">
        <f t="shared" si="28"/>
        <v>118.2</v>
      </c>
      <c r="EO23" s="146">
        <f t="shared" si="28"/>
        <v>118.2</v>
      </c>
      <c r="EP23" s="146">
        <f t="shared" si="28"/>
        <v>118.2</v>
      </c>
      <c r="EQ23" s="146">
        <f t="shared" si="28"/>
        <v>118.2</v>
      </c>
      <c r="ER23" s="146">
        <f t="shared" si="28"/>
        <v>118.2</v>
      </c>
      <c r="ES23" s="146">
        <f t="shared" si="28"/>
        <v>118.2</v>
      </c>
      <c r="ET23" s="146">
        <f t="shared" si="28"/>
        <v>118.2</v>
      </c>
      <c r="EU23" s="146">
        <f t="shared" si="28"/>
        <v>118.2</v>
      </c>
      <c r="EV23" s="146">
        <f t="shared" si="28"/>
        <v>118.2</v>
      </c>
      <c r="EW23" s="146">
        <f t="shared" si="28"/>
        <v>118.2</v>
      </c>
      <c r="EX23" s="146">
        <f t="shared" si="28"/>
        <v>118.2</v>
      </c>
      <c r="EY23" s="146">
        <f t="shared" si="28"/>
        <v>118.2</v>
      </c>
      <c r="EZ23" s="146">
        <f t="shared" si="28"/>
        <v>118.2</v>
      </c>
      <c r="FA23" s="146">
        <f t="shared" si="28"/>
        <v>118.2</v>
      </c>
      <c r="FB23" s="146">
        <f t="shared" si="28"/>
        <v>118.2</v>
      </c>
      <c r="FC23" s="146">
        <f t="shared" si="28"/>
        <v>118.2</v>
      </c>
      <c r="FD23" s="146">
        <f t="shared" si="28"/>
        <v>118.2</v>
      </c>
      <c r="FE23" s="146">
        <f t="shared" si="28"/>
        <v>118.2</v>
      </c>
      <c r="FF23" s="146">
        <f t="shared" si="28"/>
        <v>118.2</v>
      </c>
      <c r="FG23" s="146">
        <f t="shared" ref="FG23:GL23" si="29">$CT$23</f>
        <v>118.2</v>
      </c>
      <c r="FH23" s="146">
        <f t="shared" si="29"/>
        <v>118.2</v>
      </c>
      <c r="FI23" s="146">
        <f t="shared" si="29"/>
        <v>118.2</v>
      </c>
      <c r="FJ23" s="146">
        <f t="shared" si="29"/>
        <v>118.2</v>
      </c>
      <c r="FK23" s="146">
        <f t="shared" si="29"/>
        <v>118.2</v>
      </c>
      <c r="FL23" s="146">
        <f t="shared" si="29"/>
        <v>118.2</v>
      </c>
      <c r="FM23" s="146">
        <f t="shared" si="29"/>
        <v>118.2</v>
      </c>
      <c r="FN23" s="146">
        <f t="shared" si="29"/>
        <v>118.2</v>
      </c>
      <c r="FO23" s="146">
        <f t="shared" si="29"/>
        <v>118.2</v>
      </c>
      <c r="FP23" s="146">
        <f t="shared" si="29"/>
        <v>118.2</v>
      </c>
      <c r="FQ23" s="146">
        <f t="shared" si="29"/>
        <v>118.2</v>
      </c>
      <c r="FR23" s="146">
        <f t="shared" si="29"/>
        <v>118.2</v>
      </c>
      <c r="FS23" s="146">
        <f t="shared" si="29"/>
        <v>118.2</v>
      </c>
      <c r="FT23" s="146">
        <f t="shared" si="29"/>
        <v>118.2</v>
      </c>
      <c r="FU23" s="146">
        <f t="shared" si="29"/>
        <v>118.2</v>
      </c>
      <c r="FV23" s="146">
        <f t="shared" si="29"/>
        <v>118.2</v>
      </c>
      <c r="FW23" s="146">
        <f t="shared" si="29"/>
        <v>118.2</v>
      </c>
      <c r="FX23" s="146">
        <f t="shared" si="29"/>
        <v>118.2</v>
      </c>
      <c r="FY23" s="146">
        <f t="shared" si="29"/>
        <v>118.2</v>
      </c>
      <c r="FZ23" s="146">
        <f t="shared" si="29"/>
        <v>118.2</v>
      </c>
      <c r="GA23" s="146">
        <f t="shared" si="29"/>
        <v>118.2</v>
      </c>
      <c r="GB23" s="146">
        <f t="shared" si="29"/>
        <v>118.2</v>
      </c>
      <c r="GC23" s="146">
        <f t="shared" si="29"/>
        <v>118.2</v>
      </c>
      <c r="GD23" s="146">
        <f t="shared" si="29"/>
        <v>118.2</v>
      </c>
      <c r="GE23" s="146">
        <f t="shared" si="29"/>
        <v>118.2</v>
      </c>
      <c r="GF23" s="146">
        <f t="shared" si="29"/>
        <v>118.2</v>
      </c>
      <c r="GG23" s="146">
        <f t="shared" si="29"/>
        <v>118.2</v>
      </c>
      <c r="GH23" s="146">
        <f t="shared" si="29"/>
        <v>118.2</v>
      </c>
      <c r="GI23" s="146">
        <f t="shared" si="29"/>
        <v>118.2</v>
      </c>
      <c r="GJ23" s="146">
        <f t="shared" si="29"/>
        <v>118.2</v>
      </c>
      <c r="GK23" s="146">
        <f t="shared" si="29"/>
        <v>118.2</v>
      </c>
      <c r="GL23" s="146">
        <f t="shared" si="29"/>
        <v>118.2</v>
      </c>
      <c r="GM23" s="146">
        <f t="shared" ref="GM23:GZ23" si="30">$CT$23</f>
        <v>118.2</v>
      </c>
      <c r="GN23" s="146">
        <f t="shared" si="30"/>
        <v>118.2</v>
      </c>
      <c r="GO23" s="146">
        <f t="shared" si="30"/>
        <v>118.2</v>
      </c>
      <c r="GP23" s="146">
        <f t="shared" si="30"/>
        <v>118.2</v>
      </c>
      <c r="GQ23" s="146">
        <f t="shared" si="30"/>
        <v>118.2</v>
      </c>
      <c r="GR23" s="146">
        <f t="shared" si="30"/>
        <v>118.2</v>
      </c>
      <c r="GS23" s="146">
        <f t="shared" si="30"/>
        <v>118.2</v>
      </c>
      <c r="GT23" s="146">
        <f t="shared" si="30"/>
        <v>118.2</v>
      </c>
      <c r="GU23" s="146">
        <f t="shared" si="30"/>
        <v>118.2</v>
      </c>
      <c r="GV23" s="146">
        <f t="shared" si="30"/>
        <v>118.2</v>
      </c>
      <c r="GW23" s="146">
        <f t="shared" si="30"/>
        <v>118.2</v>
      </c>
      <c r="GX23" s="146">
        <f t="shared" si="30"/>
        <v>118.2</v>
      </c>
      <c r="GY23" s="146">
        <f t="shared" si="30"/>
        <v>118.2</v>
      </c>
      <c r="GZ23" s="146">
        <f t="shared" si="30"/>
        <v>118.2</v>
      </c>
    </row>
    <row r="25" spans="2:208" s="253" customFormat="1" ht="12.95" customHeight="1" x14ac:dyDescent="0.25">
      <c r="B25" s="105" t="s">
        <v>946</v>
      </c>
      <c r="C25" s="106"/>
      <c r="D25" s="106"/>
      <c r="E25" s="106"/>
      <c r="F25" s="106"/>
      <c r="G25" s="106"/>
      <c r="H25" s="106"/>
      <c r="I25" s="106"/>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c r="BZ25" s="107"/>
      <c r="CA25" s="107"/>
      <c r="CB25" s="107"/>
      <c r="CC25" s="107"/>
      <c r="CD25" s="107"/>
      <c r="CE25" s="107"/>
      <c r="CF25" s="107"/>
      <c r="CG25" s="107"/>
      <c r="CH25" s="107"/>
      <c r="CI25" s="107"/>
      <c r="CJ25" s="107"/>
      <c r="CK25" s="107"/>
      <c r="CL25" s="107"/>
      <c r="CM25" s="107"/>
      <c r="CN25" s="107"/>
      <c r="CO25" s="107"/>
      <c r="CP25" s="107"/>
      <c r="CQ25" s="107"/>
      <c r="CR25" s="107"/>
      <c r="CS25" s="107"/>
      <c r="CT25" s="107"/>
      <c r="CU25" s="107"/>
      <c r="CV25" s="107"/>
      <c r="CW25" s="107"/>
      <c r="CX25" s="107"/>
      <c r="CY25" s="107"/>
      <c r="CZ25" s="107"/>
      <c r="DA25" s="107"/>
      <c r="DB25" s="107"/>
      <c r="DC25" s="107"/>
      <c r="DD25" s="107"/>
      <c r="DE25" s="107"/>
      <c r="DF25" s="107"/>
      <c r="DG25" s="107"/>
      <c r="DH25" s="107"/>
      <c r="DI25" s="107"/>
      <c r="DJ25" s="107"/>
      <c r="DK25" s="107"/>
      <c r="DL25" s="107"/>
      <c r="DM25" s="107"/>
      <c r="DN25" s="107"/>
      <c r="DO25" s="107"/>
      <c r="DP25" s="107"/>
      <c r="DQ25" s="107"/>
      <c r="DR25" s="107"/>
      <c r="DS25" s="107"/>
      <c r="DT25" s="107"/>
      <c r="DU25" s="107"/>
      <c r="DV25" s="107"/>
      <c r="DW25" s="107"/>
      <c r="DX25" s="107"/>
      <c r="DY25" s="107"/>
      <c r="DZ25" s="107"/>
      <c r="EA25" s="107"/>
      <c r="EB25" s="107"/>
      <c r="EC25" s="107"/>
      <c r="ED25" s="107"/>
      <c r="EE25" s="107"/>
      <c r="EF25" s="107"/>
      <c r="EG25" s="107"/>
      <c r="EH25" s="107"/>
      <c r="EI25" s="107"/>
      <c r="EJ25" s="107"/>
      <c r="EK25" s="107"/>
      <c r="EL25" s="107"/>
      <c r="EM25" s="107"/>
      <c r="EN25" s="107"/>
      <c r="EO25" s="107"/>
      <c r="EP25" s="107"/>
      <c r="EQ25" s="107"/>
      <c r="ER25" s="107"/>
      <c r="ES25" s="107"/>
      <c r="ET25" s="107"/>
      <c r="EU25" s="107"/>
      <c r="EV25" s="107"/>
      <c r="EW25" s="107"/>
      <c r="EX25" s="107"/>
      <c r="EY25" s="107"/>
      <c r="EZ25" s="107"/>
      <c r="FA25" s="107"/>
      <c r="FB25" s="107"/>
      <c r="FC25" s="107"/>
      <c r="FD25" s="107"/>
      <c r="FE25" s="107"/>
      <c r="FF25" s="107"/>
      <c r="FG25" s="107"/>
      <c r="FH25" s="107"/>
      <c r="FI25" s="107"/>
      <c r="FJ25" s="107"/>
      <c r="FK25" s="107"/>
      <c r="FL25" s="107"/>
      <c r="FM25" s="107"/>
      <c r="FN25" s="107"/>
      <c r="FO25" s="107"/>
      <c r="FP25" s="107"/>
      <c r="FQ25" s="107"/>
      <c r="FR25" s="107"/>
      <c r="FS25" s="107"/>
      <c r="FT25" s="107"/>
      <c r="FU25" s="107"/>
      <c r="FV25" s="107"/>
      <c r="FW25" s="107"/>
      <c r="FX25" s="107"/>
      <c r="FY25" s="107"/>
      <c r="FZ25" s="107"/>
      <c r="GA25" s="107"/>
      <c r="GB25" s="107"/>
      <c r="GC25" s="107"/>
      <c r="GD25" s="107"/>
      <c r="GE25" s="107"/>
      <c r="GF25" s="107"/>
      <c r="GG25" s="107"/>
      <c r="GH25" s="107"/>
      <c r="GI25" s="107"/>
      <c r="GJ25" s="107"/>
      <c r="GK25" s="107"/>
      <c r="GL25" s="107"/>
      <c r="GM25" s="107"/>
      <c r="GN25" s="107"/>
      <c r="GO25" s="107"/>
      <c r="GP25" s="107"/>
      <c r="GQ25" s="107"/>
      <c r="GR25" s="107"/>
      <c r="GS25" s="107"/>
      <c r="GT25" s="107"/>
      <c r="GU25" s="107"/>
      <c r="GV25" s="107"/>
      <c r="GW25" s="107"/>
      <c r="GX25" s="107"/>
      <c r="GY25" s="107"/>
      <c r="GZ25" s="161"/>
    </row>
    <row r="26" spans="2:208" s="253" customFormat="1" ht="12.95" customHeight="1" x14ac:dyDescent="0.25">
      <c r="B26" s="19" t="s">
        <v>300</v>
      </c>
      <c r="C26" s="20"/>
      <c r="D26" s="20"/>
      <c r="E26" s="5" t="s">
        <v>0</v>
      </c>
      <c r="F26" s="5" t="s">
        <v>1</v>
      </c>
      <c r="G26" s="5" t="s">
        <v>305</v>
      </c>
      <c r="H26" s="5">
        <v>0</v>
      </c>
      <c r="I26" s="5">
        <v>1</v>
      </c>
      <c r="J26" s="5">
        <v>2</v>
      </c>
      <c r="K26" s="5">
        <v>3</v>
      </c>
      <c r="L26" s="5">
        <v>4</v>
      </c>
      <c r="M26" s="5">
        <v>5</v>
      </c>
      <c r="N26" s="5">
        <v>6</v>
      </c>
      <c r="O26" s="5">
        <v>7</v>
      </c>
      <c r="P26" s="5">
        <v>8</v>
      </c>
      <c r="Q26" s="5">
        <v>9</v>
      </c>
      <c r="R26" s="5">
        <v>10</v>
      </c>
      <c r="S26" s="5">
        <v>11</v>
      </c>
      <c r="T26" s="5">
        <v>12</v>
      </c>
      <c r="U26" s="5">
        <v>13</v>
      </c>
      <c r="V26" s="5">
        <v>14</v>
      </c>
      <c r="W26" s="5">
        <v>15</v>
      </c>
      <c r="X26" s="5">
        <v>16</v>
      </c>
      <c r="Y26" s="5">
        <v>17</v>
      </c>
      <c r="Z26" s="5">
        <v>18</v>
      </c>
      <c r="AA26" s="5">
        <v>19</v>
      </c>
      <c r="AB26" s="5">
        <v>20</v>
      </c>
      <c r="AC26" s="5">
        <v>21</v>
      </c>
      <c r="AD26" s="5">
        <v>22</v>
      </c>
      <c r="AE26" s="5">
        <v>23</v>
      </c>
      <c r="AF26" s="5">
        <v>24</v>
      </c>
      <c r="AG26" s="5">
        <v>25</v>
      </c>
      <c r="AH26" s="5">
        <v>26</v>
      </c>
      <c r="AI26" s="5">
        <v>27</v>
      </c>
      <c r="AJ26" s="5">
        <v>28</v>
      </c>
      <c r="AK26" s="5">
        <v>29</v>
      </c>
      <c r="AL26" s="5">
        <v>30</v>
      </c>
      <c r="AM26" s="5">
        <v>31</v>
      </c>
      <c r="AN26" s="5">
        <v>32</v>
      </c>
      <c r="AO26" s="5">
        <v>33</v>
      </c>
      <c r="AP26" s="5">
        <v>34</v>
      </c>
      <c r="AQ26" s="5">
        <v>35</v>
      </c>
      <c r="AR26" s="5">
        <v>36</v>
      </c>
      <c r="AS26" s="5">
        <v>37</v>
      </c>
      <c r="AT26" s="5">
        <v>38</v>
      </c>
      <c r="AU26" s="5">
        <v>39</v>
      </c>
      <c r="AV26" s="5">
        <v>40</v>
      </c>
      <c r="AW26" s="5">
        <v>41</v>
      </c>
      <c r="AX26" s="5">
        <v>42</v>
      </c>
      <c r="AY26" s="5">
        <v>43</v>
      </c>
      <c r="AZ26" s="5">
        <v>44</v>
      </c>
      <c r="BA26" s="5">
        <v>45</v>
      </c>
      <c r="BB26" s="5">
        <v>46</v>
      </c>
      <c r="BC26" s="5">
        <v>47</v>
      </c>
      <c r="BD26" s="5">
        <v>48</v>
      </c>
      <c r="BE26" s="5">
        <v>49</v>
      </c>
      <c r="BF26" s="5">
        <v>50</v>
      </c>
      <c r="BG26" s="5">
        <v>51</v>
      </c>
      <c r="BH26" s="5">
        <v>52</v>
      </c>
      <c r="BI26" s="5">
        <v>53</v>
      </c>
      <c r="BJ26" s="5">
        <v>54</v>
      </c>
      <c r="BK26" s="5">
        <v>55</v>
      </c>
      <c r="BL26" s="5">
        <v>56</v>
      </c>
      <c r="BM26" s="5">
        <v>57</v>
      </c>
      <c r="BN26" s="5">
        <v>58</v>
      </c>
      <c r="BO26" s="5">
        <v>59</v>
      </c>
      <c r="BP26" s="5">
        <v>60</v>
      </c>
      <c r="BQ26" s="5">
        <v>61</v>
      </c>
      <c r="BR26" s="5">
        <v>62</v>
      </c>
      <c r="BS26" s="5">
        <v>63</v>
      </c>
      <c r="BT26" s="5">
        <v>64</v>
      </c>
      <c r="BU26" s="5">
        <v>65</v>
      </c>
      <c r="BV26" s="5">
        <v>66</v>
      </c>
      <c r="BW26" s="5">
        <v>67</v>
      </c>
      <c r="BX26" s="5">
        <v>68</v>
      </c>
      <c r="BY26" s="5">
        <v>69</v>
      </c>
      <c r="BZ26" s="5">
        <v>70</v>
      </c>
      <c r="CA26" s="5">
        <v>71</v>
      </c>
      <c r="CB26" s="5">
        <v>72</v>
      </c>
      <c r="CC26" s="5">
        <v>73</v>
      </c>
      <c r="CD26" s="5">
        <v>74</v>
      </c>
      <c r="CE26" s="5">
        <v>75</v>
      </c>
      <c r="CF26" s="5">
        <v>76</v>
      </c>
      <c r="CG26" s="5">
        <v>77</v>
      </c>
      <c r="CH26" s="5">
        <v>78</v>
      </c>
      <c r="CI26" s="5">
        <v>79</v>
      </c>
      <c r="CJ26" s="5">
        <v>80</v>
      </c>
      <c r="CK26" s="5">
        <v>81</v>
      </c>
      <c r="CL26" s="5">
        <v>82</v>
      </c>
      <c r="CM26" s="5">
        <v>83</v>
      </c>
      <c r="CN26" s="5">
        <v>84</v>
      </c>
      <c r="CO26" s="5">
        <v>85</v>
      </c>
      <c r="CP26" s="5">
        <v>86</v>
      </c>
      <c r="CQ26" s="5">
        <v>87</v>
      </c>
      <c r="CR26" s="5">
        <v>88</v>
      </c>
      <c r="CS26" s="5">
        <v>89</v>
      </c>
      <c r="CT26" s="5">
        <v>90</v>
      </c>
      <c r="CU26" s="5">
        <v>91</v>
      </c>
      <c r="CV26" s="5">
        <v>92</v>
      </c>
      <c r="CW26" s="5">
        <v>93</v>
      </c>
      <c r="CX26" s="5">
        <v>94</v>
      </c>
      <c r="CY26" s="5">
        <v>95</v>
      </c>
      <c r="CZ26" s="5">
        <v>96</v>
      </c>
      <c r="DA26" s="5">
        <v>97</v>
      </c>
      <c r="DB26" s="5">
        <v>98</v>
      </c>
      <c r="DC26" s="5">
        <v>99</v>
      </c>
      <c r="DD26" s="5">
        <v>100</v>
      </c>
      <c r="DE26" s="5">
        <v>101</v>
      </c>
      <c r="DF26" s="5">
        <v>102</v>
      </c>
      <c r="DG26" s="5">
        <v>103</v>
      </c>
      <c r="DH26" s="5">
        <v>104</v>
      </c>
      <c r="DI26" s="5">
        <v>105</v>
      </c>
      <c r="DJ26" s="5">
        <v>106</v>
      </c>
      <c r="DK26" s="5">
        <v>107</v>
      </c>
      <c r="DL26" s="5">
        <v>108</v>
      </c>
      <c r="DM26" s="5">
        <v>109</v>
      </c>
      <c r="DN26" s="5">
        <v>110</v>
      </c>
      <c r="DO26" s="5">
        <v>111</v>
      </c>
      <c r="DP26" s="5">
        <v>112</v>
      </c>
      <c r="DQ26" s="5">
        <v>113</v>
      </c>
      <c r="DR26" s="5">
        <v>114</v>
      </c>
      <c r="DS26" s="5">
        <v>115</v>
      </c>
      <c r="DT26" s="5">
        <v>116</v>
      </c>
      <c r="DU26" s="5">
        <v>117</v>
      </c>
      <c r="DV26" s="5">
        <v>118</v>
      </c>
      <c r="DW26" s="5">
        <v>119</v>
      </c>
      <c r="DX26" s="5">
        <v>120</v>
      </c>
      <c r="DY26" s="5">
        <v>121</v>
      </c>
      <c r="DZ26" s="5">
        <v>122</v>
      </c>
      <c r="EA26" s="5">
        <v>123</v>
      </c>
      <c r="EB26" s="5">
        <v>124</v>
      </c>
      <c r="EC26" s="5">
        <v>125</v>
      </c>
      <c r="ED26" s="5">
        <v>126</v>
      </c>
      <c r="EE26" s="5">
        <v>127</v>
      </c>
      <c r="EF26" s="5">
        <v>128</v>
      </c>
      <c r="EG26" s="5">
        <v>129</v>
      </c>
      <c r="EH26" s="5">
        <v>130</v>
      </c>
      <c r="EI26" s="5">
        <v>131</v>
      </c>
      <c r="EJ26" s="5">
        <v>132</v>
      </c>
      <c r="EK26" s="5">
        <v>133</v>
      </c>
      <c r="EL26" s="5">
        <v>134</v>
      </c>
      <c r="EM26" s="5">
        <v>135</v>
      </c>
      <c r="EN26" s="5">
        <v>136</v>
      </c>
      <c r="EO26" s="5">
        <v>137</v>
      </c>
      <c r="EP26" s="5">
        <v>138</v>
      </c>
      <c r="EQ26" s="5">
        <v>139</v>
      </c>
      <c r="ER26" s="5">
        <v>140</v>
      </c>
      <c r="ES26" s="5">
        <v>141</v>
      </c>
      <c r="ET26" s="5">
        <v>142</v>
      </c>
      <c r="EU26" s="5">
        <v>143</v>
      </c>
      <c r="EV26" s="5">
        <v>144</v>
      </c>
      <c r="EW26" s="5">
        <v>145</v>
      </c>
      <c r="EX26" s="5">
        <v>146</v>
      </c>
      <c r="EY26" s="5">
        <v>147</v>
      </c>
      <c r="EZ26" s="5">
        <v>148</v>
      </c>
      <c r="FA26" s="5">
        <v>149</v>
      </c>
      <c r="FB26" s="5">
        <v>150</v>
      </c>
      <c r="FC26" s="5">
        <v>151</v>
      </c>
      <c r="FD26" s="5">
        <v>152</v>
      </c>
      <c r="FE26" s="5">
        <v>153</v>
      </c>
      <c r="FF26" s="5">
        <v>154</v>
      </c>
      <c r="FG26" s="5">
        <v>155</v>
      </c>
      <c r="FH26" s="5">
        <v>156</v>
      </c>
      <c r="FI26" s="5">
        <v>157</v>
      </c>
      <c r="FJ26" s="5">
        <v>158</v>
      </c>
      <c r="FK26" s="5">
        <v>159</v>
      </c>
      <c r="FL26" s="5">
        <v>160</v>
      </c>
      <c r="FM26" s="5">
        <v>161</v>
      </c>
      <c r="FN26" s="5">
        <v>162</v>
      </c>
      <c r="FO26" s="5">
        <v>163</v>
      </c>
      <c r="FP26" s="5">
        <v>164</v>
      </c>
      <c r="FQ26" s="5">
        <v>165</v>
      </c>
      <c r="FR26" s="5">
        <v>166</v>
      </c>
      <c r="FS26" s="5">
        <v>167</v>
      </c>
      <c r="FT26" s="5">
        <v>168</v>
      </c>
      <c r="FU26" s="5">
        <v>169</v>
      </c>
      <c r="FV26" s="5">
        <v>170</v>
      </c>
      <c r="FW26" s="5">
        <v>171</v>
      </c>
      <c r="FX26" s="5">
        <v>172</v>
      </c>
      <c r="FY26" s="5">
        <v>173</v>
      </c>
      <c r="FZ26" s="5">
        <v>174</v>
      </c>
      <c r="GA26" s="5">
        <v>175</v>
      </c>
      <c r="GB26" s="5">
        <v>176</v>
      </c>
      <c r="GC26" s="5">
        <v>177</v>
      </c>
      <c r="GD26" s="5">
        <v>178</v>
      </c>
      <c r="GE26" s="5">
        <v>179</v>
      </c>
      <c r="GF26" s="5">
        <v>180</v>
      </c>
      <c r="GG26" s="5">
        <v>181</v>
      </c>
      <c r="GH26" s="5">
        <v>182</v>
      </c>
      <c r="GI26" s="5">
        <v>183</v>
      </c>
      <c r="GJ26" s="5">
        <v>184</v>
      </c>
      <c r="GK26" s="5">
        <v>185</v>
      </c>
      <c r="GL26" s="5">
        <v>186</v>
      </c>
      <c r="GM26" s="5">
        <v>187</v>
      </c>
      <c r="GN26" s="5">
        <v>188</v>
      </c>
      <c r="GO26" s="5">
        <v>189</v>
      </c>
      <c r="GP26" s="5">
        <v>190</v>
      </c>
      <c r="GQ26" s="5">
        <v>191</v>
      </c>
      <c r="GR26" s="5">
        <v>192</v>
      </c>
      <c r="GS26" s="5">
        <v>193</v>
      </c>
      <c r="GT26" s="5">
        <v>194</v>
      </c>
      <c r="GU26" s="5">
        <v>195</v>
      </c>
      <c r="GV26" s="5">
        <v>196</v>
      </c>
      <c r="GW26" s="5">
        <v>197</v>
      </c>
      <c r="GX26" s="5">
        <v>198</v>
      </c>
      <c r="GY26" s="5">
        <v>199</v>
      </c>
      <c r="GZ26" s="5">
        <v>200</v>
      </c>
    </row>
    <row r="27" spans="2:208" ht="12.95" customHeight="1" x14ac:dyDescent="0.2">
      <c r="B27" s="54" t="s">
        <v>400</v>
      </c>
      <c r="E27" s="126">
        <v>117.95860291087529</v>
      </c>
      <c r="F27" s="54" t="s">
        <v>395</v>
      </c>
      <c r="G27" s="253" t="s">
        <v>1223</v>
      </c>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row>
    <row r="28" spans="2:208" ht="12.95" customHeight="1" x14ac:dyDescent="0.2">
      <c r="B28" s="118" t="s">
        <v>394</v>
      </c>
      <c r="E28" s="344">
        <v>19.94147863707099</v>
      </c>
      <c r="F28" s="54" t="s">
        <v>4</v>
      </c>
      <c r="G28" s="253" t="s">
        <v>1223</v>
      </c>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row>
    <row r="29" spans="2:208" ht="12.95" customHeight="1" x14ac:dyDescent="0.2">
      <c r="B29" s="118" t="s">
        <v>397</v>
      </c>
      <c r="E29" s="344">
        <v>3</v>
      </c>
      <c r="F29" s="54" t="s">
        <v>396</v>
      </c>
      <c r="G29" s="253"/>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row>
    <row r="30" spans="2:208" ht="12.95" customHeight="1" x14ac:dyDescent="0.2">
      <c r="B30" s="118" t="s">
        <v>577</v>
      </c>
      <c r="F30" s="54" t="s">
        <v>395</v>
      </c>
      <c r="H30" s="146">
        <v>0</v>
      </c>
      <c r="I30" s="146">
        <f t="shared" ref="I30:AN30" si="31">$E$27*(1-EXP(-I20/$E$28))^$E$29</f>
        <v>1.3801503036642727E-2</v>
      </c>
      <c r="J30" s="146">
        <f t="shared" si="31"/>
        <v>0.10250810373022921</v>
      </c>
      <c r="K30" s="146">
        <f t="shared" si="31"/>
        <v>0.32140060564134304</v>
      </c>
      <c r="L30" s="146">
        <f t="shared" si="31"/>
        <v>0.70819088008020181</v>
      </c>
      <c r="M30" s="146">
        <f t="shared" si="31"/>
        <v>1.2865903014343147</v>
      </c>
      <c r="N30" s="146">
        <f t="shared" si="31"/>
        <v>2.0692648651289542</v>
      </c>
      <c r="O30" s="146">
        <f t="shared" si="31"/>
        <v>3.0602740346849182</v>
      </c>
      <c r="P30" s="146">
        <f t="shared" si="31"/>
        <v>4.2570757029793187</v>
      </c>
      <c r="Q30" s="146">
        <f t="shared" si="31"/>
        <v>5.6521671458405169</v>
      </c>
      <c r="R30" s="146">
        <f t="shared" si="31"/>
        <v>7.2344211823897746</v>
      </c>
      <c r="S30" s="146">
        <f t="shared" si="31"/>
        <v>8.9901676693851371</v>
      </c>
      <c r="T30" s="146">
        <f t="shared" si="31"/>
        <v>10.904062717666822</v>
      </c>
      <c r="U30" s="146">
        <f t="shared" si="31"/>
        <v>12.959781431811036</v>
      </c>
      <c r="V30" s="146">
        <f t="shared" si="31"/>
        <v>15.140564371508987</v>
      </c>
      <c r="W30" s="146">
        <f t="shared" si="31"/>
        <v>17.4296431713258</v>
      </c>
      <c r="X30" s="146">
        <f t="shared" si="31"/>
        <v>19.810566711342741</v>
      </c>
      <c r="Y30" s="146">
        <f t="shared" si="31"/>
        <v>22.267445799447479</v>
      </c>
      <c r="Z30" s="146">
        <f t="shared" si="31"/>
        <v>24.785131416603353</v>
      </c>
      <c r="AA30" s="146">
        <f t="shared" si="31"/>
        <v>27.349339112214277</v>
      </c>
      <c r="AB30" s="146">
        <f t="shared" si="31"/>
        <v>29.946730051786854</v>
      </c>
      <c r="AC30" s="146">
        <f t="shared" si="31"/>
        <v>32.564957457117195</v>
      </c>
      <c r="AD30" s="146">
        <f t="shared" si="31"/>
        <v>35.192685692036868</v>
      </c>
      <c r="AE30" s="146">
        <f t="shared" si="31"/>
        <v>37.819587993197999</v>
      </c>
      <c r="AF30" s="146">
        <f t="shared" si="31"/>
        <v>40.436327790332221</v>
      </c>
      <c r="AG30" s="146">
        <f t="shared" si="31"/>
        <v>43.034527673896086</v>
      </c>
      <c r="AH30" s="146">
        <f t="shared" si="31"/>
        <v>45.606729324439719</v>
      </c>
      <c r="AI30" s="146">
        <f t="shared" si="31"/>
        <v>48.146347095592041</v>
      </c>
      <c r="AJ30" s="146">
        <f t="shared" si="31"/>
        <v>50.647617422659295</v>
      </c>
      <c r="AK30" s="146">
        <f t="shared" si="31"/>
        <v>53.105545795652432</v>
      </c>
      <c r="AL30" s="146">
        <f t="shared" si="31"/>
        <v>55.515852675616792</v>
      </c>
      <c r="AM30" s="146">
        <f t="shared" si="31"/>
        <v>57.874919434974622</v>
      </c>
      <c r="AN30" s="146">
        <f t="shared" si="31"/>
        <v>60.179735156461923</v>
      </c>
      <c r="AO30" s="146">
        <f t="shared" ref="AO30:BT30" si="32">$E$27*(1-EXP(-AO20/$E$28))^$E$29</f>
        <v>62.427844922873923</v>
      </c>
      <c r="AP30" s="146">
        <f t="shared" si="32"/>
        <v>64.617300064203548</v>
      </c>
      <c r="AQ30" s="146">
        <f t="shared" si="32"/>
        <v>66.746610693912174</v>
      </c>
      <c r="AR30" s="146">
        <f t="shared" si="32"/>
        <v>68.814700756968321</v>
      </c>
      <c r="AS30" s="146">
        <f t="shared" si="32"/>
        <v>70.820865724660678</v>
      </c>
      <c r="AT30" s="146">
        <f t="shared" si="32"/>
        <v>72.764733001429349</v>
      </c>
      <c r="AU30" s="146">
        <f t="shared" si="32"/>
        <v>74.646225054022594</v>
      </c>
      <c r="AV30" s="146">
        <f t="shared" si="32"/>
        <v>76.465525230604669</v>
      </c>
      <c r="AW30" s="146">
        <f t="shared" si="32"/>
        <v>78.22304620485869</v>
      </c>
      <c r="AX30" s="146">
        <f t="shared" si="32"/>
        <v>79.919400955828209</v>
      </c>
      <c r="AY30" s="146">
        <f t="shared" si="32"/>
        <v>81.555376176702282</v>
      </c>
      <c r="AZ30" s="146">
        <f t="shared" si="32"/>
        <v>83.131907993694981</v>
      </c>
      <c r="BA30" s="146">
        <f t="shared" si="32"/>
        <v>84.650059868539287</v>
      </c>
      <c r="BB30" s="146">
        <f t="shared" si="32"/>
        <v>86.111002554017915</v>
      </c>
      <c r="BC30" s="146">
        <f t="shared" si="32"/>
        <v>87.515995970655169</v>
      </c>
      <c r="BD30" s="146">
        <f t="shared" si="32"/>
        <v>88.866372873580801</v>
      </c>
      <c r="BE30" s="146">
        <f t="shared" si="32"/>
        <v>90.163524181150464</v>
      </c>
      <c r="BF30" s="146">
        <f t="shared" si="32"/>
        <v>91.408885840746265</v>
      </c>
      <c r="BG30" s="146">
        <f t="shared" si="32"/>
        <v>92.603927111953922</v>
      </c>
      <c r="BH30" s="146">
        <f t="shared" si="32"/>
        <v>93.750140152737799</v>
      </c>
      <c r="BI30" s="146">
        <f t="shared" si="32"/>
        <v>94.849030800092564</v>
      </c>
      <c r="BJ30" s="146">
        <f t="shared" si="32"/>
        <v>95.902110442760019</v>
      </c>
      <c r="BK30" s="146">
        <f t="shared" si="32"/>
        <v>96.910888889817528</v>
      </c>
      <c r="BL30" s="146">
        <f t="shared" si="32"/>
        <v>97.876868145162788</v>
      </c>
      <c r="BM30" s="146">
        <f t="shared" si="32"/>
        <v>98.801537004046068</v>
      </c>
      <c r="BN30" s="146">
        <f t="shared" si="32"/>
        <v>99.686366393772815</v>
      </c>
      <c r="BO30" s="146">
        <f t="shared" si="32"/>
        <v>100.5328053864676</v>
      </c>
      <c r="BP30" s="146">
        <f t="shared" si="32"/>
        <v>101.34227781731518</v>
      </c>
      <c r="BQ30" s="146">
        <f t="shared" si="32"/>
        <v>102.11617944695877</v>
      </c>
      <c r="BR30" s="146">
        <f t="shared" si="32"/>
        <v>102.85587561171667</v>
      </c>
      <c r="BS30" s="146">
        <f t="shared" si="32"/>
        <v>103.56269930997377</v>
      </c>
      <c r="BT30" s="146">
        <f t="shared" si="32"/>
        <v>104.23794967751182</v>
      </c>
      <c r="BU30" s="146">
        <f t="shared" ref="BU30:CZ30" si="33">$E$27*(1-EXP(-BU20/$E$28))^$E$29</f>
        <v>104.88289080865843</v>
      </c>
      <c r="BV30" s="146">
        <f t="shared" si="33"/>
        <v>105.49875088397421</v>
      </c>
      <c r="BW30" s="146">
        <f t="shared" si="33"/>
        <v>106.08672156876112</v>
      </c>
      <c r="BX30" s="146">
        <f t="shared" si="33"/>
        <v>106.6479576499766</v>
      </c>
      <c r="BY30" s="146">
        <f t="shared" si="33"/>
        <v>107.18357688218988</v>
      </c>
      <c r="BZ30" s="146">
        <f t="shared" si="33"/>
        <v>107.69466001602949</v>
      </c>
      <c r="CA30" s="146">
        <f t="shared" si="33"/>
        <v>108.18225098515779</v>
      </c>
      <c r="CB30" s="146">
        <f t="shared" si="33"/>
        <v>108.64735723018511</v>
      </c>
      <c r="CC30" s="146">
        <f t="shared" si="33"/>
        <v>109.0909501401116</v>
      </c>
      <c r="CD30" s="146">
        <f t="shared" si="33"/>
        <v>109.51396559387747</v>
      </c>
      <c r="CE30" s="146">
        <f t="shared" si="33"/>
        <v>109.91730458641989</v>
      </c>
      <c r="CF30" s="146">
        <f t="shared" si="33"/>
        <v>110.3018339252922</v>
      </c>
      <c r="CG30" s="146">
        <f t="shared" si="33"/>
        <v>110.6683869854116</v>
      </c>
      <c r="CH30" s="146">
        <f t="shared" si="33"/>
        <v>111.01776451087146</v>
      </c>
      <c r="CI30" s="146">
        <f t="shared" si="33"/>
        <v>111.35073545400006</v>
      </c>
      <c r="CJ30" s="146">
        <f t="shared" si="33"/>
        <v>111.66803784297581</v>
      </c>
      <c r="CK30" s="146">
        <f t="shared" si="33"/>
        <v>111.97037967032826</v>
      </c>
      <c r="CL30" s="146">
        <f t="shared" si="33"/>
        <v>112.25843979557877</v>
      </c>
      <c r="CM30" s="146">
        <f t="shared" si="33"/>
        <v>112.53286885610451</v>
      </c>
      <c r="CN30" s="146">
        <f t="shared" si="33"/>
        <v>112.79429018106121</v>
      </c>
      <c r="CO30" s="146">
        <f t="shared" si="33"/>
        <v>113.04330070387277</v>
      </c>
      <c r="CP30" s="146">
        <f t="shared" si="33"/>
        <v>113.2804718694035</v>
      </c>
      <c r="CQ30" s="146">
        <f t="shared" si="33"/>
        <v>113.50635053246974</v>
      </c>
      <c r="CR30" s="146">
        <f t="shared" si="33"/>
        <v>113.72145984483637</v>
      </c>
      <c r="CS30" s="146">
        <f t="shared" si="33"/>
        <v>113.92630012827603</v>
      </c>
      <c r="CT30" s="146">
        <f t="shared" si="33"/>
        <v>114.121349731659</v>
      </c>
      <c r="CU30" s="146">
        <f t="shared" si="33"/>
        <v>114.30706587038449</v>
      </c>
      <c r="CV30" s="146">
        <f t="shared" si="33"/>
        <v>114.48388544677304</v>
      </c>
      <c r="CW30" s="146">
        <f t="shared" si="33"/>
        <v>114.65222585031027</v>
      </c>
      <c r="CX30" s="146">
        <f t="shared" si="33"/>
        <v>114.81248573687292</v>
      </c>
      <c r="CY30" s="146">
        <f t="shared" si="33"/>
        <v>114.96504578628149</v>
      </c>
      <c r="CZ30" s="146">
        <f t="shared" si="33"/>
        <v>115.11026943770834</v>
      </c>
      <c r="DA30" s="146">
        <f t="shared" ref="DA30:EF30" si="34">$E$27*(1-EXP(-DA20/$E$28))^$E$29</f>
        <v>115.24850360263548</v>
      </c>
      <c r="DB30" s="146">
        <f t="shared" si="34"/>
        <v>115.38007935519893</v>
      </c>
      <c r="DC30" s="146">
        <f t="shared" si="34"/>
        <v>115.50531259987942</v>
      </c>
      <c r="DD30" s="146">
        <f t="shared" si="34"/>
        <v>115.62450471660945</v>
      </c>
      <c r="DE30" s="146">
        <f t="shared" si="34"/>
        <v>115.7379431834575</v>
      </c>
      <c r="DF30" s="146">
        <f t="shared" si="34"/>
        <v>115.8459021771306</v>
      </c>
      <c r="DG30" s="146">
        <f t="shared" si="34"/>
        <v>115.94864315160417</v>
      </c>
      <c r="DH30" s="146">
        <f t="shared" si="34"/>
        <v>116.04641539524519</v>
      </c>
      <c r="DI30" s="146">
        <f t="shared" si="34"/>
        <v>116.13945656684137</v>
      </c>
      <c r="DJ30" s="146">
        <f t="shared" si="34"/>
        <v>116.22799321099063</v>
      </c>
      <c r="DK30" s="146">
        <f t="shared" si="34"/>
        <v>116.31224125333401</v>
      </c>
      <c r="DL30" s="146">
        <f t="shared" si="34"/>
        <v>116.39240647614314</v>
      </c>
      <c r="DM30" s="146">
        <f t="shared" si="34"/>
        <v>116.4686849747918</v>
      </c>
      <c r="DN30" s="146">
        <f t="shared" si="34"/>
        <v>116.54126359565491</v>
      </c>
      <c r="DO30" s="146">
        <f t="shared" si="34"/>
        <v>116.6103203559903</v>
      </c>
      <c r="DP30" s="146">
        <f t="shared" si="34"/>
        <v>116.67602484636244</v>
      </c>
      <c r="DQ30" s="146">
        <f t="shared" si="34"/>
        <v>116.73853861617205</v>
      </c>
      <c r="DR30" s="146">
        <f t="shared" si="34"/>
        <v>116.79801554285352</v>
      </c>
      <c r="DS30" s="146">
        <f t="shared" si="34"/>
        <v>116.85460218530129</v>
      </c>
      <c r="DT30" s="146">
        <f t="shared" si="34"/>
        <v>116.9084381220791</v>
      </c>
      <c r="DU30" s="146">
        <f t="shared" si="34"/>
        <v>116.95965627496177</v>
      </c>
      <c r="DV30" s="146">
        <f t="shared" si="34"/>
        <v>117.00838321834841</v>
      </c>
      <c r="DW30" s="146">
        <f t="shared" si="34"/>
        <v>117.05473947507834</v>
      </c>
      <c r="DX30" s="146">
        <f t="shared" si="34"/>
        <v>117.09883979916818</v>
      </c>
      <c r="DY30" s="146">
        <f t="shared" si="34"/>
        <v>117.14079344597955</v>
      </c>
      <c r="DZ30" s="146">
        <f t="shared" si="34"/>
        <v>117.18070443031105</v>
      </c>
      <c r="EA30" s="146">
        <f t="shared" si="34"/>
        <v>117.21867177289863</v>
      </c>
      <c r="EB30" s="146">
        <f t="shared" si="34"/>
        <v>117.25478973579251</v>
      </c>
      <c r="EC30" s="146">
        <f t="shared" si="34"/>
        <v>117.28914804706666</v>
      </c>
      <c r="ED30" s="146">
        <f t="shared" si="34"/>
        <v>117.32183211530209</v>
      </c>
      <c r="EE30" s="146">
        <f t="shared" si="34"/>
        <v>117.35292323427164</v>
      </c>
      <c r="EF30" s="146">
        <f t="shared" si="34"/>
        <v>117.38249877823999</v>
      </c>
      <c r="EG30" s="146">
        <f t="shared" ref="EG30:FL30" si="35">$E$27*(1-EXP(-EG20/$E$28))^$E$29</f>
        <v>117.41063238827795</v>
      </c>
      <c r="EH30" s="146">
        <f t="shared" si="35"/>
        <v>117.43739414997717</v>
      </c>
      <c r="EI30" s="146">
        <f t="shared" si="35"/>
        <v>117.46285076293684</v>
      </c>
      <c r="EJ30" s="146">
        <f t="shared" si="35"/>
        <v>117.48706570238066</v>
      </c>
      <c r="EK30" s="146">
        <f t="shared" si="35"/>
        <v>117.5100993732495</v>
      </c>
      <c r="EL30" s="146">
        <f t="shared" si="35"/>
        <v>117.53200925710084</v>
      </c>
      <c r="EM30" s="146">
        <f t="shared" si="35"/>
        <v>117.55285005213496</v>
      </c>
      <c r="EN30" s="146">
        <f t="shared" si="35"/>
        <v>117.57267380665374</v>
      </c>
      <c r="EO30" s="146">
        <f t="shared" si="35"/>
        <v>117.59153004624702</v>
      </c>
      <c r="EP30" s="146">
        <f t="shared" si="35"/>
        <v>117.60946589498857</v>
      </c>
      <c r="EQ30" s="146">
        <f t="shared" si="35"/>
        <v>117.62652619091335</v>
      </c>
      <c r="ER30" s="146">
        <f t="shared" si="35"/>
        <v>117.64275359603508</v>
      </c>
      <c r="ES30" s="146">
        <f t="shared" si="35"/>
        <v>117.65818870115399</v>
      </c>
      <c r="ET30" s="146">
        <f t="shared" si="35"/>
        <v>117.67287012569282</v>
      </c>
      <c r="EU30" s="146">
        <f t="shared" si="35"/>
        <v>117.68683461278957</v>
      </c>
      <c r="EV30" s="146">
        <f t="shared" si="35"/>
        <v>117.70011711986589</v>
      </c>
      <c r="EW30" s="146">
        <f t="shared" si="35"/>
        <v>117.71275090488015</v>
      </c>
      <c r="EX30" s="146">
        <f t="shared" si="35"/>
        <v>117.72476760846551</v>
      </c>
      <c r="EY30" s="146">
        <f t="shared" si="35"/>
        <v>117.73619733214413</v>
      </c>
      <c r="EZ30" s="146">
        <f t="shared" si="35"/>
        <v>117.74706871280077</v>
      </c>
      <c r="FA30" s="146">
        <f t="shared" si="35"/>
        <v>117.75740899359064</v>
      </c>
      <c r="FB30" s="146">
        <f t="shared" si="35"/>
        <v>117.76724409144848</v>
      </c>
      <c r="FC30" s="146">
        <f t="shared" si="35"/>
        <v>117.77659866135841</v>
      </c>
      <c r="FD30" s="146">
        <f t="shared" si="35"/>
        <v>117.78549615753732</v>
      </c>
      <c r="FE30" s="146">
        <f t="shared" si="35"/>
        <v>117.79395889167701</v>
      </c>
      <c r="FF30" s="146">
        <f t="shared" si="35"/>
        <v>117.80200808838426</v>
      </c>
      <c r="FG30" s="146">
        <f t="shared" si="35"/>
        <v>117.80966393795133</v>
      </c>
      <c r="FH30" s="146">
        <f t="shared" si="35"/>
        <v>117.81694564658355</v>
      </c>
      <c r="FI30" s="146">
        <f t="shared" si="35"/>
        <v>117.82387148420449</v>
      </c>
      <c r="FJ30" s="146">
        <f t="shared" si="35"/>
        <v>117.83045882995454</v>
      </c>
      <c r="FK30" s="146">
        <f t="shared" si="35"/>
        <v>117.83672421549169</v>
      </c>
      <c r="FL30" s="146">
        <f t="shared" si="35"/>
        <v>117.8426833662006</v>
      </c>
      <c r="FM30" s="146">
        <f t="shared" ref="FM30:GR30" si="36">$E$27*(1-EXP(-FM20/$E$28))^$E$29</f>
        <v>117.84835124040882</v>
      </c>
      <c r="FN30" s="146">
        <f t="shared" si="36"/>
        <v>117.85374206670555</v>
      </c>
      <c r="FO30" s="146">
        <f t="shared" si="36"/>
        <v>117.85886937945486</v>
      </c>
      <c r="FP30" s="146">
        <f t="shared" si="36"/>
        <v>117.86374605258784</v>
      </c>
      <c r="FQ30" s="146">
        <f t="shared" si="36"/>
        <v>117.86838433175856</v>
      </c>
      <c r="FR30" s="146">
        <f t="shared" si="36"/>
        <v>117.87279586494037</v>
      </c>
      <c r="FS30" s="146">
        <f t="shared" si="36"/>
        <v>117.87699173153898</v>
      </c>
      <c r="FT30" s="146">
        <f t="shared" si="36"/>
        <v>117.88098247009246</v>
      </c>
      <c r="FU30" s="146">
        <f t="shared" si="36"/>
        <v>117.8847781046275</v>
      </c>
      <c r="FV30" s="146">
        <f t="shared" si="36"/>
        <v>117.88838816973507</v>
      </c>
      <c r="FW30" s="146">
        <f t="shared" si="36"/>
        <v>117.89182173442904</v>
      </c>
      <c r="FX30" s="146">
        <f t="shared" si="36"/>
        <v>117.89508742484452</v>
      </c>
      <c r="FY30" s="146">
        <f t="shared" si="36"/>
        <v>117.89819344583395</v>
      </c>
      <c r="FZ30" s="146">
        <f t="shared" si="36"/>
        <v>117.90114760151226</v>
      </c>
      <c r="GA30" s="146">
        <f t="shared" si="36"/>
        <v>117.90395731480365</v>
      </c>
      <c r="GB30" s="146">
        <f t="shared" si="36"/>
        <v>117.90662964603671</v>
      </c>
      <c r="GC30" s="146">
        <f t="shared" si="36"/>
        <v>117.90917131063534</v>
      </c>
      <c r="GD30" s="146">
        <f t="shared" si="36"/>
        <v>117.91158869594817</v>
      </c>
      <c r="GE30" s="146">
        <f t="shared" si="36"/>
        <v>117.9138878772589</v>
      </c>
      <c r="GF30" s="146">
        <f t="shared" si="36"/>
        <v>117.91607463301668</v>
      </c>
      <c r="GG30" s="146">
        <f t="shared" si="36"/>
        <v>117.91815445932511</v>
      </c>
      <c r="GH30" s="146">
        <f t="shared" si="36"/>
        <v>117.92013258372505</v>
      </c>
      <c r="GI30" s="146">
        <f t="shared" si="36"/>
        <v>117.92201397830601</v>
      </c>
      <c r="GJ30" s="146">
        <f t="shared" si="36"/>
        <v>117.92380337217851</v>
      </c>
      <c r="GK30" s="146">
        <f t="shared" si="36"/>
        <v>117.92550526333847</v>
      </c>
      <c r="GL30" s="146">
        <f t="shared" si="36"/>
        <v>117.92712392995331</v>
      </c>
      <c r="GM30" s="146">
        <f t="shared" si="36"/>
        <v>117.92866344109758</v>
      </c>
      <c r="GN30" s="146">
        <f t="shared" si="36"/>
        <v>117.93012766696513</v>
      </c>
      <c r="GO30" s="146">
        <f t="shared" si="36"/>
        <v>117.93152028858323</v>
      </c>
      <c r="GP30" s="146">
        <f t="shared" si="36"/>
        <v>117.93284480705285</v>
      </c>
      <c r="GQ30" s="146">
        <f t="shared" si="36"/>
        <v>117.93410455233784</v>
      </c>
      <c r="GR30" s="146">
        <f t="shared" si="36"/>
        <v>117.93530269162589</v>
      </c>
      <c r="GS30" s="146">
        <f t="shared" ref="GS30:GZ30" si="37">$E$27*(1-EXP(-GS20/$E$28))^$E$29</f>
        <v>117.93644223728074</v>
      </c>
      <c r="GT30" s="146">
        <f t="shared" si="37"/>
        <v>117.9375260544068</v>
      </c>
      <c r="GU30" s="146">
        <f t="shared" si="37"/>
        <v>117.93855686804442</v>
      </c>
      <c r="GV30" s="146">
        <f t="shared" si="37"/>
        <v>117.9395372700138</v>
      </c>
      <c r="GW30" s="146">
        <f t="shared" si="37"/>
        <v>117.94046972542502</v>
      </c>
      <c r="GX30" s="146">
        <f t="shared" si="37"/>
        <v>117.94135657886997</v>
      </c>
      <c r="GY30" s="146">
        <f t="shared" si="37"/>
        <v>117.94220006031212</v>
      </c>
      <c r="GZ30" s="146">
        <f t="shared" si="37"/>
        <v>117.94300229068865</v>
      </c>
    </row>
    <row r="31" spans="2:208" s="215" customFormat="1" ht="12.95" customHeight="1" x14ac:dyDescent="0.2">
      <c r="B31" s="118" t="s">
        <v>821</v>
      </c>
      <c r="E31" s="30">
        <f>SUM(H31:GZ31)</f>
        <v>4844.9288193950533</v>
      </c>
      <c r="F31" s="14" t="s">
        <v>822</v>
      </c>
      <c r="H31" s="146">
        <f>(H30-H23)^2</f>
        <v>0</v>
      </c>
      <c r="I31" s="146">
        <f t="shared" ref="I31:BT31" si="38">(I30-I23)^2</f>
        <v>4.8673118080033762</v>
      </c>
      <c r="J31" s="146">
        <f t="shared" si="38"/>
        <v>18.813835950205927</v>
      </c>
      <c r="K31" s="146">
        <f t="shared" si="38"/>
        <v>40.177842282163923</v>
      </c>
      <c r="L31" s="146">
        <f t="shared" si="38"/>
        <v>66.778464292404351</v>
      </c>
      <c r="M31" s="146">
        <f t="shared" si="38"/>
        <v>96.303009911903061</v>
      </c>
      <c r="N31" s="146">
        <f t="shared" si="38"/>
        <v>128.38555869660118</v>
      </c>
      <c r="O31" s="146">
        <f t="shared" si="38"/>
        <v>159.76267247826027</v>
      </c>
      <c r="P31" s="146">
        <f t="shared" si="38"/>
        <v>188.86796823364142</v>
      </c>
      <c r="Q31" s="146">
        <f t="shared" si="38"/>
        <v>214.55900732339396</v>
      </c>
      <c r="R31" s="146">
        <f t="shared" si="38"/>
        <v>236.10101240019213</v>
      </c>
      <c r="S31" s="146">
        <f t="shared" si="38"/>
        <v>235.61735257798932</v>
      </c>
      <c r="T31" s="146">
        <f t="shared" si="38"/>
        <v>230.30907239731019</v>
      </c>
      <c r="U31" s="146">
        <f t="shared" si="38"/>
        <v>220.82609589434807</v>
      </c>
      <c r="V31" s="146">
        <f t="shared" si="38"/>
        <v>207.9201238441961</v>
      </c>
      <c r="W31" s="146">
        <f t="shared" si="38"/>
        <v>192.38679855474902</v>
      </c>
      <c r="X31" s="146">
        <f t="shared" si="38"/>
        <v>179.27692379140322</v>
      </c>
      <c r="Y31" s="146">
        <f t="shared" si="38"/>
        <v>164.67444731011818</v>
      </c>
      <c r="Z31" s="146">
        <f t="shared" si="38"/>
        <v>149.20301450965042</v>
      </c>
      <c r="AA31" s="146">
        <f t="shared" si="38"/>
        <v>133.41776694462283</v>
      </c>
      <c r="AB31" s="146">
        <f t="shared" si="38"/>
        <v>117.79346856878651</v>
      </c>
      <c r="AC31" s="146">
        <f t="shared" si="38"/>
        <v>102.71908734604426</v>
      </c>
      <c r="AD31" s="146">
        <f t="shared" si="38"/>
        <v>88.497562488807759</v>
      </c>
      <c r="AE31" s="146">
        <f t="shared" si="38"/>
        <v>75.349552607832351</v>
      </c>
      <c r="AF31" s="146">
        <f t="shared" si="38"/>
        <v>63.420075063034858</v>
      </c>
      <c r="AG31" s="146">
        <f t="shared" si="38"/>
        <v>52.787088121381771</v>
      </c>
      <c r="AH31" s="146">
        <f t="shared" si="38"/>
        <v>39.353924968844488</v>
      </c>
      <c r="AI31" s="146">
        <f t="shared" si="38"/>
        <v>28.234907188523142</v>
      </c>
      <c r="AJ31" s="146">
        <f t="shared" si="38"/>
        <v>19.293024705726172</v>
      </c>
      <c r="AK31" s="146">
        <f t="shared" si="38"/>
        <v>12.351388354456327</v>
      </c>
      <c r="AL31" s="146">
        <f t="shared" si="38"/>
        <v>7.2046468589935522</v>
      </c>
      <c r="AM31" s="146">
        <f t="shared" si="38"/>
        <v>3.2583158462323372</v>
      </c>
      <c r="AN31" s="146">
        <f t="shared" si="38"/>
        <v>0.96091916347672313</v>
      </c>
      <c r="AO31" s="146">
        <f t="shared" si="38"/>
        <v>4.5009776750371752E-2</v>
      </c>
      <c r="AP31" s="146">
        <f t="shared" si="38"/>
        <v>0.24730735385686212</v>
      </c>
      <c r="AQ31" s="146">
        <f t="shared" si="38"/>
        <v>1.314716083393771</v>
      </c>
      <c r="AR31" s="146">
        <f t="shared" si="38"/>
        <v>3.3661268676201681</v>
      </c>
      <c r="AS31" s="146">
        <f t="shared" si="38"/>
        <v>6.0558601148097253</v>
      </c>
      <c r="AT31" s="146">
        <f t="shared" si="38"/>
        <v>9.1490097299358268</v>
      </c>
      <c r="AU31" s="146">
        <f t="shared" si="38"/>
        <v>12.434263131616612</v>
      </c>
      <c r="AV31" s="146">
        <f t="shared" si="38"/>
        <v>15.725390354562213</v>
      </c>
      <c r="AW31" s="146">
        <f t="shared" si="38"/>
        <v>19.740659578509199</v>
      </c>
      <c r="AX31" s="146">
        <f t="shared" si="38"/>
        <v>23.61377764950409</v>
      </c>
      <c r="AY31" s="146">
        <f t="shared" si="38"/>
        <v>27.200148664513677</v>
      </c>
      <c r="AZ31" s="146">
        <f t="shared" si="38"/>
        <v>30.381129730958577</v>
      </c>
      <c r="BA31" s="146">
        <f t="shared" si="38"/>
        <v>33.063188491785979</v>
      </c>
      <c r="BB31" s="146">
        <f t="shared" si="38"/>
        <v>35.89211160224913</v>
      </c>
      <c r="BC31" s="146">
        <f t="shared" si="38"/>
        <v>38.142926229548841</v>
      </c>
      <c r="BD31" s="146">
        <f t="shared" si="38"/>
        <v>39.770338820635736</v>
      </c>
      <c r="BE31" s="146">
        <f t="shared" si="38"/>
        <v>40.749380971332691</v>
      </c>
      <c r="BF31" s="146">
        <f t="shared" si="38"/>
        <v>41.073817719717965</v>
      </c>
      <c r="BG31" s="146">
        <f t="shared" si="38"/>
        <v>42.822982046565571</v>
      </c>
      <c r="BH31" s="146">
        <f t="shared" si="38"/>
        <v>43.95875844494595</v>
      </c>
      <c r="BI31" s="146">
        <f t="shared" si="38"/>
        <v>44.47597181258336</v>
      </c>
      <c r="BJ31" s="146">
        <f t="shared" si="38"/>
        <v>44.38371555153217</v>
      </c>
      <c r="BK31" s="146">
        <f t="shared" si="38"/>
        <v>43.703851913512864</v>
      </c>
      <c r="BL31" s="146">
        <f t="shared" si="38"/>
        <v>43.782944050470164</v>
      </c>
      <c r="BM31" s="146">
        <f t="shared" si="38"/>
        <v>43.316629335627709</v>
      </c>
      <c r="BN31" s="146">
        <f t="shared" si="38"/>
        <v>42.332803650016359</v>
      </c>
      <c r="BO31" s="146">
        <f t="shared" si="38"/>
        <v>40.867960709249161</v>
      </c>
      <c r="BP31" s="146">
        <f t="shared" si="38"/>
        <v>38.96603234854522</v>
      </c>
      <c r="BQ31" s="146">
        <f t="shared" si="38"/>
        <v>37.407651027400853</v>
      </c>
      <c r="BR31" s="146">
        <f t="shared" si="38"/>
        <v>35.472454302241516</v>
      </c>
      <c r="BS31" s="146">
        <f t="shared" si="38"/>
        <v>33.208703337172153</v>
      </c>
      <c r="BT31" s="146">
        <f t="shared" si="38"/>
        <v>30.668886630653411</v>
      </c>
      <c r="BU31" s="146">
        <f t="shared" ref="BU31:EF31" si="39">(BU30-BU23)^2</f>
        <v>27.908935296207787</v>
      </c>
      <c r="BV31" s="146">
        <f t="shared" si="39"/>
        <v>25.187860435392022</v>
      </c>
      <c r="BW31" s="146">
        <f t="shared" si="39"/>
        <v>22.341896788591594</v>
      </c>
      <c r="BX31" s="146">
        <f t="shared" si="39"/>
        <v>19.43009064398731</v>
      </c>
      <c r="BY31" s="146">
        <f t="shared" si="39"/>
        <v>16.51265707746801</v>
      </c>
      <c r="BZ31" s="146">
        <f t="shared" si="39"/>
        <v>13.650512634047015</v>
      </c>
      <c r="CA31" s="146">
        <f t="shared" si="39"/>
        <v>11.987181884226118</v>
      </c>
      <c r="CB31" s="146">
        <f t="shared" si="39"/>
        <v>10.287140402020702</v>
      </c>
      <c r="CC31" s="146">
        <f t="shared" si="39"/>
        <v>8.5904687238202371</v>
      </c>
      <c r="CD31" s="146">
        <f t="shared" si="39"/>
        <v>6.9377747497303295</v>
      </c>
      <c r="CE31" s="146">
        <f t="shared" si="39"/>
        <v>5.3699005462426763</v>
      </c>
      <c r="CF31" s="146">
        <f t="shared" si="39"/>
        <v>3.7707189934157173</v>
      </c>
      <c r="CG31" s="146">
        <f t="shared" si="39"/>
        <v>2.3975022565920119</v>
      </c>
      <c r="CH31" s="146">
        <f t="shared" si="39"/>
        <v>1.2945080821985797</v>
      </c>
      <c r="CI31" s="146">
        <f t="shared" si="39"/>
        <v>0.50514488557266934</v>
      </c>
      <c r="CJ31" s="146">
        <f t="shared" si="39"/>
        <v>7.1844285267120042E-2</v>
      </c>
      <c r="CK31" s="146">
        <f t="shared" si="39"/>
        <v>2.8771056237951197E-2</v>
      </c>
      <c r="CL31" s="146">
        <f t="shared" si="39"/>
        <v>0.3863370877201599</v>
      </c>
      <c r="CM31" s="146">
        <f t="shared" si="39"/>
        <v>1.1818541240275175</v>
      </c>
      <c r="CN31" s="146">
        <f t="shared" si="39"/>
        <v>2.4514472371213238</v>
      </c>
      <c r="CO31" s="146">
        <f t="shared" si="39"/>
        <v>4.2300119946902042</v>
      </c>
      <c r="CP31" s="146">
        <f t="shared" si="39"/>
        <v>5.9512974999716537</v>
      </c>
      <c r="CQ31" s="146">
        <f t="shared" si="39"/>
        <v>8.0295693048345527</v>
      </c>
      <c r="CR31" s="146">
        <f t="shared" si="39"/>
        <v>10.488142336607199</v>
      </c>
      <c r="CS31" s="146">
        <f t="shared" si="39"/>
        <v>13.349522752635774</v>
      </c>
      <c r="CT31" s="146">
        <f t="shared" si="39"/>
        <v>16.635388011438174</v>
      </c>
      <c r="CU31" s="146">
        <f t="shared" si="39"/>
        <v>15.154936137525281</v>
      </c>
      <c r="CV31" s="146">
        <f t="shared" si="39"/>
        <v>13.809507372705198</v>
      </c>
      <c r="CW31" s="146">
        <f t="shared" si="39"/>
        <v>12.586701417206683</v>
      </c>
      <c r="CX31" s="146">
        <f t="shared" si="39"/>
        <v>11.475252882889455</v>
      </c>
      <c r="CY31" s="146">
        <f t="shared" si="39"/>
        <v>10.464928764855141</v>
      </c>
      <c r="CZ31" s="146">
        <f t="shared" si="39"/>
        <v>9.5464349475591579</v>
      </c>
      <c r="DA31" s="146">
        <f t="shared" si="39"/>
        <v>8.7113309836557544</v>
      </c>
      <c r="DB31" s="146">
        <f t="shared" si="39"/>
        <v>7.9519524429752977</v>
      </c>
      <c r="DC31" s="146">
        <f t="shared" si="39"/>
        <v>7.2613401843686409</v>
      </c>
      <c r="DD31" s="146">
        <f t="shared" si="39"/>
        <v>6.6331759547669797</v>
      </c>
      <c r="DE31" s="146">
        <f t="shared" si="39"/>
        <v>6.0617237678833886</v>
      </c>
      <c r="DF31" s="146">
        <f t="shared" si="39"/>
        <v>5.5417765596384765</v>
      </c>
      <c r="DG31" s="146">
        <f t="shared" si="39"/>
        <v>5.0686076588188023</v>
      </c>
      <c r="DH31" s="146">
        <f t="shared" si="39"/>
        <v>4.63792664983694</v>
      </c>
      <c r="DI31" s="146">
        <f t="shared" si="39"/>
        <v>4.2458392399331455</v>
      </c>
      <c r="DJ31" s="146">
        <f t="shared" si="39"/>
        <v>3.8888107758990467</v>
      </c>
      <c r="DK31" s="146">
        <f t="shared" si="39"/>
        <v>3.5636330856139669</v>
      </c>
      <c r="DL31" s="146">
        <f t="shared" si="39"/>
        <v>3.2673943474892826</v>
      </c>
      <c r="DM31" s="146">
        <f t="shared" si="39"/>
        <v>2.9974517165116836</v>
      </c>
      <c r="DN31" s="146">
        <f t="shared" si="39"/>
        <v>2.7514064590996838</v>
      </c>
      <c r="DO31" s="146">
        <f t="shared" si="39"/>
        <v>2.5270813705788266</v>
      </c>
      <c r="DP31" s="146">
        <f t="shared" si="39"/>
        <v>2.3225002689046397</v>
      </c>
      <c r="DQ31" s="146">
        <f t="shared" si="39"/>
        <v>2.1358693764203136</v>
      </c>
      <c r="DR31" s="146">
        <f t="shared" si="39"/>
        <v>1.9655604180803186</v>
      </c>
      <c r="DS31" s="146">
        <f t="shared" si="39"/>
        <v>1.8100952797960752</v>
      </c>
      <c r="DT31" s="146">
        <f t="shared" si="39"/>
        <v>1.6681320844985577</v>
      </c>
      <c r="DU31" s="146">
        <f t="shared" si="39"/>
        <v>1.5384525562417115</v>
      </c>
      <c r="DV31" s="146">
        <f t="shared" si="39"/>
        <v>1.4199505543136919</v>
      </c>
      <c r="DW31" s="146">
        <f t="shared" si="39"/>
        <v>1.3116216699438532</v>
      </c>
      <c r="DX31" s="146">
        <f t="shared" si="39"/>
        <v>1.2125537878959913</v>
      </c>
      <c r="DY31" s="146">
        <f t="shared" si="39"/>
        <v>1.1219185240798737</v>
      </c>
      <c r="DZ31" s="146">
        <f t="shared" si="39"/>
        <v>1.0389634583875209</v>
      </c>
      <c r="EA31" s="146">
        <f t="shared" si="39"/>
        <v>0.96300508930592177</v>
      </c>
      <c r="EB31" s="146">
        <f t="shared" si="39"/>
        <v>0.89342244356319134</v>
      </c>
      <c r="EC31" s="146">
        <f t="shared" si="39"/>
        <v>0.82965128016248324</v>
      </c>
      <c r="ED31" s="146">
        <f t="shared" si="39"/>
        <v>0.77117883371481255</v>
      </c>
      <c r="EE31" s="146">
        <f t="shared" si="39"/>
        <v>0.71753904703681926</v>
      </c>
      <c r="EF31" s="146">
        <f t="shared" si="39"/>
        <v>0.66830824757911111</v>
      </c>
      <c r="EG31" s="146">
        <f t="shared" ref="EG31:GR31" si="40">(EG30-EG23)^2</f>
        <v>0.62310122643578336</v>
      </c>
      <c r="EH31" s="146">
        <f t="shared" si="40"/>
        <v>0.58156768248905344</v>
      </c>
      <c r="EI31" s="146">
        <f t="shared" si="40"/>
        <v>0.54338899770280513</v>
      </c>
      <c r="EJ31" s="146">
        <f t="shared" si="40"/>
        <v>0.50827531272198356</v>
      </c>
      <c r="EK31" s="146">
        <f t="shared" si="40"/>
        <v>0.4759628747907329</v>
      </c>
      <c r="EL31" s="146">
        <f t="shared" si="40"/>
        <v>0.44621163259897706</v>
      </c>
      <c r="EM31" s="146">
        <f t="shared" si="40"/>
        <v>0.41880305502173143</v>
      </c>
      <c r="EN31" s="146">
        <f t="shared" si="40"/>
        <v>0.39353815285831356</v>
      </c>
      <c r="EO31" s="146">
        <f t="shared" si="40"/>
        <v>0.37023568462016238</v>
      </c>
      <c r="EP31" s="146">
        <f t="shared" si="40"/>
        <v>0.34873052918164921</v>
      </c>
      <c r="EQ31" s="146">
        <f t="shared" si="40"/>
        <v>0.32887220970835152</v>
      </c>
      <c r="ER31" s="146">
        <f t="shared" si="40"/>
        <v>0.31052355473184012</v>
      </c>
      <c r="ES31" s="146">
        <f t="shared" si="40"/>
        <v>0.2935594835572044</v>
      </c>
      <c r="ET31" s="146">
        <f t="shared" si="40"/>
        <v>0.27786590438710146</v>
      </c>
      <c r="EU31" s="146">
        <f t="shared" si="40"/>
        <v>0.26333871463083586</v>
      </c>
      <c r="EV31" s="146">
        <f t="shared" si="40"/>
        <v>0.24988289385117207</v>
      </c>
      <c r="EW31" s="146">
        <f t="shared" si="40"/>
        <v>0.23741168069511268</v>
      </c>
      <c r="EX31" s="146">
        <f t="shared" si="40"/>
        <v>0.22584582596359104</v>
      </c>
      <c r="EY31" s="146">
        <f t="shared" si="40"/>
        <v>0.21511291471022534</v>
      </c>
      <c r="EZ31" s="146">
        <f t="shared" si="40"/>
        <v>0.20514675092395554</v>
      </c>
      <c r="FA31" s="146">
        <f t="shared" si="40"/>
        <v>0.19588679895444885</v>
      </c>
      <c r="FB31" s="146">
        <f t="shared" si="40"/>
        <v>0.18727767638625809</v>
      </c>
      <c r="FC31" s="146">
        <f t="shared" si="40"/>
        <v>0.17926869356349603</v>
      </c>
      <c r="FD31" s="146">
        <f t="shared" si="40"/>
        <v>0.17181343541632543</v>
      </c>
      <c r="FE31" s="146">
        <f t="shared" si="40"/>
        <v>0.16486938164816625</v>
      </c>
      <c r="FF31" s="146">
        <f t="shared" si="40"/>
        <v>0.158397561711557</v>
      </c>
      <c r="FG31" s="146">
        <f t="shared" si="40"/>
        <v>0.15236224133566714</v>
      </c>
      <c r="FH31" s="146">
        <f t="shared" si="40"/>
        <v>0.14673063767129824</v>
      </c>
      <c r="FI31" s="146">
        <f t="shared" si="40"/>
        <v>0.14147266039453646</v>
      </c>
      <c r="FJ31" s="146">
        <f t="shared" si="40"/>
        <v>0.13656067635857172</v>
      </c>
      <c r="FK31" s="146">
        <f t="shared" si="40"/>
        <v>0.13196929561013365</v>
      </c>
      <c r="FL31" s="146">
        <f t="shared" si="40"/>
        <v>0.12767517678973422</v>
      </c>
      <c r="FM31" s="146">
        <f t="shared" si="40"/>
        <v>0.12365685012201935</v>
      </c>
      <c r="FN31" s="146">
        <f t="shared" si="40"/>
        <v>0.11989455636934578</v>
      </c>
      <c r="FO31" s="146">
        <f t="shared" si="40"/>
        <v>0.11637010027351494</v>
      </c>
      <c r="FP31" s="146">
        <f t="shared" si="40"/>
        <v>0.11306671715025994</v>
      </c>
      <c r="FQ31" s="146">
        <f t="shared" si="40"/>
        <v>0.10996895142321692</v>
      </c>
      <c r="FR31" s="146">
        <f t="shared" si="40"/>
        <v>0.1070625460001213</v>
      </c>
      <c r="FS31" s="146">
        <f t="shared" si="40"/>
        <v>0.10433434149418884</v>
      </c>
      <c r="FT31" s="146">
        <f t="shared" si="40"/>
        <v>0.10177218438830857</v>
      </c>
      <c r="FU31" s="146">
        <f t="shared" si="40"/>
        <v>9.9364843322232943E-2</v>
      </c>
      <c r="FV31" s="146">
        <f t="shared" si="40"/>
        <v>9.7101932761063839E-2</v>
      </c>
      <c r="FW31" s="146">
        <f t="shared" si="40"/>
        <v>9.497384337032444E-2</v>
      </c>
      <c r="FX31" s="146">
        <f t="shared" si="40"/>
        <v>9.297167848794867E-2</v>
      </c>
      <c r="FY31" s="146">
        <f t="shared" si="40"/>
        <v>9.1087196137584314E-2</v>
      </c>
      <c r="FZ31" s="146">
        <f t="shared" si="40"/>
        <v>8.9312756081874292E-2</v>
      </c>
      <c r="GA31" s="146">
        <f t="shared" si="40"/>
        <v>8.7641271458267958E-2</v>
      </c>
      <c r="GB31" s="146">
        <f t="shared" si="40"/>
        <v>8.6066164584550311E-2</v>
      </c>
      <c r="GC31" s="146">
        <f t="shared" si="40"/>
        <v>8.4581326557565312E-2</v>
      </c>
      <c r="GD31" s="146">
        <f t="shared" si="40"/>
        <v>8.318108030487964E-2</v>
      </c>
      <c r="GE31" s="146">
        <f t="shared" si="40"/>
        <v>8.1860146779419343E-2</v>
      </c>
      <c r="GF31" s="146">
        <f t="shared" si="40"/>
        <v>8.0613614016616056E-2</v>
      </c>
      <c r="GG31" s="146">
        <f t="shared" si="40"/>
        <v>7.9436908798323255E-2</v>
      </c>
      <c r="GH31" s="146">
        <f t="shared" si="40"/>
        <v>7.8325770692418098E-2</v>
      </c>
      <c r="GI31" s="146">
        <f t="shared" si="40"/>
        <v>7.7276228257251972E-2</v>
      </c>
      <c r="GJ31" s="146">
        <f t="shared" si="40"/>
        <v>7.6284577219963415E-2</v>
      </c>
      <c r="GK31" s="146">
        <f t="shared" si="40"/>
        <v>7.5347360454886977E-2</v>
      </c>
      <c r="GL31" s="146">
        <f t="shared" si="40"/>
        <v>7.446134960412723E-2</v>
      </c>
      <c r="GM31" s="146">
        <f t="shared" si="40"/>
        <v>7.362352819700603E-2</v>
      </c>
      <c r="GN31" s="146">
        <f t="shared" si="40"/>
        <v>7.2831076137682957E-2</v>
      </c>
      <c r="GO31" s="146">
        <f t="shared" si="40"/>
        <v>7.2081355442434047E-2</v>
      </c>
      <c r="GP31" s="146">
        <f t="shared" si="40"/>
        <v>7.137189711863301E-2</v>
      </c>
      <c r="GQ31" s="146">
        <f t="shared" si="40"/>
        <v>7.0700389087460583E-2</v>
      </c>
      <c r="GR31" s="146">
        <f t="shared" si="40"/>
        <v>7.0064665060498799E-2</v>
      </c>
      <c r="GS31" s="146">
        <f t="shared" ref="GS31:GZ31" si="41">(GS30-GS23)^2</f>
        <v>6.9462694289581184E-2</v>
      </c>
      <c r="GT31" s="146">
        <f t="shared" si="41"/>
        <v>6.8892572115262188E-2</v>
      </c>
      <c r="GU31" s="146">
        <f t="shared" si="41"/>
        <v>6.8352511246746822E-2</v>
      </c>
      <c r="GV31" s="146">
        <f t="shared" si="41"/>
        <v>6.7840833711865001E-2</v>
      </c>
      <c r="GW31" s="146">
        <f t="shared" si="41"/>
        <v>6.7355963420966988E-2</v>
      </c>
      <c r="GX31" s="146">
        <f t="shared" si="41"/>
        <v>6.6896419293846807E-2</v>
      </c>
      <c r="GY31" s="146">
        <f t="shared" si="41"/>
        <v>6.6460808903077234E-2</v>
      </c>
      <c r="GZ31" s="146">
        <f t="shared" si="41"/>
        <v>6.6047822591280822E-2</v>
      </c>
    </row>
    <row r="33" spans="2:208" ht="12.95" customHeight="1" x14ac:dyDescent="0.25">
      <c r="B33" s="105" t="s">
        <v>947</v>
      </c>
      <c r="C33" s="106"/>
      <c r="D33" s="106"/>
      <c r="E33" s="106"/>
      <c r="F33" s="106"/>
      <c r="G33" s="106"/>
      <c r="H33" s="106"/>
      <c r="I33" s="106"/>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107"/>
      <c r="BY33" s="107"/>
      <c r="BZ33" s="107"/>
      <c r="CA33" s="107"/>
      <c r="CB33" s="107"/>
      <c r="CC33" s="107"/>
      <c r="CD33" s="107"/>
      <c r="CE33" s="107"/>
      <c r="CF33" s="107"/>
      <c r="CG33" s="107"/>
      <c r="CH33" s="107"/>
      <c r="CI33" s="107"/>
      <c r="CJ33" s="107"/>
      <c r="CK33" s="107"/>
      <c r="CL33" s="107"/>
      <c r="CM33" s="107"/>
      <c r="CN33" s="107"/>
      <c r="CO33" s="107"/>
      <c r="CP33" s="107"/>
      <c r="CQ33" s="107"/>
      <c r="CR33" s="107"/>
      <c r="CS33" s="107"/>
      <c r="CT33" s="107"/>
      <c r="CU33" s="107"/>
      <c r="CV33" s="107"/>
      <c r="CW33" s="107"/>
      <c r="CX33" s="107"/>
      <c r="CY33" s="107"/>
      <c r="CZ33" s="107"/>
      <c r="DA33" s="107"/>
      <c r="DB33" s="107"/>
      <c r="DC33" s="107"/>
      <c r="DD33" s="107"/>
      <c r="DE33" s="107"/>
      <c r="DF33" s="107"/>
      <c r="DG33" s="107"/>
      <c r="DH33" s="107"/>
      <c r="DI33" s="107"/>
      <c r="DJ33" s="107"/>
      <c r="DK33" s="107"/>
      <c r="DL33" s="107"/>
      <c r="DM33" s="107"/>
      <c r="DN33" s="107"/>
      <c r="DO33" s="107"/>
      <c r="DP33" s="107"/>
      <c r="DQ33" s="107"/>
      <c r="DR33" s="107"/>
      <c r="DS33" s="107"/>
      <c r="DT33" s="107"/>
      <c r="DU33" s="107"/>
      <c r="DV33" s="107"/>
      <c r="DW33" s="107"/>
      <c r="DX33" s="107"/>
      <c r="DY33" s="107"/>
      <c r="DZ33" s="107"/>
      <c r="EA33" s="107"/>
      <c r="EB33" s="107"/>
      <c r="EC33" s="107"/>
      <c r="ED33" s="107"/>
      <c r="EE33" s="107"/>
      <c r="EF33" s="107"/>
      <c r="EG33" s="107"/>
      <c r="EH33" s="107"/>
      <c r="EI33" s="107"/>
      <c r="EJ33" s="107"/>
      <c r="EK33" s="107"/>
      <c r="EL33" s="107"/>
      <c r="EM33" s="107"/>
      <c r="EN33" s="107"/>
      <c r="EO33" s="107"/>
      <c r="EP33" s="107"/>
      <c r="EQ33" s="107"/>
      <c r="ER33" s="107"/>
      <c r="ES33" s="107"/>
      <c r="ET33" s="107"/>
      <c r="EU33" s="107"/>
      <c r="EV33" s="107"/>
      <c r="EW33" s="107"/>
      <c r="EX33" s="107"/>
      <c r="EY33" s="107"/>
      <c r="EZ33" s="107"/>
      <c r="FA33" s="107"/>
      <c r="FB33" s="107"/>
      <c r="FC33" s="107"/>
      <c r="FD33" s="107"/>
      <c r="FE33" s="107"/>
      <c r="FF33" s="107"/>
      <c r="FG33" s="107"/>
      <c r="FH33" s="107"/>
      <c r="FI33" s="107"/>
      <c r="FJ33" s="107"/>
      <c r="FK33" s="107"/>
      <c r="FL33" s="107"/>
      <c r="FM33" s="107"/>
      <c r="FN33" s="107"/>
      <c r="FO33" s="107"/>
      <c r="FP33" s="107"/>
      <c r="FQ33" s="107"/>
      <c r="FR33" s="107"/>
      <c r="FS33" s="107"/>
      <c r="FT33" s="107"/>
      <c r="FU33" s="107"/>
      <c r="FV33" s="107"/>
      <c r="FW33" s="107"/>
      <c r="FX33" s="107"/>
      <c r="FY33" s="107"/>
      <c r="FZ33" s="107"/>
      <c r="GA33" s="107"/>
      <c r="GB33" s="107"/>
      <c r="GC33" s="107"/>
      <c r="GD33" s="107"/>
      <c r="GE33" s="107"/>
      <c r="GF33" s="107"/>
      <c r="GG33" s="107"/>
      <c r="GH33" s="107"/>
      <c r="GI33" s="107"/>
      <c r="GJ33" s="107"/>
      <c r="GK33" s="107"/>
      <c r="GL33" s="107"/>
      <c r="GM33" s="107"/>
      <c r="GN33" s="107"/>
      <c r="GO33" s="107"/>
      <c r="GP33" s="107"/>
      <c r="GQ33" s="107"/>
      <c r="GR33" s="107"/>
      <c r="GS33" s="107"/>
      <c r="GT33" s="107"/>
      <c r="GU33" s="107"/>
      <c r="GV33" s="107"/>
      <c r="GW33" s="107"/>
      <c r="GX33" s="107"/>
      <c r="GY33" s="107"/>
      <c r="GZ33" s="161"/>
    </row>
    <row r="34" spans="2:208" ht="12.95" customHeight="1" x14ac:dyDescent="0.25">
      <c r="B34" s="19" t="s">
        <v>300</v>
      </c>
      <c r="C34" s="20"/>
      <c r="D34" s="20"/>
      <c r="E34" s="5" t="s">
        <v>0</v>
      </c>
      <c r="F34" s="5" t="s">
        <v>1</v>
      </c>
      <c r="G34" s="5" t="s">
        <v>305</v>
      </c>
      <c r="H34" s="5">
        <v>0</v>
      </c>
      <c r="I34" s="5">
        <v>1</v>
      </c>
      <c r="J34" s="5">
        <v>2</v>
      </c>
      <c r="K34" s="5">
        <v>3</v>
      </c>
      <c r="L34" s="5">
        <v>4</v>
      </c>
      <c r="M34" s="5">
        <v>5</v>
      </c>
      <c r="N34" s="5">
        <v>6</v>
      </c>
      <c r="O34" s="5">
        <v>7</v>
      </c>
      <c r="P34" s="5">
        <v>8</v>
      </c>
      <c r="Q34" s="5">
        <v>9</v>
      </c>
      <c r="R34" s="5">
        <v>10</v>
      </c>
      <c r="S34" s="5">
        <v>11</v>
      </c>
      <c r="T34" s="5">
        <v>12</v>
      </c>
      <c r="U34" s="5">
        <v>13</v>
      </c>
      <c r="V34" s="5">
        <v>14</v>
      </c>
      <c r="W34" s="5">
        <v>15</v>
      </c>
      <c r="X34" s="5">
        <v>16</v>
      </c>
      <c r="Y34" s="5">
        <v>17</v>
      </c>
      <c r="Z34" s="5">
        <v>18</v>
      </c>
      <c r="AA34" s="5">
        <v>19</v>
      </c>
      <c r="AB34" s="5">
        <v>20</v>
      </c>
      <c r="AC34" s="5">
        <v>21</v>
      </c>
      <c r="AD34" s="5">
        <v>22</v>
      </c>
      <c r="AE34" s="5">
        <v>23</v>
      </c>
      <c r="AF34" s="5">
        <v>24</v>
      </c>
      <c r="AG34" s="5">
        <v>25</v>
      </c>
      <c r="AH34" s="5">
        <v>26</v>
      </c>
      <c r="AI34" s="5">
        <v>27</v>
      </c>
      <c r="AJ34" s="5">
        <v>28</v>
      </c>
      <c r="AK34" s="5">
        <v>29</v>
      </c>
      <c r="AL34" s="5">
        <v>30</v>
      </c>
      <c r="AM34" s="5">
        <v>31</v>
      </c>
      <c r="AN34" s="5">
        <v>32</v>
      </c>
      <c r="AO34" s="5">
        <v>33</v>
      </c>
      <c r="AP34" s="5">
        <v>34</v>
      </c>
      <c r="AQ34" s="5">
        <v>35</v>
      </c>
      <c r="AR34" s="5">
        <v>36</v>
      </c>
      <c r="AS34" s="5">
        <v>37</v>
      </c>
      <c r="AT34" s="5">
        <v>38</v>
      </c>
      <c r="AU34" s="5">
        <v>39</v>
      </c>
      <c r="AV34" s="5">
        <v>40</v>
      </c>
      <c r="AW34" s="5">
        <v>41</v>
      </c>
      <c r="AX34" s="5">
        <v>42</v>
      </c>
      <c r="AY34" s="5">
        <v>43</v>
      </c>
      <c r="AZ34" s="5">
        <v>44</v>
      </c>
      <c r="BA34" s="5">
        <v>45</v>
      </c>
      <c r="BB34" s="5">
        <v>46</v>
      </c>
      <c r="BC34" s="5">
        <v>47</v>
      </c>
      <c r="BD34" s="5">
        <v>48</v>
      </c>
      <c r="BE34" s="5">
        <v>49</v>
      </c>
      <c r="BF34" s="5">
        <v>50</v>
      </c>
      <c r="BG34" s="5">
        <v>51</v>
      </c>
      <c r="BH34" s="5">
        <v>52</v>
      </c>
      <c r="BI34" s="5">
        <v>53</v>
      </c>
      <c r="BJ34" s="5">
        <v>54</v>
      </c>
      <c r="BK34" s="5">
        <v>55</v>
      </c>
      <c r="BL34" s="5">
        <v>56</v>
      </c>
      <c r="BM34" s="5">
        <v>57</v>
      </c>
      <c r="BN34" s="5">
        <v>58</v>
      </c>
      <c r="BO34" s="5">
        <v>59</v>
      </c>
      <c r="BP34" s="5">
        <v>60</v>
      </c>
      <c r="BQ34" s="5">
        <v>61</v>
      </c>
      <c r="BR34" s="5">
        <v>62</v>
      </c>
      <c r="BS34" s="5">
        <v>63</v>
      </c>
      <c r="BT34" s="5">
        <v>64</v>
      </c>
      <c r="BU34" s="5">
        <v>65</v>
      </c>
      <c r="BV34" s="5">
        <v>66</v>
      </c>
      <c r="BW34" s="5">
        <v>67</v>
      </c>
      <c r="BX34" s="5">
        <v>68</v>
      </c>
      <c r="BY34" s="5">
        <v>69</v>
      </c>
      <c r="BZ34" s="5">
        <v>70</v>
      </c>
      <c r="CA34" s="5">
        <v>71</v>
      </c>
      <c r="CB34" s="5">
        <v>72</v>
      </c>
      <c r="CC34" s="5">
        <v>73</v>
      </c>
      <c r="CD34" s="5">
        <v>74</v>
      </c>
      <c r="CE34" s="5">
        <v>75</v>
      </c>
      <c r="CF34" s="5">
        <v>76</v>
      </c>
      <c r="CG34" s="5">
        <v>77</v>
      </c>
      <c r="CH34" s="5">
        <v>78</v>
      </c>
      <c r="CI34" s="5">
        <v>79</v>
      </c>
      <c r="CJ34" s="5">
        <v>80</v>
      </c>
      <c r="CK34" s="5">
        <v>81</v>
      </c>
      <c r="CL34" s="5">
        <v>82</v>
      </c>
      <c r="CM34" s="5">
        <v>83</v>
      </c>
      <c r="CN34" s="5">
        <v>84</v>
      </c>
      <c r="CO34" s="5">
        <v>85</v>
      </c>
      <c r="CP34" s="5">
        <v>86</v>
      </c>
      <c r="CQ34" s="5">
        <v>87</v>
      </c>
      <c r="CR34" s="5">
        <v>88</v>
      </c>
      <c r="CS34" s="5">
        <v>89</v>
      </c>
      <c r="CT34" s="5">
        <v>90</v>
      </c>
      <c r="CU34" s="5">
        <v>91</v>
      </c>
      <c r="CV34" s="5">
        <v>92</v>
      </c>
      <c r="CW34" s="5">
        <v>93</v>
      </c>
      <c r="CX34" s="5">
        <v>94</v>
      </c>
      <c r="CY34" s="5">
        <v>95</v>
      </c>
      <c r="CZ34" s="5">
        <v>96</v>
      </c>
      <c r="DA34" s="5">
        <v>97</v>
      </c>
      <c r="DB34" s="5">
        <v>98</v>
      </c>
      <c r="DC34" s="5">
        <v>99</v>
      </c>
      <c r="DD34" s="5">
        <v>100</v>
      </c>
      <c r="DE34" s="5">
        <v>101</v>
      </c>
      <c r="DF34" s="5">
        <v>102</v>
      </c>
      <c r="DG34" s="5">
        <v>103</v>
      </c>
      <c r="DH34" s="5">
        <v>104</v>
      </c>
      <c r="DI34" s="5">
        <v>105</v>
      </c>
      <c r="DJ34" s="5">
        <v>106</v>
      </c>
      <c r="DK34" s="5">
        <v>107</v>
      </c>
      <c r="DL34" s="5">
        <v>108</v>
      </c>
      <c r="DM34" s="5">
        <v>109</v>
      </c>
      <c r="DN34" s="5">
        <v>110</v>
      </c>
      <c r="DO34" s="5">
        <v>111</v>
      </c>
      <c r="DP34" s="5">
        <v>112</v>
      </c>
      <c r="DQ34" s="5">
        <v>113</v>
      </c>
      <c r="DR34" s="5">
        <v>114</v>
      </c>
      <c r="DS34" s="5">
        <v>115</v>
      </c>
      <c r="DT34" s="5">
        <v>116</v>
      </c>
      <c r="DU34" s="5">
        <v>117</v>
      </c>
      <c r="DV34" s="5">
        <v>118</v>
      </c>
      <c r="DW34" s="5">
        <v>119</v>
      </c>
      <c r="DX34" s="5">
        <v>120</v>
      </c>
      <c r="DY34" s="5">
        <v>121</v>
      </c>
      <c r="DZ34" s="5">
        <v>122</v>
      </c>
      <c r="EA34" s="5">
        <v>123</v>
      </c>
      <c r="EB34" s="5">
        <v>124</v>
      </c>
      <c r="EC34" s="5">
        <v>125</v>
      </c>
      <c r="ED34" s="5">
        <v>126</v>
      </c>
      <c r="EE34" s="5">
        <v>127</v>
      </c>
      <c r="EF34" s="5">
        <v>128</v>
      </c>
      <c r="EG34" s="5">
        <v>129</v>
      </c>
      <c r="EH34" s="5">
        <v>130</v>
      </c>
      <c r="EI34" s="5">
        <v>131</v>
      </c>
      <c r="EJ34" s="5">
        <v>132</v>
      </c>
      <c r="EK34" s="5">
        <v>133</v>
      </c>
      <c r="EL34" s="5">
        <v>134</v>
      </c>
      <c r="EM34" s="5">
        <v>135</v>
      </c>
      <c r="EN34" s="5">
        <v>136</v>
      </c>
      <c r="EO34" s="5">
        <v>137</v>
      </c>
      <c r="EP34" s="5">
        <v>138</v>
      </c>
      <c r="EQ34" s="5">
        <v>139</v>
      </c>
      <c r="ER34" s="5">
        <v>140</v>
      </c>
      <c r="ES34" s="5">
        <v>141</v>
      </c>
      <c r="ET34" s="5">
        <v>142</v>
      </c>
      <c r="EU34" s="5">
        <v>143</v>
      </c>
      <c r="EV34" s="5">
        <v>144</v>
      </c>
      <c r="EW34" s="5">
        <v>145</v>
      </c>
      <c r="EX34" s="5">
        <v>146</v>
      </c>
      <c r="EY34" s="5">
        <v>147</v>
      </c>
      <c r="EZ34" s="5">
        <v>148</v>
      </c>
      <c r="FA34" s="5">
        <v>149</v>
      </c>
      <c r="FB34" s="5">
        <v>150</v>
      </c>
      <c r="FC34" s="5">
        <v>151</v>
      </c>
      <c r="FD34" s="5">
        <v>152</v>
      </c>
      <c r="FE34" s="5">
        <v>153</v>
      </c>
      <c r="FF34" s="5">
        <v>154</v>
      </c>
      <c r="FG34" s="5">
        <v>155</v>
      </c>
      <c r="FH34" s="5">
        <v>156</v>
      </c>
      <c r="FI34" s="5">
        <v>157</v>
      </c>
      <c r="FJ34" s="5">
        <v>158</v>
      </c>
      <c r="FK34" s="5">
        <v>159</v>
      </c>
      <c r="FL34" s="5">
        <v>160</v>
      </c>
      <c r="FM34" s="5">
        <v>161</v>
      </c>
      <c r="FN34" s="5">
        <v>162</v>
      </c>
      <c r="FO34" s="5">
        <v>163</v>
      </c>
      <c r="FP34" s="5">
        <v>164</v>
      </c>
      <c r="FQ34" s="5">
        <v>165</v>
      </c>
      <c r="FR34" s="5">
        <v>166</v>
      </c>
      <c r="FS34" s="5">
        <v>167</v>
      </c>
      <c r="FT34" s="5">
        <v>168</v>
      </c>
      <c r="FU34" s="5">
        <v>169</v>
      </c>
      <c r="FV34" s="5">
        <v>170</v>
      </c>
      <c r="FW34" s="5">
        <v>171</v>
      </c>
      <c r="FX34" s="5">
        <v>172</v>
      </c>
      <c r="FY34" s="5">
        <v>173</v>
      </c>
      <c r="FZ34" s="5">
        <v>174</v>
      </c>
      <c r="GA34" s="5">
        <v>175</v>
      </c>
      <c r="GB34" s="5">
        <v>176</v>
      </c>
      <c r="GC34" s="5">
        <v>177</v>
      </c>
      <c r="GD34" s="5">
        <v>178</v>
      </c>
      <c r="GE34" s="5">
        <v>179</v>
      </c>
      <c r="GF34" s="5">
        <v>180</v>
      </c>
      <c r="GG34" s="5">
        <v>181</v>
      </c>
      <c r="GH34" s="5">
        <v>182</v>
      </c>
      <c r="GI34" s="5">
        <v>183</v>
      </c>
      <c r="GJ34" s="5">
        <v>184</v>
      </c>
      <c r="GK34" s="5">
        <v>185</v>
      </c>
      <c r="GL34" s="5">
        <v>186</v>
      </c>
      <c r="GM34" s="5">
        <v>187</v>
      </c>
      <c r="GN34" s="5">
        <v>188</v>
      </c>
      <c r="GO34" s="5">
        <v>189</v>
      </c>
      <c r="GP34" s="5">
        <v>190</v>
      </c>
      <c r="GQ34" s="5">
        <v>191</v>
      </c>
      <c r="GR34" s="5">
        <v>192</v>
      </c>
      <c r="GS34" s="5">
        <v>193</v>
      </c>
      <c r="GT34" s="5">
        <v>194</v>
      </c>
      <c r="GU34" s="5">
        <v>195</v>
      </c>
      <c r="GV34" s="5">
        <v>196</v>
      </c>
      <c r="GW34" s="5">
        <v>197</v>
      </c>
      <c r="GX34" s="5">
        <v>198</v>
      </c>
      <c r="GY34" s="5">
        <v>199</v>
      </c>
      <c r="GZ34" s="5">
        <v>200</v>
      </c>
    </row>
    <row r="42" spans="2:208" ht="12.95" customHeight="1" x14ac:dyDescent="0.2">
      <c r="B42" s="121"/>
      <c r="F42" s="80"/>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row>
    <row r="43" spans="2:208" ht="12.95" customHeight="1" x14ac:dyDescent="0.2">
      <c r="B43" s="54" t="s">
        <v>400</v>
      </c>
      <c r="E43" s="119">
        <v>95</v>
      </c>
      <c r="F43" s="54" t="s">
        <v>395</v>
      </c>
      <c r="G43" s="253"/>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row>
    <row r="44" spans="2:208" ht="12.95" customHeight="1" x14ac:dyDescent="0.2">
      <c r="B44" s="118" t="s">
        <v>394</v>
      </c>
      <c r="E44" s="88">
        <v>20</v>
      </c>
      <c r="F44" s="54" t="s">
        <v>4</v>
      </c>
      <c r="G44" s="253"/>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row>
    <row r="45" spans="2:208" ht="12.95" customHeight="1" x14ac:dyDescent="0.2">
      <c r="B45" s="118" t="s">
        <v>397</v>
      </c>
      <c r="E45" s="88">
        <v>5</v>
      </c>
      <c r="F45" s="54" t="s">
        <v>396</v>
      </c>
      <c r="G45" s="253"/>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row>
    <row r="46" spans="2:208" ht="12.95" customHeight="1" x14ac:dyDescent="0.2">
      <c r="B46" s="118" t="s">
        <v>577</v>
      </c>
      <c r="F46" s="54" t="s">
        <v>395</v>
      </c>
      <c r="H46" s="146">
        <v>0</v>
      </c>
      <c r="I46" s="146">
        <f t="shared" ref="I46:AN46" si="42">$E$43*(1-EXP(-I34/$E$44))^$E$45</f>
        <v>2.6212775443704937E-5</v>
      </c>
      <c r="J46" s="146">
        <f t="shared" si="42"/>
        <v>7.414035984883334E-4</v>
      </c>
      <c r="K46" s="146">
        <f t="shared" si="42"/>
        <v>4.9814393110441633E-3</v>
      </c>
      <c r="L46" s="146">
        <f t="shared" si="42"/>
        <v>1.8592776884077237E-2</v>
      </c>
      <c r="M46" s="146">
        <f t="shared" si="42"/>
        <v>5.0308518837511432E-2</v>
      </c>
      <c r="N46" s="146">
        <f t="shared" si="42"/>
        <v>0.11110815613513043</v>
      </c>
      <c r="O46" s="146">
        <f t="shared" si="42"/>
        <v>0.2133675743233602</v>
      </c>
      <c r="P46" s="146">
        <f t="shared" si="42"/>
        <v>0.36998686782296542</v>
      </c>
      <c r="Q46" s="146">
        <f t="shared" si="42"/>
        <v>0.59360269150640321</v>
      </c>
      <c r="R46" s="146">
        <f t="shared" si="42"/>
        <v>0.89593827648163504</v>
      </c>
      <c r="S46" s="146">
        <f t="shared" si="42"/>
        <v>1.2873098001993628</v>
      </c>
      <c r="T46" s="146">
        <f t="shared" si="42"/>
        <v>1.7762866789460905</v>
      </c>
      <c r="U46" s="146">
        <f t="shared" si="42"/>
        <v>2.3694913214364592</v>
      </c>
      <c r="V46" s="146">
        <f t="shared" si="42"/>
        <v>3.0715179251320941</v>
      </c>
      <c r="W46" s="146">
        <f t="shared" si="42"/>
        <v>3.8849478736697396</v>
      </c>
      <c r="X46" s="146">
        <f t="shared" si="42"/>
        <v>4.8104397095947089</v>
      </c>
      <c r="Y46" s="146">
        <f t="shared" si="42"/>
        <v>5.8468734831572124</v>
      </c>
      <c r="Z46" s="146">
        <f t="shared" si="42"/>
        <v>6.9915318222913045</v>
      </c>
      <c r="AA46" s="146">
        <f t="shared" si="42"/>
        <v>8.2403028769008841</v>
      </c>
      <c r="AB46" s="146">
        <f t="shared" si="42"/>
        <v>9.5878930761118255</v>
      </c>
      <c r="AC46" s="146">
        <f t="shared" si="42"/>
        <v>11.028040230650536</v>
      </c>
      <c r="AD46" s="146">
        <f t="shared" si="42"/>
        <v>12.553719823754825</v>
      </c>
      <c r="AE46" s="146">
        <f t="shared" si="42"/>
        <v>14.157339325481248</v>
      </c>
      <c r="AF46" s="146">
        <f t="shared" si="42"/>
        <v>15.83091703321915</v>
      </c>
      <c r="AG46" s="146">
        <f t="shared" si="42"/>
        <v>17.566243302528864</v>
      </c>
      <c r="AH46" s="146">
        <f t="shared" si="42"/>
        <v>19.355023115475539</v>
      </c>
      <c r="AI46" s="146">
        <f t="shared" si="42"/>
        <v>21.188999772210838</v>
      </c>
      <c r="AJ46" s="146">
        <f t="shared" si="42"/>
        <v>23.060060120841882</v>
      </c>
      <c r="AK46" s="146">
        <f t="shared" si="42"/>
        <v>24.96032219469058</v>
      </c>
      <c r="AL46" s="146">
        <f t="shared" si="42"/>
        <v>26.88220643638887</v>
      </c>
      <c r="AM46" s="146">
        <f t="shared" si="42"/>
        <v>28.818491883046406</v>
      </c>
      <c r="AN46" s="146">
        <f t="shared" si="42"/>
        <v>30.762358790524445</v>
      </c>
      <c r="AO46" s="146">
        <f t="shared" ref="AO46:BT46" si="43">$E$43*(1-EXP(-AO34/$E$44))^$E$45</f>
        <v>32.707419208611881</v>
      </c>
      <c r="AP46" s="146">
        <f t="shared" si="43"/>
        <v>34.647737000191221</v>
      </c>
      <c r="AQ46" s="146">
        <f t="shared" si="43"/>
        <v>36.577838740771213</v>
      </c>
      <c r="AR46" s="146">
        <f t="shared" si="43"/>
        <v>38.492716851782973</v>
      </c>
      <c r="AS46" s="146">
        <f t="shared" si="43"/>
        <v>40.387826221137701</v>
      </c>
      <c r="AT46" s="146">
        <f t="shared" si="43"/>
        <v>42.259075455052908</v>
      </c>
      <c r="AU46" s="146">
        <f t="shared" si="43"/>
        <v>44.102813791697351</v>
      </c>
      <c r="AV46" s="146">
        <f t="shared" si="43"/>
        <v>45.915814593999663</v>
      </c>
      <c r="AW46" s="146">
        <f t="shared" si="43"/>
        <v>47.695256229086311</v>
      </c>
      <c r="AX46" s="146">
        <f t="shared" si="43"/>
        <v>49.438701037406695</v>
      </c>
      <c r="AY46" s="146">
        <f t="shared" si="43"/>
        <v>51.144072997082446</v>
      </c>
      <c r="AZ46" s="146">
        <f t="shared" si="43"/>
        <v>52.809634599231202</v>
      </c>
      <c r="BA46" s="146">
        <f t="shared" si="43"/>
        <v>54.433963368357041</v>
      </c>
      <c r="BB46" s="146">
        <f t="shared" si="43"/>
        <v>56.015928388454775</v>
      </c>
      <c r="BC46" s="146">
        <f t="shared" si="43"/>
        <v>57.554667130064125</v>
      </c>
      <c r="BD46" s="146">
        <f t="shared" si="43"/>
        <v>59.049562815799852</v>
      </c>
      <c r="BE46" s="146">
        <f t="shared" si="43"/>
        <v>60.500222511417405</v>
      </c>
      <c r="BF46" s="146">
        <f t="shared" si="43"/>
        <v>61.906456085724642</v>
      </c>
      <c r="BG46" s="146">
        <f t="shared" si="43"/>
        <v>63.268256145057073</v>
      </c>
      <c r="BH46" s="146">
        <f t="shared" si="43"/>
        <v>64.585779016018662</v>
      </c>
      <c r="BI46" s="146">
        <f t="shared" si="43"/>
        <v>65.85932682318662</v>
      </c>
      <c r="BJ46" s="146">
        <f t="shared" si="43"/>
        <v>67.089330685933078</v>
      </c>
      <c r="BK46" s="146">
        <f t="shared" si="43"/>
        <v>68.276335039912581</v>
      </c>
      <c r="BL46" s="146">
        <f t="shared" si="43"/>
        <v>69.420983073613243</v>
      </c>
      <c r="BM46" s="146">
        <f t="shared" si="43"/>
        <v>70.524003258223786</v>
      </c>
      <c r="BN46" s="146">
        <f t="shared" si="43"/>
        <v>71.586196939522111</v>
      </c>
      <c r="BO46" s="146">
        <f t="shared" si="43"/>
        <v>72.608426953168077</v>
      </c>
      <c r="BP46" s="146">
        <f t="shared" si="43"/>
        <v>73.5916072193627</v>
      </c>
      <c r="BQ46" s="146">
        <f t="shared" si="43"/>
        <v>74.536693269011948</v>
      </c>
      <c r="BR46" s="146">
        <f t="shared" si="43"/>
        <v>75.444673651054856</v>
      </c>
      <c r="BS46" s="146">
        <f t="shared" si="43"/>
        <v>76.316562169249039</v>
      </c>
      <c r="BT46" s="146">
        <f t="shared" si="43"/>
        <v>77.153390896255118</v>
      </c>
      <c r="BU46" s="146">
        <f t="shared" ref="BU46:CZ46" si="44">$E$43*(1-EXP(-BU34/$E$44))^$E$45</f>
        <v>77.956203913148912</v>
      </c>
      <c r="BV46" s="146">
        <f t="shared" si="44"/>
        <v>78.726051723373786</v>
      </c>
      <c r="BW46" s="146">
        <f t="shared" si="44"/>
        <v>79.463986291488382</v>
      </c>
      <c r="BX46" s="146">
        <f t="shared" si="44"/>
        <v>80.171056658769913</v>
      </c>
      <c r="BY46" s="146">
        <f t="shared" si="44"/>
        <v>80.848305089696339</v>
      </c>
      <c r="BZ46" s="146">
        <f t="shared" si="44"/>
        <v>81.496763705485634</v>
      </c>
      <c r="CA46" s="146">
        <f t="shared" si="44"/>
        <v>82.117451563145153</v>
      </c>
      <c r="CB46" s="146">
        <f t="shared" si="44"/>
        <v>82.711372140830605</v>
      </c>
      <c r="CC46" s="146">
        <f t="shared" si="44"/>
        <v>83.279511192685391</v>
      </c>
      <c r="CD46" s="146">
        <f t="shared" si="44"/>
        <v>83.822834938695863</v>
      </c>
      <c r="CE46" s="146">
        <f t="shared" si="44"/>
        <v>84.342288557424354</v>
      </c>
      <c r="CF46" s="146">
        <f t="shared" si="44"/>
        <v>84.838794951751453</v>
      </c>
      <c r="CG46" s="146">
        <f t="shared" si="44"/>
        <v>85.313253759952929</v>
      </c>
      <c r="CH46" s="146">
        <f t="shared" si="44"/>
        <v>85.766540586543243</v>
      </c>
      <c r="CI46" s="146">
        <f t="shared" si="44"/>
        <v>86.199506429328579</v>
      </c>
      <c r="CJ46" s="146">
        <f t="shared" si="44"/>
        <v>86.612977281021372</v>
      </c>
      <c r="CK46" s="146">
        <f t="shared" si="44"/>
        <v>87.007753885570537</v>
      </c>
      <c r="CL46" s="146">
        <f t="shared" si="44"/>
        <v>87.38461163105967</v>
      </c>
      <c r="CM46" s="146">
        <f t="shared" si="44"/>
        <v>87.744300562616388</v>
      </c>
      <c r="CN46" s="146">
        <f t="shared" si="44"/>
        <v>88.087545500260148</v>
      </c>
      <c r="CO46" s="146">
        <f t="shared" si="44"/>
        <v>88.415046248001033</v>
      </c>
      <c r="CP46" s="146">
        <f t="shared" si="44"/>
        <v>88.727477881786228</v>
      </c>
      <c r="CQ46" s="146">
        <f t="shared" si="44"/>
        <v>89.025491105080164</v>
      </c>
      <c r="CR46" s="146">
        <f t="shared" si="44"/>
        <v>89.309712661964014</v>
      </c>
      <c r="CS46" s="146">
        <f t="shared" si="44"/>
        <v>89.580745798651691</v>
      </c>
      <c r="CT46" s="146">
        <f t="shared" si="44"/>
        <v>89.839170765252547</v>
      </c>
      <c r="CU46" s="146">
        <f t="shared" si="44"/>
        <v>90.08554535046305</v>
      </c>
      <c r="CV46" s="146">
        <f t="shared" si="44"/>
        <v>90.320405442654433</v>
      </c>
      <c r="CW46" s="146">
        <f t="shared" si="44"/>
        <v>90.544265611536261</v>
      </c>
      <c r="CX46" s="146">
        <f t="shared" si="44"/>
        <v>90.757619705229857</v>
      </c>
      <c r="CY46" s="146">
        <f t="shared" si="44"/>
        <v>90.960941458177629</v>
      </c>
      <c r="CZ46" s="146">
        <f t="shared" si="44"/>
        <v>91.154685105855947</v>
      </c>
      <c r="DA46" s="146">
        <f t="shared" ref="DA46:EF46" si="45">$E$43*(1-EXP(-DA34/$E$44))^$E$45</f>
        <v>91.339286002746945</v>
      </c>
      <c r="DB46" s="146">
        <f t="shared" si="45"/>
        <v>91.515161240469681</v>
      </c>
      <c r="DC46" s="146">
        <f t="shared" si="45"/>
        <v>91.682710263370069</v>
      </c>
      <c r="DD46" s="146">
        <f t="shared" si="45"/>
        <v>91.842315479232894</v>
      </c>
      <c r="DE46" s="146">
        <f t="shared" si="45"/>
        <v>91.994342863102517</v>
      </c>
      <c r="DF46" s="146">
        <f t="shared" si="45"/>
        <v>92.139142552493098</v>
      </c>
      <c r="DG46" s="146">
        <f t="shared" si="45"/>
        <v>92.27704943253147</v>
      </c>
      <c r="DH46" s="146">
        <f t="shared" si="45"/>
        <v>92.408383709810522</v>
      </c>
      <c r="DI46" s="146">
        <f t="shared" si="45"/>
        <v>92.533451473941341</v>
      </c>
      <c r="DJ46" s="146">
        <f t="shared" si="45"/>
        <v>92.652545245979553</v>
      </c>
      <c r="DK46" s="146">
        <f t="shared" si="45"/>
        <v>92.765944513067069</v>
      </c>
      <c r="DL46" s="146">
        <f t="shared" si="45"/>
        <v>92.873916248779494</v>
      </c>
      <c r="DM46" s="146">
        <f t="shared" si="45"/>
        <v>92.976715418797667</v>
      </c>
      <c r="DN46" s="146">
        <f t="shared" si="45"/>
        <v>93.074585471639679</v>
      </c>
      <c r="DO46" s="146">
        <f t="shared" si="45"/>
        <v>93.167758814287879</v>
      </c>
      <c r="DP46" s="146">
        <f t="shared" si="45"/>
        <v>93.256457272636723</v>
      </c>
      <c r="DQ46" s="146">
        <f t="shared" si="45"/>
        <v>93.340892536761487</v>
      </c>
      <c r="DR46" s="146">
        <f t="shared" si="45"/>
        <v>93.421266591077483</v>
      </c>
      <c r="DS46" s="146">
        <f t="shared" si="45"/>
        <v>93.497772129515482</v>
      </c>
      <c r="DT46" s="146">
        <f t="shared" si="45"/>
        <v>93.570592955889097</v>
      </c>
      <c r="DU46" s="146">
        <f t="shared" si="45"/>
        <v>93.639904369671314</v>
      </c>
      <c r="DV46" s="146">
        <f t="shared" si="45"/>
        <v>93.705873537434726</v>
      </c>
      <c r="DW46" s="146">
        <f t="shared" si="45"/>
        <v>93.768659850237228</v>
      </c>
      <c r="DX46" s="146">
        <f t="shared" si="45"/>
        <v>93.828415267261377</v>
      </c>
      <c r="DY46" s="146">
        <f t="shared" si="45"/>
        <v>93.885284646034378</v>
      </c>
      <c r="DZ46" s="146">
        <f t="shared" si="45"/>
        <v>93.939406059571553</v>
      </c>
      <c r="EA46" s="146">
        <f t="shared" si="45"/>
        <v>93.990911100798414</v>
      </c>
      <c r="EB46" s="146">
        <f t="shared" si="45"/>
        <v>94.039925174615163</v>
      </c>
      <c r="EC46" s="146">
        <f t="shared" si="45"/>
        <v>94.086567777973144</v>
      </c>
      <c r="ED46" s="146">
        <f t="shared" si="45"/>
        <v>94.130952768337409</v>
      </c>
      <c r="EE46" s="146">
        <f t="shared" si="45"/>
        <v>94.173188620908903</v>
      </c>
      <c r="EF46" s="146">
        <f t="shared" si="45"/>
        <v>94.213378674982323</v>
      </c>
      <c r="EG46" s="146">
        <f t="shared" ref="EG46:FL46" si="46">$E$43*(1-EXP(-EG34/$E$44))^$E$45</f>
        <v>94.251621369810351</v>
      </c>
      <c r="EH46" s="146">
        <f t="shared" si="46"/>
        <v>94.288010470343934</v>
      </c>
      <c r="EI46" s="146">
        <f t="shared" si="46"/>
        <v>94.322635283213003</v>
      </c>
      <c r="EJ46" s="146">
        <f t="shared" si="46"/>
        <v>94.355580863304979</v>
      </c>
      <c r="EK46" s="146">
        <f t="shared" si="46"/>
        <v>94.386928211294546</v>
      </c>
      <c r="EL46" s="146">
        <f t="shared" si="46"/>
        <v>94.416754462468347</v>
      </c>
      <c r="EM46" s="146">
        <f t="shared" si="46"/>
        <v>94.445133067182141</v>
      </c>
      <c r="EN46" s="146">
        <f t="shared" si="46"/>
        <v>94.472133963279489</v>
      </c>
      <c r="EO46" s="146">
        <f t="shared" si="46"/>
        <v>94.497823740791063</v>
      </c>
      <c r="EP46" s="146">
        <f t="shared" si="46"/>
        <v>94.522265799227597</v>
      </c>
      <c r="EQ46" s="146">
        <f t="shared" si="46"/>
        <v>94.545520497766987</v>
      </c>
      <c r="ER46" s="146">
        <f t="shared" si="46"/>
        <v>94.567645298629913</v>
      </c>
      <c r="ES46" s="146">
        <f t="shared" si="46"/>
        <v>94.58869490392712</v>
      </c>
      <c r="ET46" s="146">
        <f t="shared" si="46"/>
        <v>94.608721386253094</v>
      </c>
      <c r="EU46" s="146">
        <f t="shared" si="46"/>
        <v>94.627774313291212</v>
      </c>
      <c r="EV46" s="146">
        <f t="shared" si="46"/>
        <v>94.645900866686674</v>
      </c>
      <c r="EW46" s="146">
        <f t="shared" si="46"/>
        <v>94.663145955433961</v>
      </c>
      <c r="EX46" s="146">
        <f t="shared" si="46"/>
        <v>94.679552324017067</v>
      </c>
      <c r="EY46" s="146">
        <f t="shared" si="46"/>
        <v>94.695160655531296</v>
      </c>
      <c r="EZ46" s="146">
        <f t="shared" si="46"/>
        <v>94.710009670007622</v>
      </c>
      <c r="FA46" s="146">
        <f t="shared" si="46"/>
        <v>94.724136218151259</v>
      </c>
      <c r="FB46" s="146">
        <f t="shared" si="46"/>
        <v>94.737575370698409</v>
      </c>
      <c r="FC46" s="146">
        <f t="shared" si="46"/>
        <v>94.750360503587004</v>
      </c>
      <c r="FD46" s="146">
        <f t="shared" si="46"/>
        <v>94.76252337912895</v>
      </c>
      <c r="FE46" s="146">
        <f t="shared" si="46"/>
        <v>94.774094223364798</v>
      </c>
      <c r="FF46" s="146">
        <f t="shared" si="46"/>
        <v>94.785101799772789</v>
      </c>
      <c r="FG46" s="146">
        <f t="shared" si="46"/>
        <v>94.795573479498714</v>
      </c>
      <c r="FH46" s="146">
        <f t="shared" si="46"/>
        <v>94.805535308265277</v>
      </c>
      <c r="FI46" s="146">
        <f t="shared" si="46"/>
        <v>94.815012070112218</v>
      </c>
      <c r="FJ46" s="146">
        <f t="shared" si="46"/>
        <v>94.824027348114015</v>
      </c>
      <c r="FK46" s="146">
        <f t="shared" si="46"/>
        <v>94.832603582213409</v>
      </c>
      <c r="FL46" s="146">
        <f t="shared" si="46"/>
        <v>94.840762124304518</v>
      </c>
      <c r="FM46" s="146">
        <f t="shared" ref="FM46:GR46" si="47">$E$43*(1-EXP(-FM34/$E$44))^$E$45</f>
        <v>94.848523290693208</v>
      </c>
      <c r="FN46" s="146">
        <f t="shared" si="47"/>
        <v>94.855906412055944</v>
      </c>
      <c r="FO46" s="146">
        <f t="shared" si="47"/>
        <v>94.862929881014622</v>
      </c>
      <c r="FP46" s="146">
        <f t="shared" si="47"/>
        <v>94.869611197437791</v>
      </c>
      <c r="FQ46" s="146">
        <f t="shared" si="47"/>
        <v>94.875967011575156</v>
      </c>
      <c r="FR46" s="146">
        <f t="shared" si="47"/>
        <v>94.88201316512712</v>
      </c>
      <c r="FS46" s="146">
        <f t="shared" si="47"/>
        <v>94.887764730346035</v>
      </c>
      <c r="FT46" s="146">
        <f t="shared" si="47"/>
        <v>94.893236047262121</v>
      </c>
      <c r="FU46" s="146">
        <f t="shared" si="47"/>
        <v>94.898440759122366</v>
      </c>
      <c r="FV46" s="146">
        <f t="shared" si="47"/>
        <v>94.903391846126794</v>
      </c>
      <c r="FW46" s="146">
        <f t="shared" si="47"/>
        <v>94.908101657543241</v>
      </c>
      <c r="FX46" s="146">
        <f t="shared" si="47"/>
        <v>94.912581942276319</v>
      </c>
      <c r="FY46" s="146">
        <f t="shared" si="47"/>
        <v>94.916843877965348</v>
      </c>
      <c r="FZ46" s="146">
        <f t="shared" si="47"/>
        <v>94.920898098680297</v>
      </c>
      <c r="GA46" s="146">
        <f t="shared" si="47"/>
        <v>94.92475472128227</v>
      </c>
      <c r="GB46" s="146">
        <f t="shared" si="47"/>
        <v>94.928423370513329</v>
      </c>
      <c r="GC46" s="146">
        <f t="shared" si="47"/>
        <v>94.931913202874853</v>
      </c>
      <c r="GD46" s="146">
        <f t="shared" si="47"/>
        <v>94.935232929353276</v>
      </c>
      <c r="GE46" s="146">
        <f t="shared" si="47"/>
        <v>94.938390837048061</v>
      </c>
      <c r="GF46" s="146">
        <f t="shared" si="47"/>
        <v>94.941394809754144</v>
      </c>
      <c r="GG46" s="146">
        <f t="shared" si="47"/>
        <v>94.944252347549437</v>
      </c>
      <c r="GH46" s="146">
        <f t="shared" si="47"/>
        <v>94.946970585434656</v>
      </c>
      <c r="GI46" s="146">
        <f t="shared" si="47"/>
        <v>94.94955631107112</v>
      </c>
      <c r="GJ46" s="146">
        <f t="shared" si="47"/>
        <v>94.952015981660153</v>
      </c>
      <c r="GK46" s="146">
        <f t="shared" si="47"/>
        <v>94.954355740004644</v>
      </c>
      <c r="GL46" s="146">
        <f t="shared" si="47"/>
        <v>94.956581429792564</v>
      </c>
      <c r="GM46" s="146">
        <f t="shared" si="47"/>
        <v>94.958698610140289</v>
      </c>
      <c r="GN46" s="146">
        <f t="shared" si="47"/>
        <v>94.960712569430285</v>
      </c>
      <c r="GO46" s="146">
        <f t="shared" si="47"/>
        <v>94.962628338478311</v>
      </c>
      <c r="GP46" s="146">
        <f t="shared" si="47"/>
        <v>94.964450703061587</v>
      </c>
      <c r="GQ46" s="146">
        <f t="shared" si="47"/>
        <v>94.966184215839164</v>
      </c>
      <c r="GR46" s="146">
        <f t="shared" si="47"/>
        <v>94.967833207694355</v>
      </c>
      <c r="GS46" s="146">
        <f t="shared" ref="GS46:GZ46" si="48">$E$43*(1-EXP(-GS34/$E$44))^$E$45</f>
        <v>94.969401798525666</v>
      </c>
      <c r="GT46" s="146">
        <f t="shared" si="48"/>
        <v>94.970893907514508</v>
      </c>
      <c r="GU46" s="146">
        <f t="shared" si="48"/>
        <v>94.972313262894076</v>
      </c>
      <c r="GV46" s="146">
        <f t="shared" si="48"/>
        <v>94.973663411243621</v>
      </c>
      <c r="GW46" s="146">
        <f t="shared" si="48"/>
        <v>94.97494772633128</v>
      </c>
      <c r="GX46" s="146">
        <f t="shared" si="48"/>
        <v>94.976169417527117</v>
      </c>
      <c r="GY46" s="146">
        <f t="shared" si="48"/>
        <v>94.977331537807444</v>
      </c>
      <c r="GZ46" s="146">
        <f t="shared" si="48"/>
        <v>94.978436991369847</v>
      </c>
    </row>
  </sheetData>
  <phoneticPr fontId="43" type="noConversion"/>
  <hyperlinks>
    <hyperlink ref="B2" location="cover!B18" display="return to TOC" xr:uid="{00000000-0004-0000-0400-000000000000}"/>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A673C-F56A-4CE0-85E9-EB704C222E49}">
  <sheetPr published="0" codeName="Sheet10">
    <tabColor rgb="FF2171B5"/>
  </sheetPr>
  <dimension ref="A1:AX14"/>
  <sheetViews>
    <sheetView workbookViewId="0"/>
  </sheetViews>
  <sheetFormatPr defaultColWidth="10.83203125" defaultRowHeight="12.95" customHeight="1" x14ac:dyDescent="0.2"/>
  <cols>
    <col min="1" max="1" width="1.83203125" customWidth="1"/>
    <col min="2" max="4" width="2.83203125" customWidth="1"/>
    <col min="5" max="5" width="32.83203125" customWidth="1"/>
    <col min="6" max="6" width="8.83203125" customWidth="1"/>
    <col min="7" max="7" width="10.83203125" customWidth="1"/>
    <col min="8" max="48" width="8.83203125" customWidth="1"/>
    <col min="49" max="49" width="75.83203125" customWidth="1"/>
    <col min="50" max="50" width="10.83203125" customWidth="1"/>
  </cols>
  <sheetData>
    <row r="1" spans="1:50" s="253" customFormat="1" ht="30" customHeight="1" x14ac:dyDescent="0.2">
      <c r="A1" s="85"/>
      <c r="B1" s="86" t="s">
        <v>961</v>
      </c>
      <c r="C1" s="296"/>
      <c r="D1" s="296"/>
      <c r="E1" s="296"/>
      <c r="F1" s="296"/>
      <c r="G1" s="14"/>
      <c r="H1" s="14"/>
      <c r="I1" s="14"/>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14"/>
      <c r="AX1" s="14"/>
    </row>
    <row r="2" spans="1:50" s="253" customFormat="1" ht="12.95" customHeight="1" x14ac:dyDescent="0.2">
      <c r="A2" s="85"/>
      <c r="B2" s="81" t="s">
        <v>349</v>
      </c>
      <c r="C2" s="21"/>
      <c r="D2" s="21"/>
      <c r="E2" s="21"/>
      <c r="F2" s="21"/>
    </row>
    <row r="3" spans="1:50" s="253" customFormat="1" ht="12.95" customHeight="1" x14ac:dyDescent="0.2">
      <c r="B3" s="21"/>
      <c r="C3" s="21"/>
      <c r="D3" s="21"/>
      <c r="E3" s="21"/>
      <c r="F3" s="21"/>
      <c r="I3" s="81"/>
    </row>
    <row r="4" spans="1:50" s="253" customFormat="1" ht="12.95" customHeight="1" x14ac:dyDescent="0.2">
      <c r="B4" s="21" t="s">
        <v>962</v>
      </c>
      <c r="C4" s="21"/>
      <c r="D4" s="21"/>
      <c r="E4" s="21"/>
      <c r="F4" s="21"/>
      <c r="I4" s="81"/>
    </row>
    <row r="5" spans="1:50" s="253" customFormat="1" ht="12.95" customHeight="1" x14ac:dyDescent="0.2">
      <c r="B5" s="21" t="s">
        <v>963</v>
      </c>
      <c r="C5" s="21"/>
      <c r="D5" s="21"/>
      <c r="E5" s="21"/>
      <c r="F5" s="21"/>
      <c r="I5" s="81"/>
    </row>
    <row r="6" spans="1:50" s="253" customFormat="1" ht="12.95" customHeight="1" x14ac:dyDescent="0.2">
      <c r="B6" s="21"/>
      <c r="C6" s="21"/>
      <c r="D6" s="21"/>
      <c r="E6" s="21"/>
      <c r="F6" s="21"/>
      <c r="I6" s="81"/>
    </row>
    <row r="7" spans="1:50" s="253" customFormat="1" ht="12.95" customHeight="1" x14ac:dyDescent="0.25">
      <c r="B7" s="105" t="s">
        <v>967</v>
      </c>
      <c r="C7" s="106"/>
      <c r="D7" s="106"/>
      <c r="E7" s="106"/>
      <c r="F7" s="106"/>
      <c r="G7" s="106"/>
      <c r="H7" s="106"/>
      <c r="I7" s="106"/>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8"/>
    </row>
    <row r="8" spans="1:50" s="253" customFormat="1" ht="12.95" customHeight="1" x14ac:dyDescent="0.25">
      <c r="B8" s="19" t="s">
        <v>300</v>
      </c>
      <c r="C8" s="75"/>
      <c r="D8" s="75"/>
      <c r="E8" s="74"/>
      <c r="F8" s="56" t="s">
        <v>491</v>
      </c>
      <c r="G8" s="113" t="s">
        <v>1</v>
      </c>
      <c r="H8" s="113" t="s">
        <v>456</v>
      </c>
      <c r="I8" s="114" t="s">
        <v>381</v>
      </c>
      <c r="J8" s="56" t="s">
        <v>382</v>
      </c>
      <c r="K8" s="56" t="s">
        <v>383</v>
      </c>
      <c r="L8" s="56" t="s">
        <v>384</v>
      </c>
      <c r="M8" s="56" t="s">
        <v>385</v>
      </c>
      <c r="N8" s="56" t="s">
        <v>386</v>
      </c>
      <c r="O8" s="56" t="s">
        <v>387</v>
      </c>
      <c r="P8" s="56" t="s">
        <v>388</v>
      </c>
      <c r="Q8" s="56" t="s">
        <v>389</v>
      </c>
      <c r="R8" s="56" t="s">
        <v>390</v>
      </c>
      <c r="S8" s="56" t="s">
        <v>401</v>
      </c>
      <c r="T8" s="56" t="s">
        <v>402</v>
      </c>
      <c r="U8" s="56" t="s">
        <v>403</v>
      </c>
      <c r="V8" s="56" t="s">
        <v>404</v>
      </c>
      <c r="W8" s="56" t="s">
        <v>405</v>
      </c>
      <c r="X8" s="56" t="s">
        <v>406</v>
      </c>
      <c r="Y8" s="56" t="s">
        <v>407</v>
      </c>
      <c r="Z8" s="56" t="s">
        <v>408</v>
      </c>
      <c r="AA8" s="56" t="s">
        <v>409</v>
      </c>
      <c r="AB8" s="56" t="s">
        <v>410</v>
      </c>
      <c r="AC8" s="56" t="s">
        <v>411</v>
      </c>
      <c r="AD8" s="56" t="s">
        <v>412</v>
      </c>
      <c r="AE8" s="56" t="s">
        <v>413</v>
      </c>
      <c r="AF8" s="56" t="s">
        <v>414</v>
      </c>
      <c r="AG8" s="56" t="s">
        <v>415</v>
      </c>
      <c r="AH8" s="56" t="s">
        <v>416</v>
      </c>
      <c r="AI8" s="56" t="s">
        <v>417</v>
      </c>
      <c r="AJ8" s="56" t="s">
        <v>418</v>
      </c>
      <c r="AK8" s="56" t="s">
        <v>419</v>
      </c>
      <c r="AL8" s="56" t="s">
        <v>420</v>
      </c>
      <c r="AM8" s="56" t="s">
        <v>421</v>
      </c>
      <c r="AN8" s="56" t="s">
        <v>422</v>
      </c>
      <c r="AO8" s="56" t="s">
        <v>423</v>
      </c>
      <c r="AP8" s="56" t="s">
        <v>424</v>
      </c>
      <c r="AQ8" s="56" t="s">
        <v>425</v>
      </c>
      <c r="AR8" s="56" t="s">
        <v>426</v>
      </c>
      <c r="AS8" s="56" t="s">
        <v>427</v>
      </c>
      <c r="AT8" s="56" t="s">
        <v>428</v>
      </c>
      <c r="AU8" s="56" t="s">
        <v>429</v>
      </c>
      <c r="AV8" s="56" t="s">
        <v>430</v>
      </c>
      <c r="AW8" s="5" t="s">
        <v>2</v>
      </c>
      <c r="AX8" s="14"/>
    </row>
    <row r="9" spans="1:50" s="253" customFormat="1" ht="12.95" customHeight="1" x14ac:dyDescent="0.2"/>
    <row r="10" spans="1:50" s="253" customFormat="1" ht="12.95" customHeight="1" x14ac:dyDescent="0.2">
      <c r="B10" s="253" t="s">
        <v>969</v>
      </c>
      <c r="F10" s="253" t="s">
        <v>494</v>
      </c>
      <c r="G10" s="253" t="s">
        <v>4</v>
      </c>
      <c r="H10" s="250">
        <v>0</v>
      </c>
      <c r="I10" s="250">
        <v>1</v>
      </c>
      <c r="J10" s="250">
        <v>2</v>
      </c>
      <c r="K10" s="250">
        <v>3</v>
      </c>
      <c r="L10" s="250">
        <v>4</v>
      </c>
      <c r="M10" s="250">
        <v>5</v>
      </c>
      <c r="N10" s="250">
        <v>6</v>
      </c>
      <c r="O10" s="250">
        <v>7</v>
      </c>
      <c r="P10" s="250">
        <v>8</v>
      </c>
      <c r="Q10" s="250">
        <v>9</v>
      </c>
      <c r="R10" s="250">
        <v>10</v>
      </c>
      <c r="S10" s="250">
        <v>11</v>
      </c>
      <c r="T10" s="250">
        <v>12</v>
      </c>
      <c r="U10" s="250">
        <v>13</v>
      </c>
      <c r="V10" s="250">
        <v>14</v>
      </c>
      <c r="W10" s="250">
        <v>15</v>
      </c>
      <c r="X10" s="250">
        <v>16</v>
      </c>
      <c r="Y10" s="250">
        <v>17</v>
      </c>
      <c r="Z10" s="250">
        <v>18</v>
      </c>
      <c r="AA10" s="250">
        <v>19</v>
      </c>
      <c r="AB10" s="250">
        <v>20</v>
      </c>
      <c r="AC10" s="250">
        <v>21</v>
      </c>
      <c r="AD10" s="250">
        <v>22</v>
      </c>
      <c r="AE10" s="250">
        <v>23</v>
      </c>
      <c r="AF10" s="250">
        <v>24</v>
      </c>
      <c r="AG10" s="250">
        <v>25</v>
      </c>
      <c r="AH10" s="250">
        <v>26</v>
      </c>
      <c r="AI10" s="250">
        <v>27</v>
      </c>
      <c r="AJ10" s="250">
        <v>28</v>
      </c>
      <c r="AK10" s="250">
        <v>29</v>
      </c>
      <c r="AL10" s="250">
        <v>30</v>
      </c>
      <c r="AM10" s="250">
        <v>31</v>
      </c>
      <c r="AN10" s="250">
        <v>32</v>
      </c>
      <c r="AO10" s="250">
        <v>33</v>
      </c>
      <c r="AP10" s="250">
        <v>34</v>
      </c>
      <c r="AQ10" s="250">
        <v>35</v>
      </c>
      <c r="AR10" s="250">
        <v>36</v>
      </c>
      <c r="AS10" s="250">
        <v>37</v>
      </c>
      <c r="AT10" s="250">
        <v>38</v>
      </c>
      <c r="AU10" s="250">
        <v>39</v>
      </c>
      <c r="AV10" s="250">
        <v>40</v>
      </c>
    </row>
    <row r="11" spans="1:50" s="253" customFormat="1" ht="12.95" customHeight="1" x14ac:dyDescent="0.2">
      <c r="B11" s="14" t="s">
        <v>964</v>
      </c>
      <c r="F11" s="253" t="s">
        <v>494</v>
      </c>
      <c r="G11" s="253" t="s">
        <v>396</v>
      </c>
      <c r="H11" s="250"/>
      <c r="I11" s="299">
        <v>0.2</v>
      </c>
      <c r="J11" s="299">
        <v>0.15</v>
      </c>
      <c r="K11" s="299">
        <v>0.15</v>
      </c>
      <c r="L11" s="299">
        <v>0.15</v>
      </c>
      <c r="M11" s="299">
        <v>0.15</v>
      </c>
      <c r="N11" s="299">
        <v>0.15</v>
      </c>
      <c r="O11" s="299">
        <v>0.15</v>
      </c>
      <c r="P11" s="299">
        <v>0.15</v>
      </c>
      <c r="Q11" s="299">
        <v>0.15</v>
      </c>
      <c r="R11" s="299">
        <v>0.15</v>
      </c>
      <c r="S11" s="299">
        <v>0.15</v>
      </c>
      <c r="T11" s="299">
        <v>0.15</v>
      </c>
      <c r="U11" s="299">
        <v>0.15</v>
      </c>
      <c r="V11" s="299">
        <v>0.15</v>
      </c>
      <c r="W11" s="299">
        <v>0.15</v>
      </c>
      <c r="X11" s="299">
        <v>0.15</v>
      </c>
      <c r="Y11" s="299">
        <v>0.15</v>
      </c>
      <c r="Z11" s="299">
        <v>0.15</v>
      </c>
      <c r="AA11" s="299">
        <v>0.15</v>
      </c>
      <c r="AB11" s="299">
        <v>0.15</v>
      </c>
      <c r="AC11" s="299">
        <v>0.15</v>
      </c>
      <c r="AD11" s="299">
        <v>0.15</v>
      </c>
      <c r="AE11" s="299">
        <v>0.15</v>
      </c>
      <c r="AF11" s="299">
        <v>0.15</v>
      </c>
      <c r="AG11" s="299">
        <v>0.15</v>
      </c>
      <c r="AH11" s="299">
        <v>0.15</v>
      </c>
      <c r="AI11" s="299">
        <v>0.15</v>
      </c>
      <c r="AJ11" s="299">
        <v>0.15</v>
      </c>
      <c r="AK11" s="299">
        <v>0.15</v>
      </c>
      <c r="AL11" s="299">
        <v>0.15</v>
      </c>
      <c r="AM11" s="299">
        <v>0.15</v>
      </c>
      <c r="AN11" s="299">
        <v>0.15</v>
      </c>
      <c r="AO11" s="299">
        <v>0.15</v>
      </c>
      <c r="AP11" s="299">
        <v>0.15</v>
      </c>
      <c r="AQ11" s="299">
        <v>0.15</v>
      </c>
      <c r="AR11" s="299">
        <v>0.15</v>
      </c>
      <c r="AS11" s="299">
        <v>0.15</v>
      </c>
      <c r="AT11" s="299">
        <v>0.15</v>
      </c>
      <c r="AU11" s="299">
        <v>0.15</v>
      </c>
      <c r="AV11" s="299">
        <v>0.15</v>
      </c>
    </row>
    <row r="12" spans="1:50" s="253" customFormat="1" ht="12.95" customHeight="1" x14ac:dyDescent="0.2">
      <c r="B12" s="14" t="s">
        <v>965</v>
      </c>
      <c r="F12" s="253" t="s">
        <v>493</v>
      </c>
      <c r="G12" s="253" t="s">
        <v>396</v>
      </c>
      <c r="H12" s="250"/>
      <c r="I12" s="169">
        <f>1-I11</f>
        <v>0.8</v>
      </c>
      <c r="J12" s="169">
        <f t="shared" ref="J12:AV12" si="0">1-J11</f>
        <v>0.85</v>
      </c>
      <c r="K12" s="169">
        <f t="shared" si="0"/>
        <v>0.85</v>
      </c>
      <c r="L12" s="169">
        <f t="shared" si="0"/>
        <v>0.85</v>
      </c>
      <c r="M12" s="169">
        <f t="shared" si="0"/>
        <v>0.85</v>
      </c>
      <c r="N12" s="169">
        <f t="shared" si="0"/>
        <v>0.85</v>
      </c>
      <c r="O12" s="169">
        <f t="shared" si="0"/>
        <v>0.85</v>
      </c>
      <c r="P12" s="169">
        <f t="shared" si="0"/>
        <v>0.85</v>
      </c>
      <c r="Q12" s="169">
        <f t="shared" si="0"/>
        <v>0.85</v>
      </c>
      <c r="R12" s="169">
        <f t="shared" si="0"/>
        <v>0.85</v>
      </c>
      <c r="S12" s="169">
        <f t="shared" si="0"/>
        <v>0.85</v>
      </c>
      <c r="T12" s="169">
        <f t="shared" si="0"/>
        <v>0.85</v>
      </c>
      <c r="U12" s="169">
        <f t="shared" si="0"/>
        <v>0.85</v>
      </c>
      <c r="V12" s="169">
        <f t="shared" si="0"/>
        <v>0.85</v>
      </c>
      <c r="W12" s="169">
        <f t="shared" si="0"/>
        <v>0.85</v>
      </c>
      <c r="X12" s="169">
        <f t="shared" si="0"/>
        <v>0.85</v>
      </c>
      <c r="Y12" s="169">
        <f t="shared" si="0"/>
        <v>0.85</v>
      </c>
      <c r="Z12" s="169">
        <f t="shared" si="0"/>
        <v>0.85</v>
      </c>
      <c r="AA12" s="169">
        <f t="shared" si="0"/>
        <v>0.85</v>
      </c>
      <c r="AB12" s="169">
        <f t="shared" si="0"/>
        <v>0.85</v>
      </c>
      <c r="AC12" s="169">
        <f t="shared" si="0"/>
        <v>0.85</v>
      </c>
      <c r="AD12" s="169">
        <f t="shared" si="0"/>
        <v>0.85</v>
      </c>
      <c r="AE12" s="169">
        <f t="shared" si="0"/>
        <v>0.85</v>
      </c>
      <c r="AF12" s="169">
        <f t="shared" si="0"/>
        <v>0.85</v>
      </c>
      <c r="AG12" s="169">
        <f t="shared" si="0"/>
        <v>0.85</v>
      </c>
      <c r="AH12" s="169">
        <f t="shared" si="0"/>
        <v>0.85</v>
      </c>
      <c r="AI12" s="169">
        <f t="shared" si="0"/>
        <v>0.85</v>
      </c>
      <c r="AJ12" s="169">
        <f t="shared" si="0"/>
        <v>0.85</v>
      </c>
      <c r="AK12" s="169">
        <f t="shared" si="0"/>
        <v>0.85</v>
      </c>
      <c r="AL12" s="169">
        <f t="shared" si="0"/>
        <v>0.85</v>
      </c>
      <c r="AM12" s="169">
        <f t="shared" si="0"/>
        <v>0.85</v>
      </c>
      <c r="AN12" s="169">
        <f t="shared" si="0"/>
        <v>0.85</v>
      </c>
      <c r="AO12" s="169">
        <f t="shared" si="0"/>
        <v>0.85</v>
      </c>
      <c r="AP12" s="169">
        <f t="shared" si="0"/>
        <v>0.85</v>
      </c>
      <c r="AQ12" s="169">
        <f t="shared" si="0"/>
        <v>0.85</v>
      </c>
      <c r="AR12" s="169">
        <f t="shared" si="0"/>
        <v>0.85</v>
      </c>
      <c r="AS12" s="169">
        <f t="shared" si="0"/>
        <v>0.85</v>
      </c>
      <c r="AT12" s="169">
        <f t="shared" si="0"/>
        <v>0.85</v>
      </c>
      <c r="AU12" s="169">
        <f t="shared" si="0"/>
        <v>0.85</v>
      </c>
      <c r="AV12" s="169">
        <f t="shared" si="0"/>
        <v>0.85</v>
      </c>
    </row>
    <row r="13" spans="1:50" s="253" customFormat="1" ht="12.95" customHeight="1" x14ac:dyDescent="0.2">
      <c r="B13" s="14" t="s">
        <v>966</v>
      </c>
      <c r="F13" s="253" t="s">
        <v>492</v>
      </c>
      <c r="G13" s="253" t="s">
        <v>396</v>
      </c>
      <c r="H13" s="160">
        <v>1</v>
      </c>
      <c r="I13" s="169">
        <f>I12</f>
        <v>0.8</v>
      </c>
      <c r="J13" s="169">
        <f>J12*I13</f>
        <v>0.68</v>
      </c>
      <c r="K13" s="169">
        <f t="shared" ref="K13:AV13" si="1">K12*J13</f>
        <v>0.57800000000000007</v>
      </c>
      <c r="L13" s="169">
        <f t="shared" si="1"/>
        <v>0.49130000000000007</v>
      </c>
      <c r="M13" s="169">
        <f t="shared" si="1"/>
        <v>0.41760500000000006</v>
      </c>
      <c r="N13" s="169">
        <f t="shared" si="1"/>
        <v>0.35496425000000004</v>
      </c>
      <c r="O13" s="169">
        <f t="shared" si="1"/>
        <v>0.30171961250000001</v>
      </c>
      <c r="P13" s="169">
        <f t="shared" si="1"/>
        <v>0.25646167062500003</v>
      </c>
      <c r="Q13" s="169">
        <f t="shared" si="1"/>
        <v>0.21799242003125002</v>
      </c>
      <c r="R13" s="169">
        <f t="shared" si="1"/>
        <v>0.18529355702656253</v>
      </c>
      <c r="S13" s="169">
        <f t="shared" si="1"/>
        <v>0.15749952347257815</v>
      </c>
      <c r="T13" s="169">
        <f t="shared" si="1"/>
        <v>0.13387459495169143</v>
      </c>
      <c r="U13" s="169">
        <f t="shared" si="1"/>
        <v>0.11379340570893771</v>
      </c>
      <c r="V13" s="169">
        <f t="shared" si="1"/>
        <v>9.6724394852597054E-2</v>
      </c>
      <c r="W13" s="169">
        <f t="shared" si="1"/>
        <v>8.2215735624707492E-2</v>
      </c>
      <c r="X13" s="169">
        <f t="shared" si="1"/>
        <v>6.9883375281001373E-2</v>
      </c>
      <c r="Y13" s="169">
        <f t="shared" si="1"/>
        <v>5.9400868988851163E-2</v>
      </c>
      <c r="Z13" s="169">
        <f t="shared" si="1"/>
        <v>5.0490738640523489E-2</v>
      </c>
      <c r="AA13" s="169">
        <f t="shared" si="1"/>
        <v>4.2917127844444965E-2</v>
      </c>
      <c r="AB13" s="169">
        <f t="shared" si="1"/>
        <v>3.6479558667778217E-2</v>
      </c>
      <c r="AC13" s="169">
        <f t="shared" si="1"/>
        <v>3.1007624867611484E-2</v>
      </c>
      <c r="AD13" s="169">
        <f t="shared" si="1"/>
        <v>2.6356481137469759E-2</v>
      </c>
      <c r="AE13" s="169">
        <f t="shared" si="1"/>
        <v>2.2403008966849294E-2</v>
      </c>
      <c r="AF13" s="169">
        <f t="shared" si="1"/>
        <v>1.9042557621821898E-2</v>
      </c>
      <c r="AG13" s="169">
        <f t="shared" si="1"/>
        <v>1.6186173978548612E-2</v>
      </c>
      <c r="AH13" s="169">
        <f t="shared" si="1"/>
        <v>1.3758247881766319E-2</v>
      </c>
      <c r="AI13" s="169">
        <f t="shared" si="1"/>
        <v>1.1694510699501372E-2</v>
      </c>
      <c r="AJ13" s="169">
        <f t="shared" si="1"/>
        <v>9.9403340945761649E-3</v>
      </c>
      <c r="AK13" s="169">
        <f t="shared" si="1"/>
        <v>8.44928398038974E-3</v>
      </c>
      <c r="AL13" s="169">
        <f t="shared" si="1"/>
        <v>7.1818913833312792E-3</v>
      </c>
      <c r="AM13" s="169">
        <f t="shared" si="1"/>
        <v>6.1046076758315875E-3</v>
      </c>
      <c r="AN13" s="169">
        <f t="shared" si="1"/>
        <v>5.1889165244568495E-3</v>
      </c>
      <c r="AO13" s="169">
        <f t="shared" si="1"/>
        <v>4.4105790457883223E-3</v>
      </c>
      <c r="AP13" s="169">
        <f t="shared" si="1"/>
        <v>3.7489921889200741E-3</v>
      </c>
      <c r="AQ13" s="169">
        <f t="shared" si="1"/>
        <v>3.1866433605820628E-3</v>
      </c>
      <c r="AR13" s="169">
        <f t="shared" si="1"/>
        <v>2.7086468564947535E-3</v>
      </c>
      <c r="AS13" s="169">
        <f t="shared" si="1"/>
        <v>2.3023498280205406E-3</v>
      </c>
      <c r="AT13" s="169">
        <f t="shared" si="1"/>
        <v>1.9569973538174595E-3</v>
      </c>
      <c r="AU13" s="169">
        <f t="shared" si="1"/>
        <v>1.6634477507448406E-3</v>
      </c>
      <c r="AV13" s="169">
        <f t="shared" si="1"/>
        <v>1.4139305881331146E-3</v>
      </c>
    </row>
    <row r="14" spans="1:50" s="253" customFormat="1" ht="12.95" customHeight="1" x14ac:dyDescent="0.2">
      <c r="B14" s="14" t="s">
        <v>968</v>
      </c>
      <c r="F14" s="253" t="s">
        <v>493</v>
      </c>
      <c r="G14" s="253" t="s">
        <v>396</v>
      </c>
      <c r="H14" s="160">
        <v>0</v>
      </c>
      <c r="I14" s="300">
        <f>H13-I13</f>
        <v>0.19999999999999996</v>
      </c>
      <c r="J14" s="300">
        <f>I13-J13</f>
        <v>0.12</v>
      </c>
      <c r="K14" s="300">
        <f t="shared" ref="K14:AV14" si="2">J13-K13</f>
        <v>0.10199999999999998</v>
      </c>
      <c r="L14" s="300">
        <f t="shared" si="2"/>
        <v>8.6699999999999999E-2</v>
      </c>
      <c r="M14" s="300">
        <f t="shared" si="2"/>
        <v>7.369500000000001E-2</v>
      </c>
      <c r="N14" s="300">
        <f t="shared" si="2"/>
        <v>6.2640750000000023E-2</v>
      </c>
      <c r="O14" s="300">
        <f t="shared" si="2"/>
        <v>5.3244637500000025E-2</v>
      </c>
      <c r="P14" s="300">
        <f t="shared" si="2"/>
        <v>4.5257941874999985E-2</v>
      </c>
      <c r="Q14" s="300">
        <f t="shared" si="2"/>
        <v>3.8469250593750004E-2</v>
      </c>
      <c r="R14" s="300">
        <f t="shared" si="2"/>
        <v>3.2698863004687495E-2</v>
      </c>
      <c r="S14" s="300">
        <f t="shared" si="2"/>
        <v>2.7794033553984382E-2</v>
      </c>
      <c r="T14" s="300">
        <f t="shared" si="2"/>
        <v>2.3624928520886712E-2</v>
      </c>
      <c r="U14" s="300">
        <f t="shared" si="2"/>
        <v>2.0081189242753719E-2</v>
      </c>
      <c r="V14" s="300">
        <f t="shared" si="2"/>
        <v>1.7069010856340661E-2</v>
      </c>
      <c r="W14" s="300">
        <f t="shared" si="2"/>
        <v>1.4508659227889562E-2</v>
      </c>
      <c r="X14" s="300">
        <f t="shared" si="2"/>
        <v>1.233236034370612E-2</v>
      </c>
      <c r="Y14" s="300">
        <f t="shared" si="2"/>
        <v>1.0482506292150209E-2</v>
      </c>
      <c r="Z14" s="300">
        <f t="shared" si="2"/>
        <v>8.9101303483276745E-3</v>
      </c>
      <c r="AA14" s="300">
        <f t="shared" si="2"/>
        <v>7.573610796078524E-3</v>
      </c>
      <c r="AB14" s="300">
        <f t="shared" si="2"/>
        <v>6.4375691766667478E-3</v>
      </c>
      <c r="AC14" s="300">
        <f t="shared" si="2"/>
        <v>5.4719338001667332E-3</v>
      </c>
      <c r="AD14" s="300">
        <f t="shared" si="2"/>
        <v>4.6511437301417248E-3</v>
      </c>
      <c r="AE14" s="300">
        <f t="shared" si="2"/>
        <v>3.9534721706204652E-3</v>
      </c>
      <c r="AF14" s="300">
        <f t="shared" si="2"/>
        <v>3.360451345027396E-3</v>
      </c>
      <c r="AG14" s="300">
        <f t="shared" si="2"/>
        <v>2.8563836432732859E-3</v>
      </c>
      <c r="AH14" s="300">
        <f t="shared" si="2"/>
        <v>2.4279260967822926E-3</v>
      </c>
      <c r="AI14" s="300">
        <f t="shared" si="2"/>
        <v>2.0637371822649474E-3</v>
      </c>
      <c r="AJ14" s="300">
        <f t="shared" si="2"/>
        <v>1.7541766049252068E-3</v>
      </c>
      <c r="AK14" s="300">
        <f t="shared" si="2"/>
        <v>1.4910501141864249E-3</v>
      </c>
      <c r="AL14" s="300">
        <f t="shared" si="2"/>
        <v>1.2673925970584608E-3</v>
      </c>
      <c r="AM14" s="300">
        <f t="shared" si="2"/>
        <v>1.0772837074996917E-3</v>
      </c>
      <c r="AN14" s="300">
        <f t="shared" si="2"/>
        <v>9.1569115137473799E-4</v>
      </c>
      <c r="AO14" s="300">
        <f t="shared" si="2"/>
        <v>7.7833747866852716E-4</v>
      </c>
      <c r="AP14" s="300">
        <f t="shared" si="2"/>
        <v>6.6158685686824826E-4</v>
      </c>
      <c r="AQ14" s="300">
        <f t="shared" si="2"/>
        <v>5.623488283380113E-4</v>
      </c>
      <c r="AR14" s="300">
        <f t="shared" si="2"/>
        <v>4.7799650408730928E-4</v>
      </c>
      <c r="AS14" s="300">
        <f t="shared" si="2"/>
        <v>4.0629702847421291E-4</v>
      </c>
      <c r="AT14" s="300">
        <f t="shared" si="2"/>
        <v>3.4535247420308104E-4</v>
      </c>
      <c r="AU14" s="300">
        <f t="shared" si="2"/>
        <v>2.9354960307261891E-4</v>
      </c>
      <c r="AV14" s="300">
        <f t="shared" si="2"/>
        <v>2.4951716261172605E-4</v>
      </c>
    </row>
  </sheetData>
  <hyperlinks>
    <hyperlink ref="B2" location="cover!B18" display="return to TOC" xr:uid="{89F7A70F-2C0D-4292-9B45-ED757EE957EF}"/>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codeName="Sheet4">
    <tabColor rgb="FFFED976"/>
    <pageSetUpPr fitToPage="1"/>
  </sheetPr>
  <dimension ref="A1:N49"/>
  <sheetViews>
    <sheetView workbookViewId="0"/>
  </sheetViews>
  <sheetFormatPr defaultColWidth="10.83203125" defaultRowHeight="12.95" customHeight="1" x14ac:dyDescent="0.2"/>
  <cols>
    <col min="1" max="1" width="1.83203125" style="54" customWidth="1"/>
    <col min="2" max="2" width="20.83203125" style="54" customWidth="1"/>
    <col min="3" max="5" width="9.83203125" style="54" customWidth="1"/>
    <col min="6" max="6" width="10.83203125" style="54" customWidth="1"/>
    <col min="7" max="7" width="6.83203125" style="54" customWidth="1"/>
    <col min="8" max="8" width="60.83203125" style="54" customWidth="1"/>
    <col min="9" max="13" width="10.83203125" customWidth="1"/>
    <col min="14" max="16384" width="10.83203125" style="54"/>
  </cols>
  <sheetData>
    <row r="1" spans="1:14" ht="12.95" customHeight="1" x14ac:dyDescent="0.2">
      <c r="A1" s="85"/>
      <c r="C1" s="21"/>
      <c r="D1" s="21"/>
      <c r="I1" s="54"/>
      <c r="J1" s="54"/>
      <c r="K1" s="54"/>
      <c r="L1" s="54"/>
      <c r="M1" s="54"/>
    </row>
    <row r="2" spans="1:14" ht="12.95" customHeight="1" x14ac:dyDescent="0.25">
      <c r="A2" s="85"/>
      <c r="B2" s="178" t="s">
        <v>605</v>
      </c>
      <c r="C2" s="179"/>
      <c r="D2" s="179"/>
      <c r="E2"/>
      <c r="F2"/>
      <c r="H2" s="105" t="s">
        <v>1067</v>
      </c>
      <c r="I2" s="106"/>
      <c r="J2" s="106"/>
      <c r="K2" s="106"/>
      <c r="L2" s="106"/>
      <c r="M2" s="106"/>
    </row>
    <row r="3" spans="1:14" ht="12.95" customHeight="1" x14ac:dyDescent="0.25">
      <c r="A3" s="85"/>
      <c r="B3" s="144" t="s">
        <v>300</v>
      </c>
      <c r="C3" s="144" t="s">
        <v>483</v>
      </c>
      <c r="D3" s="5" t="s">
        <v>484</v>
      </c>
      <c r="H3" s="253"/>
      <c r="I3" s="253"/>
      <c r="J3" s="253"/>
      <c r="K3" s="253"/>
      <c r="L3" s="253"/>
      <c r="M3" s="253"/>
    </row>
    <row r="4" spans="1:14" ht="12.95" customHeight="1" x14ac:dyDescent="0.2">
      <c r="A4" s="85"/>
      <c r="B4" s="54" t="s">
        <v>606</v>
      </c>
      <c r="C4" s="145" t="s">
        <v>604</v>
      </c>
      <c r="D4" s="143" t="s">
        <v>440</v>
      </c>
      <c r="I4" s="54"/>
      <c r="J4" s="54"/>
      <c r="K4" s="54"/>
      <c r="L4" s="54"/>
      <c r="M4" s="54"/>
    </row>
    <row r="5" spans="1:14" ht="12.95" customHeight="1" x14ac:dyDescent="0.2">
      <c r="A5" s="85"/>
      <c r="B5" s="54" t="s">
        <v>485</v>
      </c>
      <c r="C5" s="143">
        <v>1000</v>
      </c>
      <c r="D5" s="124">
        <f>C5*C6/D6</f>
        <v>1000</v>
      </c>
      <c r="E5" s="54" t="s">
        <v>208</v>
      </c>
      <c r="I5" s="54"/>
      <c r="J5" s="54"/>
      <c r="K5" s="54"/>
      <c r="L5" s="54"/>
      <c r="M5" s="54"/>
    </row>
    <row r="6" spans="1:14" ht="12.95" customHeight="1" x14ac:dyDescent="0.2">
      <c r="B6" s="54" t="s">
        <v>436</v>
      </c>
      <c r="C6" s="142">
        <v>1</v>
      </c>
      <c r="D6" s="142">
        <v>1</v>
      </c>
      <c r="I6" s="54"/>
      <c r="J6" s="54"/>
      <c r="K6" s="54"/>
      <c r="L6" s="54"/>
      <c r="M6" s="54"/>
    </row>
    <row r="7" spans="1:14" ht="12.95" customHeight="1" x14ac:dyDescent="0.2">
      <c r="B7" s="54" t="s">
        <v>1353</v>
      </c>
      <c r="C7" s="142">
        <v>0.433</v>
      </c>
      <c r="D7" s="358">
        <v>0.5</v>
      </c>
      <c r="E7" s="54" t="s">
        <v>1350</v>
      </c>
      <c r="I7" s="54"/>
      <c r="J7" s="54"/>
      <c r="K7" s="54"/>
      <c r="L7" s="54"/>
      <c r="M7" s="54"/>
    </row>
    <row r="8" spans="1:14" s="253" customFormat="1" ht="12.95" customHeight="1" x14ac:dyDescent="0.2">
      <c r="B8" s="253" t="s">
        <v>1351</v>
      </c>
      <c r="C8" s="142">
        <v>0.28999999999999998</v>
      </c>
      <c r="D8" s="358">
        <v>0</v>
      </c>
    </row>
    <row r="9" spans="1:14" ht="12.95" customHeight="1" x14ac:dyDescent="0.2">
      <c r="B9" s="54" t="s">
        <v>474</v>
      </c>
      <c r="C9" s="142">
        <v>0.9</v>
      </c>
      <c r="D9" s="142">
        <v>0</v>
      </c>
      <c r="I9" s="54"/>
      <c r="J9" s="54"/>
      <c r="K9" s="54"/>
      <c r="L9" s="54"/>
      <c r="M9" s="54"/>
    </row>
    <row r="10" spans="1:14" ht="12.95" customHeight="1" x14ac:dyDescent="0.2">
      <c r="B10" s="148" t="s">
        <v>544</v>
      </c>
      <c r="C10" s="143">
        <v>5000</v>
      </c>
      <c r="D10" s="199" t="s">
        <v>313</v>
      </c>
      <c r="E10" s="54" t="s">
        <v>23</v>
      </c>
      <c r="I10" s="54"/>
      <c r="J10" s="54"/>
      <c r="K10" s="54"/>
      <c r="L10" s="54"/>
      <c r="M10" s="54"/>
    </row>
    <row r="11" spans="1:14" ht="12.95" customHeight="1" x14ac:dyDescent="0.2">
      <c r="C11" s="80"/>
      <c r="D11" s="80"/>
      <c r="I11" s="54"/>
      <c r="J11" s="54"/>
      <c r="K11" s="54"/>
      <c r="L11" s="54"/>
      <c r="M11" s="54"/>
    </row>
    <row r="12" spans="1:14" customFormat="1" ht="12.95" customHeight="1" x14ac:dyDescent="0.2">
      <c r="B12" s="178" t="s">
        <v>607</v>
      </c>
      <c r="C12" s="179"/>
      <c r="D12" s="179"/>
      <c r="E12" s="179"/>
      <c r="F12" s="200"/>
      <c r="H12" s="54"/>
      <c r="I12" s="54"/>
      <c r="J12" s="54"/>
      <c r="K12" s="54"/>
      <c r="L12" s="54"/>
      <c r="M12" s="54"/>
      <c r="N12" s="54"/>
    </row>
    <row r="13" spans="1:14" ht="12.95" customHeight="1" x14ac:dyDescent="0.25">
      <c r="B13" s="150"/>
      <c r="C13" s="318"/>
      <c r="D13" s="319"/>
      <c r="E13" s="319"/>
      <c r="F13" s="176" t="s">
        <v>1070</v>
      </c>
      <c r="G13"/>
      <c r="I13" s="54"/>
      <c r="J13" s="54"/>
      <c r="K13" s="54"/>
      <c r="L13" s="54"/>
      <c r="M13" s="54"/>
    </row>
    <row r="14" spans="1:14" customFormat="1" ht="12.95" customHeight="1" x14ac:dyDescent="0.25">
      <c r="B14" s="151" t="s">
        <v>433</v>
      </c>
      <c r="C14" s="317" t="s">
        <v>1066</v>
      </c>
      <c r="D14" s="317"/>
      <c r="E14" s="317"/>
      <c r="F14" s="177" t="s">
        <v>498</v>
      </c>
      <c r="H14" s="54"/>
      <c r="I14" s="54"/>
      <c r="J14" s="54"/>
      <c r="K14" s="54"/>
      <c r="L14" s="54"/>
      <c r="M14" s="54"/>
      <c r="N14" s="54"/>
    </row>
    <row r="15" spans="1:14" ht="15" customHeight="1" x14ac:dyDescent="0.2">
      <c r="A15"/>
      <c r="B15" s="294" t="s">
        <v>486</v>
      </c>
      <c r="C15" s="294"/>
      <c r="D15" s="294"/>
      <c r="E15" s="342">
        <f>params!F154</f>
        <v>0</v>
      </c>
      <c r="F15" s="314">
        <f>HERB!F25</f>
        <v>0</v>
      </c>
      <c r="G15"/>
      <c r="I15" s="54"/>
      <c r="J15" s="54"/>
      <c r="K15" s="54"/>
      <c r="L15" s="54"/>
      <c r="M15" s="54"/>
    </row>
    <row r="16" spans="1:14" ht="15" customHeight="1" x14ac:dyDescent="0.2">
      <c r="A16"/>
      <c r="B16" s="294" t="s">
        <v>446</v>
      </c>
      <c r="C16" s="294"/>
      <c r="D16" s="294"/>
      <c r="E16" s="342">
        <f>params!F155</f>
        <v>0</v>
      </c>
      <c r="F16" s="314">
        <f>SRWC!F27</f>
        <v>0</v>
      </c>
      <c r="G16"/>
      <c r="I16" s="54"/>
      <c r="J16" s="54"/>
      <c r="K16" s="54"/>
      <c r="L16" s="54"/>
      <c r="M16" s="54"/>
    </row>
    <row r="17" spans="1:14" ht="15" customHeight="1" x14ac:dyDescent="0.2">
      <c r="B17" s="315" t="s">
        <v>434</v>
      </c>
      <c r="C17" s="294"/>
      <c r="D17" s="294"/>
      <c r="E17" s="342">
        <f>params!F156</f>
        <v>0.5</v>
      </c>
      <c r="F17" s="314">
        <f>LOG!$F$27</f>
        <v>1014941.3700529597</v>
      </c>
      <c r="G17"/>
      <c r="I17" s="54"/>
      <c r="J17" s="54"/>
      <c r="K17" s="54"/>
      <c r="L17" s="54"/>
      <c r="M17" s="54"/>
    </row>
    <row r="18" spans="1:14" ht="15" customHeight="1" x14ac:dyDescent="0.2">
      <c r="A18"/>
      <c r="B18" s="315" t="s">
        <v>450</v>
      </c>
      <c r="C18" s="294"/>
      <c r="D18" s="294"/>
      <c r="E18" s="342">
        <f>params!F157</f>
        <v>0.5</v>
      </c>
      <c r="F18" s="314">
        <f>THIN!F30</f>
        <v>10023733.027141195</v>
      </c>
      <c r="G18"/>
      <c r="I18" s="54"/>
      <c r="J18" s="54"/>
      <c r="K18" s="54"/>
      <c r="L18" s="54"/>
      <c r="M18" s="54"/>
    </row>
    <row r="19" spans="1:14" ht="15" customHeight="1" x14ac:dyDescent="0.2">
      <c r="A19"/>
      <c r="B19" s="315" t="s">
        <v>451</v>
      </c>
      <c r="C19" s="294"/>
      <c r="D19" s="294"/>
      <c r="E19" s="342">
        <f>params!F158</f>
        <v>0</v>
      </c>
      <c r="F19" s="314">
        <f>SLASH!$F$28</f>
        <v>0</v>
      </c>
      <c r="G19"/>
      <c r="I19" s="54"/>
      <c r="J19" s="54"/>
      <c r="K19" s="54"/>
      <c r="L19" s="54"/>
      <c r="M19" s="54"/>
    </row>
    <row r="20" spans="1:14" ht="15" customHeight="1" x14ac:dyDescent="0.2">
      <c r="A20"/>
      <c r="B20" s="315" t="s">
        <v>444</v>
      </c>
      <c r="C20" s="294"/>
      <c r="D20" s="294"/>
      <c r="E20" s="342">
        <f>params!F159</f>
        <v>0</v>
      </c>
      <c r="F20" s="314">
        <f>AG!$F$27</f>
        <v>0</v>
      </c>
      <c r="G20"/>
      <c r="I20" s="54"/>
      <c r="J20" s="54"/>
      <c r="K20" s="54"/>
      <c r="L20" s="54"/>
      <c r="M20" s="54"/>
    </row>
    <row r="21" spans="1:14" ht="15" customHeight="1" x14ac:dyDescent="0.2">
      <c r="A21"/>
      <c r="B21" s="315" t="s">
        <v>445</v>
      </c>
      <c r="C21" s="294"/>
      <c r="D21" s="294"/>
      <c r="E21" s="342">
        <f>params!F160</f>
        <v>0</v>
      </c>
      <c r="F21" s="316" t="s">
        <v>1065</v>
      </c>
      <c r="G21"/>
      <c r="I21" s="54"/>
      <c r="J21" s="54"/>
      <c r="K21" s="54"/>
      <c r="L21" s="54"/>
      <c r="M21" s="54"/>
      <c r="N21"/>
    </row>
    <row r="22" spans="1:14" s="253" customFormat="1" ht="15" customHeight="1" x14ac:dyDescent="0.2">
      <c r="B22" s="332" t="s">
        <v>1080</v>
      </c>
      <c r="C22" s="294"/>
      <c r="D22" s="294"/>
      <c r="E22" s="313"/>
      <c r="F22" s="333">
        <f>SUM(F15:F20)</f>
        <v>11038674.397194155</v>
      </c>
    </row>
    <row r="23" spans="1:14" ht="15" customHeight="1" x14ac:dyDescent="0.2">
      <c r="A23"/>
      <c r="C23" s="158"/>
      <c r="E23" s="80"/>
      <c r="F23" s="80"/>
      <c r="G23" s="180"/>
      <c r="I23" s="54"/>
      <c r="J23" s="54"/>
      <c r="K23" s="54"/>
      <c r="L23" s="54"/>
      <c r="M23" s="54"/>
    </row>
    <row r="24" spans="1:14" ht="12.95" customHeight="1" x14ac:dyDescent="0.25">
      <c r="B24" s="178" t="s">
        <v>1069</v>
      </c>
      <c r="C24" s="179"/>
      <c r="D24" s="179"/>
      <c r="E24" s="179"/>
      <c r="F24"/>
      <c r="H24" s="105" t="s">
        <v>1068</v>
      </c>
      <c r="I24" s="106"/>
      <c r="J24" s="106"/>
      <c r="K24" s="106"/>
      <c r="L24" s="106"/>
      <c r="M24" s="106"/>
    </row>
    <row r="25" spans="1:14" ht="12.95" customHeight="1" x14ac:dyDescent="0.25">
      <c r="B25" s="322"/>
      <c r="C25" s="323" t="s">
        <v>1071</v>
      </c>
      <c r="D25" s="321" t="s">
        <v>1224</v>
      </c>
      <c r="E25" s="324" t="s">
        <v>1074</v>
      </c>
      <c r="F25"/>
      <c r="H25" s="253"/>
      <c r="I25" s="253"/>
      <c r="J25" s="253"/>
      <c r="K25" s="253"/>
      <c r="L25" s="253"/>
      <c r="M25" s="253"/>
    </row>
    <row r="26" spans="1:14" ht="12.95" customHeight="1" x14ac:dyDescent="0.25">
      <c r="B26" s="322"/>
      <c r="C26" s="323" t="s">
        <v>1072</v>
      </c>
      <c r="D26" s="323" t="s">
        <v>1225</v>
      </c>
      <c r="E26" s="324" t="s">
        <v>1075</v>
      </c>
      <c r="F26"/>
      <c r="H26" s="253"/>
      <c r="I26" s="253"/>
      <c r="J26" s="253"/>
      <c r="K26" s="253"/>
      <c r="L26" s="253"/>
      <c r="M26" s="253"/>
    </row>
    <row r="27" spans="1:14" s="253" customFormat="1" ht="12.95" customHeight="1" x14ac:dyDescent="0.25">
      <c r="B27" s="325" t="s">
        <v>433</v>
      </c>
      <c r="C27" s="326" t="s">
        <v>1073</v>
      </c>
      <c r="D27" s="326" t="s">
        <v>1226</v>
      </c>
      <c r="E27" s="327" t="s">
        <v>1076</v>
      </c>
      <c r="F27"/>
    </row>
    <row r="28" spans="1:14" s="253" customFormat="1" ht="12.95" customHeight="1" x14ac:dyDescent="0.2">
      <c r="B28" s="294" t="s">
        <v>486</v>
      </c>
      <c r="C28" s="142">
        <v>0.2</v>
      </c>
      <c r="D28" s="142">
        <v>0.25</v>
      </c>
      <c r="E28" s="143">
        <v>50</v>
      </c>
      <c r="F28"/>
    </row>
    <row r="29" spans="1:14" ht="12.95" customHeight="1" x14ac:dyDescent="0.2">
      <c r="B29" s="294" t="s">
        <v>446</v>
      </c>
      <c r="C29" s="142">
        <v>0.2</v>
      </c>
      <c r="D29" s="142">
        <v>0.5</v>
      </c>
      <c r="E29" s="143">
        <v>50</v>
      </c>
      <c r="F29" s="253"/>
      <c r="H29" s="253"/>
      <c r="I29" s="253"/>
      <c r="J29" s="253"/>
      <c r="K29" s="253"/>
      <c r="L29" s="253"/>
      <c r="M29" s="253"/>
    </row>
    <row r="30" spans="1:14" ht="12.95" customHeight="1" x14ac:dyDescent="0.2">
      <c r="B30" s="315" t="s">
        <v>434</v>
      </c>
      <c r="C30" s="142">
        <v>0.2</v>
      </c>
      <c r="D30" s="142">
        <v>0.7</v>
      </c>
      <c r="E30" s="143">
        <v>50</v>
      </c>
      <c r="F30" s="253"/>
      <c r="H30" s="253"/>
      <c r="I30" s="253"/>
      <c r="J30" s="253"/>
      <c r="K30" s="253"/>
      <c r="L30" s="253"/>
      <c r="M30" s="253"/>
    </row>
    <row r="31" spans="1:14" ht="12.95" customHeight="1" x14ac:dyDescent="0.2">
      <c r="B31" s="315" t="s">
        <v>450</v>
      </c>
      <c r="C31" s="142">
        <v>0.2</v>
      </c>
      <c r="D31" s="142">
        <v>0.7</v>
      </c>
      <c r="E31" s="143">
        <v>100</v>
      </c>
      <c r="F31" s="253"/>
      <c r="H31" s="253"/>
      <c r="I31" s="253"/>
      <c r="J31" s="253"/>
      <c r="K31" s="253"/>
      <c r="L31" s="253"/>
      <c r="M31" s="253"/>
    </row>
    <row r="32" spans="1:14" ht="12.95" customHeight="1" x14ac:dyDescent="0.2">
      <c r="B32" s="315" t="s">
        <v>451</v>
      </c>
      <c r="C32" s="142">
        <v>0.5</v>
      </c>
      <c r="D32" s="142">
        <v>0.5</v>
      </c>
      <c r="E32" s="143">
        <v>100</v>
      </c>
      <c r="F32" s="253"/>
      <c r="H32" s="253"/>
      <c r="I32" s="253"/>
      <c r="J32" s="253"/>
      <c r="K32" s="253"/>
      <c r="L32" s="253"/>
      <c r="M32" s="253"/>
    </row>
    <row r="33" spans="2:13" ht="12.95" customHeight="1" x14ac:dyDescent="0.2">
      <c r="B33" s="315" t="s">
        <v>444</v>
      </c>
      <c r="C33" s="142">
        <v>0.33</v>
      </c>
      <c r="D33" s="142">
        <v>0.2</v>
      </c>
      <c r="E33" s="143">
        <v>70</v>
      </c>
      <c r="F33" s="253"/>
      <c r="H33" s="253"/>
      <c r="I33" s="253"/>
      <c r="J33" s="253"/>
      <c r="K33" s="253"/>
      <c r="L33" s="253"/>
      <c r="M33" s="253"/>
    </row>
    <row r="34" spans="2:13" ht="12.95" customHeight="1" x14ac:dyDescent="0.2">
      <c r="B34" s="315" t="s">
        <v>445</v>
      </c>
      <c r="C34" s="160" t="s">
        <v>1078</v>
      </c>
      <c r="D34" s="142">
        <v>0.2</v>
      </c>
      <c r="E34" s="143">
        <v>0</v>
      </c>
      <c r="F34" s="253"/>
      <c r="H34" s="253"/>
      <c r="I34" s="253"/>
      <c r="J34" s="253"/>
      <c r="K34" s="253"/>
      <c r="L34" s="253"/>
      <c r="M34" s="253"/>
    </row>
    <row r="35" spans="2:13" ht="12.95" customHeight="1" x14ac:dyDescent="0.2">
      <c r="F35" s="253"/>
      <c r="H35" s="253"/>
      <c r="I35" s="253"/>
      <c r="J35" s="253"/>
      <c r="K35" s="253"/>
      <c r="L35" s="253"/>
      <c r="M35" s="253"/>
    </row>
    <row r="36" spans="2:13" ht="12.95" customHeight="1" x14ac:dyDescent="0.2">
      <c r="H36" s="253"/>
      <c r="I36" s="253"/>
      <c r="J36" s="253"/>
      <c r="K36" s="253"/>
      <c r="L36" s="253"/>
      <c r="M36" s="253"/>
    </row>
    <row r="37" spans="2:13" ht="12.95" customHeight="1" x14ac:dyDescent="0.2">
      <c r="H37" s="253"/>
      <c r="I37" s="253"/>
      <c r="J37" s="253"/>
      <c r="K37" s="253"/>
      <c r="L37" s="253"/>
      <c r="M37" s="253"/>
    </row>
    <row r="38" spans="2:13" ht="12.95" customHeight="1" x14ac:dyDescent="0.2">
      <c r="H38" s="253"/>
      <c r="I38" s="253"/>
      <c r="J38" s="253"/>
      <c r="K38" s="253"/>
      <c r="L38" s="253"/>
      <c r="M38" s="253"/>
    </row>
    <row r="39" spans="2:13" ht="12.95" customHeight="1" x14ac:dyDescent="0.2">
      <c r="H39" s="253"/>
      <c r="I39" s="253"/>
      <c r="J39" s="253"/>
      <c r="K39" s="253"/>
      <c r="L39" s="253"/>
      <c r="M39" s="253"/>
    </row>
    <row r="40" spans="2:13" ht="12.95" customHeight="1" x14ac:dyDescent="0.2">
      <c r="H40" s="253"/>
      <c r="I40" s="253"/>
      <c r="J40" s="253"/>
      <c r="K40" s="253"/>
      <c r="L40" s="253"/>
      <c r="M40" s="253"/>
    </row>
    <row r="41" spans="2:13" ht="12.95" customHeight="1" x14ac:dyDescent="0.2">
      <c r="H41" s="253"/>
      <c r="I41" s="253"/>
      <c r="J41" s="253"/>
      <c r="K41" s="253"/>
      <c r="L41" s="253"/>
      <c r="M41" s="253"/>
    </row>
    <row r="42" spans="2:13" ht="12.95" customHeight="1" x14ac:dyDescent="0.2">
      <c r="H42" s="253"/>
      <c r="I42" s="253"/>
      <c r="J42" s="253"/>
      <c r="K42" s="253"/>
      <c r="L42" s="253"/>
      <c r="M42" s="253"/>
    </row>
    <row r="43" spans="2:13" ht="12.95" customHeight="1" x14ac:dyDescent="0.2">
      <c r="H43" s="253"/>
      <c r="I43" s="253"/>
      <c r="J43" s="253"/>
      <c r="K43" s="253"/>
      <c r="L43" s="253"/>
      <c r="M43" s="253"/>
    </row>
    <row r="44" spans="2:13" ht="12.95" customHeight="1" x14ac:dyDescent="0.2">
      <c r="H44" s="253"/>
      <c r="I44" s="253"/>
      <c r="J44" s="253"/>
      <c r="K44" s="253"/>
      <c r="L44" s="253"/>
      <c r="M44" s="253"/>
    </row>
    <row r="45" spans="2:13" ht="12.95" customHeight="1" x14ac:dyDescent="0.2">
      <c r="H45" s="253"/>
      <c r="I45" s="253"/>
      <c r="J45" s="253"/>
      <c r="K45" s="253"/>
      <c r="L45" s="253"/>
      <c r="M45" s="253"/>
    </row>
    <row r="46" spans="2:13" ht="12.95" customHeight="1" x14ac:dyDescent="0.2">
      <c r="I46" s="54"/>
      <c r="J46" s="54"/>
      <c r="K46" s="54"/>
      <c r="L46" s="54"/>
      <c r="M46" s="54"/>
    </row>
    <row r="47" spans="2:13" ht="12.95" customHeight="1" x14ac:dyDescent="0.2">
      <c r="B47" s="253"/>
      <c r="C47" s="253"/>
      <c r="D47" s="253"/>
      <c r="E47" s="253"/>
      <c r="F47" s="253"/>
    </row>
    <row r="48" spans="2:13" s="253" customFormat="1" ht="12.95" customHeight="1" x14ac:dyDescent="0.2">
      <c r="H48" s="195"/>
      <c r="I48"/>
      <c r="J48"/>
      <c r="K48"/>
      <c r="L48"/>
      <c r="M48"/>
    </row>
    <row r="49" spans="2:13" s="253" customFormat="1" ht="12.95" customHeight="1" x14ac:dyDescent="0.2">
      <c r="B49" s="54"/>
      <c r="C49" s="54"/>
      <c r="D49" s="54"/>
      <c r="E49" s="54"/>
      <c r="F49" s="54"/>
      <c r="H49" s="54"/>
      <c r="I49"/>
      <c r="J49"/>
      <c r="K49"/>
      <c r="L49"/>
      <c r="M49"/>
    </row>
  </sheetData>
  <conditionalFormatting sqref="F15:F22">
    <cfRule type="expression" dxfId="1" priority="3">
      <formula>(#REF!="no")</formula>
    </cfRule>
  </conditionalFormatting>
  <conditionalFormatting sqref="E21:E22">
    <cfRule type="cellIs" dxfId="0" priority="1" operator="lessThan">
      <formula>0</formula>
    </cfRule>
  </conditionalFormatting>
  <pageMargins left="0.25" right="0.25" top="0.75" bottom="0.25" header="0.3" footer="0.3"/>
  <pageSetup scale="27"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50" r:id="rId4" name="Scroll Bar 2">
              <controlPr defaultSize="0" autoPict="0">
                <anchor moveWithCells="1">
                  <from>
                    <xdr:col>2</xdr:col>
                    <xdr:colOff>9525</xdr:colOff>
                    <xdr:row>14</xdr:row>
                    <xdr:rowOff>19050</xdr:rowOff>
                  </from>
                  <to>
                    <xdr:col>3</xdr:col>
                    <xdr:colOff>514350</xdr:colOff>
                    <xdr:row>14</xdr:row>
                    <xdr:rowOff>180975</xdr:rowOff>
                  </to>
                </anchor>
              </controlPr>
            </control>
          </mc:Choice>
        </mc:AlternateContent>
        <mc:AlternateContent xmlns:mc="http://schemas.openxmlformats.org/markup-compatibility/2006">
          <mc:Choice Requires="x14">
            <control shapeId="2051" r:id="rId5" name="Scroll Bar 3">
              <controlPr defaultSize="0" autoPict="0">
                <anchor moveWithCells="1">
                  <from>
                    <xdr:col>2</xdr:col>
                    <xdr:colOff>9525</xdr:colOff>
                    <xdr:row>15</xdr:row>
                    <xdr:rowOff>19050</xdr:rowOff>
                  </from>
                  <to>
                    <xdr:col>3</xdr:col>
                    <xdr:colOff>514350</xdr:colOff>
                    <xdr:row>15</xdr:row>
                    <xdr:rowOff>180975</xdr:rowOff>
                  </to>
                </anchor>
              </controlPr>
            </control>
          </mc:Choice>
        </mc:AlternateContent>
        <mc:AlternateContent xmlns:mc="http://schemas.openxmlformats.org/markup-compatibility/2006">
          <mc:Choice Requires="x14">
            <control shapeId="2052" r:id="rId6" name="Scroll Bar 4">
              <controlPr defaultSize="0" autoPict="0">
                <anchor moveWithCells="1">
                  <from>
                    <xdr:col>2</xdr:col>
                    <xdr:colOff>9525</xdr:colOff>
                    <xdr:row>16</xdr:row>
                    <xdr:rowOff>19050</xdr:rowOff>
                  </from>
                  <to>
                    <xdr:col>3</xdr:col>
                    <xdr:colOff>514350</xdr:colOff>
                    <xdr:row>16</xdr:row>
                    <xdr:rowOff>180975</xdr:rowOff>
                  </to>
                </anchor>
              </controlPr>
            </control>
          </mc:Choice>
        </mc:AlternateContent>
        <mc:AlternateContent xmlns:mc="http://schemas.openxmlformats.org/markup-compatibility/2006">
          <mc:Choice Requires="x14">
            <control shapeId="2053" r:id="rId7" name="Scroll Bar 5">
              <controlPr defaultSize="0" autoPict="0">
                <anchor moveWithCells="1">
                  <from>
                    <xdr:col>2</xdr:col>
                    <xdr:colOff>9525</xdr:colOff>
                    <xdr:row>17</xdr:row>
                    <xdr:rowOff>19050</xdr:rowOff>
                  </from>
                  <to>
                    <xdr:col>3</xdr:col>
                    <xdr:colOff>514350</xdr:colOff>
                    <xdr:row>17</xdr:row>
                    <xdr:rowOff>180975</xdr:rowOff>
                  </to>
                </anchor>
              </controlPr>
            </control>
          </mc:Choice>
        </mc:AlternateContent>
        <mc:AlternateContent xmlns:mc="http://schemas.openxmlformats.org/markup-compatibility/2006">
          <mc:Choice Requires="x14">
            <control shapeId="2054" r:id="rId8" name="Scroll Bar 6">
              <controlPr defaultSize="0" autoPict="0">
                <anchor moveWithCells="1">
                  <from>
                    <xdr:col>2</xdr:col>
                    <xdr:colOff>9525</xdr:colOff>
                    <xdr:row>18</xdr:row>
                    <xdr:rowOff>19050</xdr:rowOff>
                  </from>
                  <to>
                    <xdr:col>3</xdr:col>
                    <xdr:colOff>514350</xdr:colOff>
                    <xdr:row>18</xdr:row>
                    <xdr:rowOff>180975</xdr:rowOff>
                  </to>
                </anchor>
              </controlPr>
            </control>
          </mc:Choice>
        </mc:AlternateContent>
        <mc:AlternateContent xmlns:mc="http://schemas.openxmlformats.org/markup-compatibility/2006">
          <mc:Choice Requires="x14">
            <control shapeId="2055" r:id="rId9" name="Scroll Bar 7">
              <controlPr defaultSize="0" autoPict="0">
                <anchor moveWithCells="1">
                  <from>
                    <xdr:col>2</xdr:col>
                    <xdr:colOff>9525</xdr:colOff>
                    <xdr:row>19</xdr:row>
                    <xdr:rowOff>19050</xdr:rowOff>
                  </from>
                  <to>
                    <xdr:col>3</xdr:col>
                    <xdr:colOff>514350</xdr:colOff>
                    <xdr:row>19</xdr:row>
                    <xdr:rowOff>180975</xdr:rowOff>
                  </to>
                </anchor>
              </controlPr>
            </control>
          </mc:Choice>
        </mc:AlternateContent>
        <mc:AlternateContent xmlns:mc="http://schemas.openxmlformats.org/markup-compatibility/2006">
          <mc:Choice Requires="x14">
            <control shapeId="2056" r:id="rId10" name="Scroll Bar 8">
              <controlPr defaultSize="0" autoPict="0">
                <anchor moveWithCells="1">
                  <from>
                    <xdr:col>2</xdr:col>
                    <xdr:colOff>9525</xdr:colOff>
                    <xdr:row>20</xdr:row>
                    <xdr:rowOff>19050</xdr:rowOff>
                  </from>
                  <to>
                    <xdr:col>3</xdr:col>
                    <xdr:colOff>514350</xdr:colOff>
                    <xdr:row>20</xdr:row>
                    <xdr:rowOff>180975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C07FF-7E4E-466C-8544-645C3A54A2EE}">
  <sheetPr published="0" codeName="Sheet22">
    <tabColor rgb="FF238B45"/>
  </sheetPr>
  <dimension ref="A1:H17"/>
  <sheetViews>
    <sheetView workbookViewId="0"/>
  </sheetViews>
  <sheetFormatPr defaultColWidth="10.83203125" defaultRowHeight="12.95" customHeight="1" x14ac:dyDescent="0.2"/>
  <cols>
    <col min="1" max="1" width="1.83203125" style="215" customWidth="1"/>
    <col min="2" max="4" width="2.83203125" style="215" customWidth="1"/>
    <col min="5" max="6" width="16.83203125" style="215" customWidth="1"/>
    <col min="7" max="7" width="10.83203125" style="215" customWidth="1"/>
    <col min="8" max="8" width="12.83203125" style="215" customWidth="1"/>
    <col min="9" max="16384" width="10.83203125" style="215"/>
  </cols>
  <sheetData>
    <row r="1" spans="1:8" ht="30" customHeight="1" x14ac:dyDescent="0.2">
      <c r="A1" s="255"/>
      <c r="B1" s="86" t="s">
        <v>851</v>
      </c>
      <c r="C1" s="219"/>
      <c r="D1" s="219"/>
      <c r="E1" s="219"/>
      <c r="F1" s="219"/>
      <c r="G1" s="219"/>
      <c r="H1" s="219"/>
    </row>
    <row r="2" spans="1:8" ht="12.95" customHeight="1" x14ac:dyDescent="0.2">
      <c r="A2" s="85"/>
      <c r="B2" s="81" t="s">
        <v>349</v>
      </c>
      <c r="C2" s="21"/>
      <c r="D2" s="21"/>
      <c r="E2" s="21"/>
      <c r="F2" s="21"/>
      <c r="G2" s="21"/>
      <c r="H2" s="21"/>
    </row>
    <row r="3" spans="1:8" ht="12.95" customHeight="1" x14ac:dyDescent="0.2">
      <c r="A3" s="85"/>
      <c r="B3" s="81"/>
      <c r="C3" s="21"/>
      <c r="D3" s="21"/>
      <c r="E3" s="21"/>
      <c r="F3" s="21"/>
      <c r="G3" s="21"/>
      <c r="H3" s="21"/>
    </row>
    <row r="4" spans="1:8" ht="3.95" customHeight="1" thickBot="1" x14ac:dyDescent="0.25">
      <c r="B4" s="21"/>
      <c r="C4" s="21"/>
      <c r="D4" s="21"/>
      <c r="E4" s="21"/>
      <c r="F4" s="21"/>
      <c r="G4" s="21"/>
      <c r="H4" s="21"/>
    </row>
    <row r="5" spans="1:8" ht="12.95" customHeight="1" x14ac:dyDescent="0.25">
      <c r="B5" s="222"/>
      <c r="C5" s="222"/>
      <c r="D5" s="222"/>
      <c r="E5" s="222"/>
      <c r="F5" s="223"/>
      <c r="G5" s="223" t="s">
        <v>809</v>
      </c>
      <c r="H5" s="223" t="s">
        <v>695</v>
      </c>
    </row>
    <row r="6" spans="1:8" ht="12.95" customHeight="1" x14ac:dyDescent="0.25">
      <c r="B6" s="224"/>
      <c r="C6" s="224"/>
      <c r="D6" s="224"/>
      <c r="E6" s="224"/>
      <c r="F6" s="225"/>
      <c r="G6" s="225" t="s">
        <v>608</v>
      </c>
      <c r="H6" s="225" t="s">
        <v>953</v>
      </c>
    </row>
    <row r="7" spans="1:8" ht="12.95" customHeight="1" x14ac:dyDescent="0.25">
      <c r="B7" s="226" t="s">
        <v>694</v>
      </c>
      <c r="C7" s="227"/>
      <c r="D7" s="227"/>
      <c r="E7" s="227"/>
      <c r="F7" s="234" t="s">
        <v>808</v>
      </c>
      <c r="G7" s="227" t="s">
        <v>810</v>
      </c>
      <c r="H7" s="245" t="s">
        <v>795</v>
      </c>
    </row>
    <row r="8" spans="1:8" ht="17.100000000000001" customHeight="1" x14ac:dyDescent="0.2">
      <c r="B8" s="229" t="s">
        <v>771</v>
      </c>
      <c r="C8" s="229"/>
      <c r="D8" s="229"/>
      <c r="E8" s="229"/>
      <c r="F8" s="242" t="s">
        <v>807</v>
      </c>
      <c r="G8" s="240">
        <f>params!F183</f>
        <v>0.11112092051440513</v>
      </c>
      <c r="H8" s="231">
        <f>params!F185</f>
        <v>0.32842767835429104</v>
      </c>
    </row>
    <row r="9" spans="1:8" ht="17.100000000000001" customHeight="1" x14ac:dyDescent="0.2">
      <c r="B9" s="229" t="s">
        <v>756</v>
      </c>
      <c r="C9" s="229"/>
      <c r="D9" s="229"/>
      <c r="E9" s="229"/>
      <c r="F9" s="242" t="s">
        <v>807</v>
      </c>
      <c r="G9" s="240">
        <f>params!F196</f>
        <v>0.25851538461538459</v>
      </c>
      <c r="H9" s="231">
        <f>params!F198</f>
        <v>0.91594807419677116</v>
      </c>
    </row>
    <row r="10" spans="1:8" ht="17.100000000000001" customHeight="1" x14ac:dyDescent="0.2">
      <c r="B10" s="229" t="s">
        <v>799</v>
      </c>
      <c r="C10" s="229"/>
      <c r="D10" s="229"/>
      <c r="E10" s="229"/>
      <c r="F10" s="242" t="s">
        <v>811</v>
      </c>
      <c r="G10" s="240">
        <f>params!F205</f>
        <v>0.2226567239306495</v>
      </c>
      <c r="H10" s="231">
        <f>params!F207</f>
        <v>0.75250531753926986</v>
      </c>
    </row>
    <row r="11" spans="1:8" ht="17.100000000000001" customHeight="1" thickBot="1" x14ac:dyDescent="0.25">
      <c r="B11" s="229" t="s">
        <v>786</v>
      </c>
      <c r="C11" s="229"/>
      <c r="D11" s="229"/>
      <c r="E11" s="229"/>
      <c r="F11" s="242" t="s">
        <v>812</v>
      </c>
      <c r="G11" s="241">
        <f>params!F212</f>
        <v>0.19999999999999996</v>
      </c>
      <c r="H11" s="246">
        <f>params!F214</f>
        <v>0.65679012345679</v>
      </c>
    </row>
    <row r="12" spans="1:8" ht="3.95" customHeight="1" x14ac:dyDescent="0.2">
      <c r="B12" s="228"/>
      <c r="C12" s="228"/>
      <c r="D12" s="228"/>
      <c r="E12" s="228"/>
      <c r="F12" s="228"/>
      <c r="G12" s="228"/>
      <c r="H12" s="228"/>
    </row>
    <row r="13" spans="1:8" ht="12.95" customHeight="1" x14ac:dyDescent="0.2">
      <c r="B13"/>
    </row>
    <row r="14" spans="1:8" ht="12.95" customHeight="1" x14ac:dyDescent="0.2">
      <c r="B14" t="s">
        <v>1146</v>
      </c>
    </row>
    <row r="15" spans="1:8" ht="12.95" customHeight="1" x14ac:dyDescent="0.2">
      <c r="B15" t="s">
        <v>1143</v>
      </c>
    </row>
    <row r="16" spans="1:8" ht="12.95" customHeight="1" x14ac:dyDescent="0.2">
      <c r="B16"/>
    </row>
    <row r="17" spans="2:2" ht="12.95" customHeight="1" x14ac:dyDescent="0.2">
      <c r="B17"/>
    </row>
  </sheetData>
  <hyperlinks>
    <hyperlink ref="B2" location="cover!B18" display="return to TOC" xr:uid="{247578B4-CDA1-45A5-BB47-3DFF68B1F404}"/>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44669-1235-4156-87DE-8F01904356B1}">
  <sheetPr published="0" codeName="Sheet21">
    <tabColor rgb="FF238B45"/>
  </sheetPr>
  <dimension ref="A1:L16"/>
  <sheetViews>
    <sheetView workbookViewId="0"/>
  </sheetViews>
  <sheetFormatPr defaultColWidth="10.83203125" defaultRowHeight="12.95" customHeight="1" x14ac:dyDescent="0.2"/>
  <cols>
    <col min="1" max="1" width="1.83203125" style="215" customWidth="1"/>
    <col min="2" max="4" width="2.83203125" style="215" customWidth="1"/>
    <col min="5" max="5" width="16.83203125" style="215" customWidth="1"/>
    <col min="6" max="6" width="10.83203125" style="215" customWidth="1"/>
    <col min="7" max="7" width="16.83203125" style="215" customWidth="1"/>
    <col min="8" max="9" width="10.83203125" style="215" customWidth="1"/>
    <col min="10" max="10" width="16.83203125" style="215" customWidth="1"/>
    <col min="11" max="12" width="10.83203125" style="215" customWidth="1"/>
    <col min="13" max="16384" width="10.83203125" style="215"/>
  </cols>
  <sheetData>
    <row r="1" spans="1:12" ht="30" customHeight="1" x14ac:dyDescent="0.2">
      <c r="A1" s="85"/>
      <c r="B1" s="86" t="s">
        <v>850</v>
      </c>
      <c r="C1" s="207"/>
      <c r="D1" s="207"/>
      <c r="E1" s="207"/>
      <c r="F1" s="207"/>
      <c r="G1" s="207"/>
      <c r="H1" s="207"/>
      <c r="I1" s="214"/>
      <c r="J1" s="214"/>
      <c r="K1" s="214"/>
      <c r="L1" s="14"/>
    </row>
    <row r="2" spans="1:12" ht="12.95" customHeight="1" x14ac:dyDescent="0.2">
      <c r="A2" s="85"/>
      <c r="B2" s="81" t="s">
        <v>349</v>
      </c>
      <c r="C2" s="21"/>
      <c r="D2" s="21"/>
      <c r="E2" s="21"/>
      <c r="F2" s="21"/>
      <c r="G2" s="21"/>
      <c r="H2" s="21"/>
      <c r="I2" s="21"/>
      <c r="J2" s="21"/>
      <c r="K2" s="21"/>
    </row>
    <row r="3" spans="1:12" ht="12.95" customHeight="1" x14ac:dyDescent="0.2">
      <c r="A3" s="85"/>
      <c r="B3" s="81"/>
      <c r="C3" s="21"/>
      <c r="D3" s="21"/>
      <c r="E3" s="21"/>
      <c r="F3" s="21"/>
      <c r="G3" s="21"/>
      <c r="H3" s="21"/>
      <c r="I3" s="21"/>
      <c r="J3" s="21"/>
      <c r="K3" s="21"/>
    </row>
    <row r="4" spans="1:12" ht="3.95" customHeight="1" thickBot="1" x14ac:dyDescent="0.25">
      <c r="B4" s="21"/>
      <c r="C4" s="21"/>
      <c r="D4" s="21"/>
      <c r="E4" s="21"/>
      <c r="F4" s="21"/>
      <c r="G4" s="21"/>
      <c r="H4" s="21"/>
      <c r="I4" s="21"/>
      <c r="J4" s="21"/>
      <c r="K4" s="21"/>
    </row>
    <row r="5" spans="1:12" ht="12.95" customHeight="1" x14ac:dyDescent="0.25">
      <c r="B5" s="222"/>
      <c r="C5" s="222"/>
      <c r="D5" s="222"/>
      <c r="E5" s="222"/>
      <c r="F5" s="223" t="s">
        <v>748</v>
      </c>
      <c r="G5" s="223"/>
      <c r="H5" s="223"/>
      <c r="I5" s="223" t="s">
        <v>749</v>
      </c>
      <c r="J5" s="223"/>
      <c r="K5" s="223"/>
    </row>
    <row r="6" spans="1:12" ht="12.95" customHeight="1" x14ac:dyDescent="0.25">
      <c r="B6" s="224"/>
      <c r="C6" s="224"/>
      <c r="D6" s="224"/>
      <c r="E6" s="224"/>
      <c r="F6" s="225"/>
      <c r="G6" s="225"/>
      <c r="H6" s="225" t="s">
        <v>693</v>
      </c>
      <c r="I6" s="236"/>
      <c r="J6" s="236"/>
      <c r="K6" s="225" t="s">
        <v>693</v>
      </c>
    </row>
    <row r="7" spans="1:12" ht="12.95" customHeight="1" x14ac:dyDescent="0.25">
      <c r="B7" s="226" t="s">
        <v>694</v>
      </c>
      <c r="C7" s="227"/>
      <c r="D7" s="227"/>
      <c r="E7" s="227"/>
      <c r="F7" s="234" t="s">
        <v>576</v>
      </c>
      <c r="G7" s="234"/>
      <c r="H7" s="235" t="s">
        <v>746</v>
      </c>
      <c r="I7" s="234" t="s">
        <v>576</v>
      </c>
      <c r="J7" s="234"/>
      <c r="K7" s="235" t="s">
        <v>795</v>
      </c>
    </row>
    <row r="8" spans="1:12" ht="17.100000000000001" customHeight="1" x14ac:dyDescent="0.2">
      <c r="B8" s="229" t="s">
        <v>667</v>
      </c>
      <c r="C8" s="229"/>
      <c r="D8" s="229"/>
      <c r="E8" s="229"/>
      <c r="F8" s="233">
        <f>params!F263</f>
        <v>1021.52</v>
      </c>
      <c r="G8" s="232" t="s">
        <v>745</v>
      </c>
      <c r="H8" s="230">
        <f>params!F264</f>
        <v>3676.8693031999996</v>
      </c>
      <c r="I8" s="233"/>
      <c r="J8" s="232" t="s">
        <v>313</v>
      </c>
      <c r="K8" s="231">
        <f>params!F265</f>
        <v>0.41180936195839996</v>
      </c>
    </row>
    <row r="9" spans="1:12" ht="17.100000000000001" customHeight="1" x14ac:dyDescent="0.2">
      <c r="B9" s="229" t="s">
        <v>655</v>
      </c>
      <c r="C9" s="229"/>
      <c r="D9" s="229"/>
      <c r="E9" s="229"/>
      <c r="F9" s="233">
        <f>params!F276</f>
        <v>5.8</v>
      </c>
      <c r="G9" s="232" t="s">
        <v>747</v>
      </c>
      <c r="H9" s="230">
        <f>params!F278</f>
        <v>10346.182917611488</v>
      </c>
      <c r="I9" s="233">
        <f>params!F284</f>
        <v>398</v>
      </c>
      <c r="J9" s="232" t="s">
        <v>750</v>
      </c>
      <c r="K9" s="231">
        <f>params!F285</f>
        <v>0.7099622071050643</v>
      </c>
    </row>
    <row r="10" spans="1:12" ht="17.100000000000001" customHeight="1" x14ac:dyDescent="0.2">
      <c r="B10" s="229" t="s">
        <v>660</v>
      </c>
      <c r="C10" s="229"/>
      <c r="D10" s="229"/>
      <c r="E10" s="229"/>
      <c r="F10" s="233">
        <v>0.51</v>
      </c>
      <c r="G10" s="232" t="s">
        <v>751</v>
      </c>
      <c r="H10" s="230">
        <f>params!F295</f>
        <v>3947.4</v>
      </c>
      <c r="I10" s="233"/>
      <c r="J10" s="232" t="s">
        <v>313</v>
      </c>
      <c r="K10" s="231">
        <f>params!F296</f>
        <v>0.44210879999999997</v>
      </c>
    </row>
    <row r="11" spans="1:12" ht="17.100000000000001" customHeight="1" x14ac:dyDescent="0.2">
      <c r="B11" s="229" t="s">
        <v>752</v>
      </c>
      <c r="C11" s="229"/>
      <c r="D11" s="229"/>
      <c r="E11" s="229"/>
      <c r="F11" s="237">
        <f>params!F299</f>
        <v>3.96</v>
      </c>
      <c r="G11" s="232" t="s">
        <v>753</v>
      </c>
      <c r="H11" s="230">
        <f>params!F300</f>
        <v>1406.3551401869158</v>
      </c>
      <c r="I11" s="238">
        <f>params!F302</f>
        <v>424</v>
      </c>
      <c r="J11" s="232" t="s">
        <v>754</v>
      </c>
      <c r="K11" s="231">
        <f>params!F303</f>
        <v>0.42399999999999999</v>
      </c>
    </row>
    <row r="12" spans="1:12" ht="17.100000000000001" customHeight="1" thickBot="1" x14ac:dyDescent="0.25">
      <c r="B12" s="229" t="s">
        <v>630</v>
      </c>
      <c r="C12" s="229"/>
      <c r="D12" s="229"/>
      <c r="E12" s="229"/>
      <c r="F12" s="233"/>
      <c r="G12" s="232" t="s">
        <v>313</v>
      </c>
      <c r="H12" s="239" t="s">
        <v>313</v>
      </c>
      <c r="I12" s="238">
        <f>params!F307</f>
        <v>498</v>
      </c>
      <c r="J12" s="232" t="s">
        <v>755</v>
      </c>
      <c r="K12" s="231">
        <f>params!F309</f>
        <v>0.37645870782451202</v>
      </c>
    </row>
    <row r="13" spans="1:12" ht="3.95" customHeight="1" x14ac:dyDescent="0.2">
      <c r="B13" s="228"/>
      <c r="C13" s="228"/>
      <c r="D13" s="228"/>
      <c r="E13" s="228"/>
      <c r="F13" s="228"/>
      <c r="G13" s="228"/>
      <c r="H13" s="228"/>
      <c r="I13" s="228"/>
      <c r="J13" s="228"/>
      <c r="K13" s="228"/>
    </row>
    <row r="15" spans="1:12" ht="12.95" customHeight="1" x14ac:dyDescent="0.2">
      <c r="B15" s="253" t="s">
        <v>1145</v>
      </c>
    </row>
    <row r="16" spans="1:12" ht="12.95" customHeight="1" x14ac:dyDescent="0.2">
      <c r="B16" s="253" t="s">
        <v>1144</v>
      </c>
    </row>
  </sheetData>
  <hyperlinks>
    <hyperlink ref="B2" location="cover!B18" display="return to TOC" xr:uid="{F0113F84-1016-41BC-BAC5-AB4ED6E4B842}"/>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B7379-EB0C-4480-BFFE-60021700F6F9}">
  <sheetPr published="0" codeName="Sheet23">
    <tabColor rgb="FF238B45"/>
  </sheetPr>
  <dimension ref="A1:P39"/>
  <sheetViews>
    <sheetView workbookViewId="0"/>
  </sheetViews>
  <sheetFormatPr defaultColWidth="10.83203125" defaultRowHeight="12.95" customHeight="1" x14ac:dyDescent="0.2"/>
  <cols>
    <col min="1" max="1" width="1.83203125" style="253" customWidth="1"/>
    <col min="2" max="4" width="2.83203125" style="253" customWidth="1"/>
    <col min="5" max="5" width="14.83203125" style="253" customWidth="1"/>
    <col min="6" max="6" width="16.83203125" style="253" customWidth="1"/>
    <col min="7" max="10" width="8.83203125" style="253" customWidth="1"/>
    <col min="11" max="16384" width="10.83203125" style="253"/>
  </cols>
  <sheetData>
    <row r="1" spans="1:16" ht="30" customHeight="1" x14ac:dyDescent="0.2">
      <c r="A1" s="255"/>
      <c r="B1" s="86" t="s">
        <v>936</v>
      </c>
      <c r="C1" s="248"/>
      <c r="D1" s="248"/>
      <c r="E1" s="248"/>
      <c r="F1" s="248"/>
      <c r="G1" s="248"/>
      <c r="H1" s="248"/>
      <c r="I1" s="248"/>
      <c r="J1" s="248"/>
    </row>
    <row r="2" spans="1:16" ht="12.95" customHeight="1" x14ac:dyDescent="0.2">
      <c r="A2" s="85"/>
      <c r="B2" s="81" t="s">
        <v>349</v>
      </c>
      <c r="C2" s="21"/>
      <c r="D2" s="21"/>
      <c r="E2" s="21"/>
      <c r="F2" s="21"/>
      <c r="G2" s="21"/>
      <c r="H2" s="21"/>
      <c r="I2" s="21"/>
      <c r="J2" s="21"/>
    </row>
    <row r="3" spans="1:16" ht="12.95" customHeight="1" x14ac:dyDescent="0.2">
      <c r="A3" s="85"/>
      <c r="B3" s="81"/>
      <c r="C3" s="21"/>
      <c r="D3" s="21"/>
      <c r="E3" s="21"/>
      <c r="F3" s="21"/>
      <c r="G3" s="21"/>
      <c r="H3" s="21"/>
      <c r="I3" s="21"/>
      <c r="J3" s="21"/>
    </row>
    <row r="4" spans="1:16" ht="12.95" customHeight="1" x14ac:dyDescent="0.25">
      <c r="A4" s="85"/>
      <c r="B4" s="284" t="s">
        <v>1152</v>
      </c>
      <c r="C4" s="285"/>
      <c r="D4" s="285"/>
      <c r="E4" s="285"/>
      <c r="F4" s="285"/>
      <c r="G4" s="285"/>
      <c r="H4" s="285"/>
      <c r="I4" s="285"/>
      <c r="J4" s="285"/>
      <c r="K4" s="110"/>
      <c r="L4" s="110"/>
      <c r="M4" s="110"/>
      <c r="N4" s="110"/>
      <c r="O4" s="110"/>
      <c r="P4" s="111"/>
    </row>
    <row r="5" spans="1:16" ht="3.95" customHeight="1" thickBot="1" x14ac:dyDescent="0.25">
      <c r="B5" s="21"/>
      <c r="C5" s="21"/>
      <c r="D5" s="21"/>
      <c r="E5" s="21"/>
      <c r="F5" s="21"/>
      <c r="G5" s="21"/>
      <c r="H5" s="21"/>
      <c r="I5" s="21"/>
      <c r="J5" s="21"/>
    </row>
    <row r="6" spans="1:16" ht="12.95" customHeight="1" x14ac:dyDescent="0.25">
      <c r="B6" s="252" t="s">
        <v>824</v>
      </c>
      <c r="C6" s="249"/>
      <c r="D6" s="249"/>
      <c r="E6" s="249"/>
      <c r="F6" s="251" t="s">
        <v>1</v>
      </c>
      <c r="G6" s="249" t="s">
        <v>390</v>
      </c>
      <c r="H6" s="249" t="s">
        <v>410</v>
      </c>
      <c r="I6" s="249" t="s">
        <v>420</v>
      </c>
      <c r="J6" s="249" t="s">
        <v>430</v>
      </c>
    </row>
    <row r="7" spans="1:16" ht="24" customHeight="1" x14ac:dyDescent="0.2">
      <c r="B7" s="254" t="s">
        <v>627</v>
      </c>
      <c r="C7" s="229"/>
      <c r="D7" s="229"/>
      <c r="E7" s="229"/>
      <c r="F7" s="242" t="s">
        <v>825</v>
      </c>
      <c r="G7" s="256">
        <f>'BECCS rollup'!$M$28</f>
        <v>16.335743605595162</v>
      </c>
      <c r="H7" s="256">
        <f>'BECCS rollup'!$W$28</f>
        <v>38.80691514557531</v>
      </c>
      <c r="I7" s="256">
        <f>'BECCS rollup'!$AG$28</f>
        <v>45.599956017571017</v>
      </c>
      <c r="J7" s="256">
        <f>'BECCS rollup'!$AQ$28</f>
        <v>32.240657801249277</v>
      </c>
    </row>
    <row r="8" spans="1:16" ht="12.95" customHeight="1" x14ac:dyDescent="0.2">
      <c r="B8" s="257" t="s">
        <v>933</v>
      </c>
      <c r="C8" s="258"/>
      <c r="D8" s="258"/>
      <c r="E8" s="258"/>
      <c r="F8" s="259"/>
      <c r="G8" s="260"/>
      <c r="H8" s="260"/>
      <c r="I8" s="260"/>
      <c r="J8" s="260"/>
    </row>
    <row r="9" spans="1:16" ht="12.95" customHeight="1" x14ac:dyDescent="0.2">
      <c r="B9" s="129"/>
      <c r="C9" s="257" t="s">
        <v>829</v>
      </c>
      <c r="D9" s="258"/>
      <c r="E9" s="258"/>
      <c r="F9" s="259" t="s">
        <v>157</v>
      </c>
      <c r="G9" s="260">
        <f>10*$F$21</f>
        <v>43.8</v>
      </c>
      <c r="H9" s="260">
        <f>20*$F$21</f>
        <v>87.6</v>
      </c>
      <c r="I9" s="260">
        <f>30*$F$21</f>
        <v>131.4</v>
      </c>
      <c r="J9" s="260">
        <f>40*$F$21</f>
        <v>175.2</v>
      </c>
    </row>
    <row r="10" spans="1:16" ht="12.95" customHeight="1" x14ac:dyDescent="0.2">
      <c r="B10" s="129"/>
      <c r="C10" s="257" t="s">
        <v>830</v>
      </c>
      <c r="D10" s="258"/>
      <c r="E10" s="258"/>
      <c r="F10" s="259" t="s">
        <v>156</v>
      </c>
      <c r="G10" s="261">
        <f>10*$F$22</f>
        <v>0.46968559773672047</v>
      </c>
      <c r="H10" s="261">
        <f>20*$F$22</f>
        <v>0.93937119547344095</v>
      </c>
      <c r="I10" s="261">
        <f>30*$F$22</f>
        <v>1.4090567932101614</v>
      </c>
      <c r="J10" s="261">
        <f>40*$F$22</f>
        <v>1.8787423909468819</v>
      </c>
    </row>
    <row r="11" spans="1:16" ht="12.95" customHeight="1" x14ac:dyDescent="0.2">
      <c r="B11" s="129"/>
      <c r="C11" s="257" t="s">
        <v>826</v>
      </c>
      <c r="D11" s="258"/>
      <c r="E11" s="258"/>
      <c r="F11" s="259" t="s">
        <v>832</v>
      </c>
      <c r="G11" s="260">
        <f>10*$F$23</f>
        <v>26.450715240962687</v>
      </c>
      <c r="H11" s="260">
        <f>20*$F$23</f>
        <v>52.901430481925374</v>
      </c>
      <c r="I11" s="260">
        <f>30*$F$23</f>
        <v>79.352145722888068</v>
      </c>
      <c r="J11" s="260">
        <f>40*$F$23</f>
        <v>105.80286096385075</v>
      </c>
    </row>
    <row r="12" spans="1:16" ht="24" customHeight="1" thickBot="1" x14ac:dyDescent="0.25">
      <c r="B12" s="254" t="s">
        <v>627</v>
      </c>
      <c r="C12" s="229"/>
      <c r="D12" s="229"/>
      <c r="E12" s="229"/>
      <c r="F12" s="242" t="s">
        <v>827</v>
      </c>
      <c r="G12" s="231">
        <f>G7/G11</f>
        <v>0.61759175344706541</v>
      </c>
      <c r="H12" s="231">
        <f>H7/H11</f>
        <v>0.73357024171273244</v>
      </c>
      <c r="I12" s="231">
        <f>I7/I11</f>
        <v>0.57465309352584171</v>
      </c>
      <c r="J12" s="231">
        <f>J7/J11</f>
        <v>0.30472387521037658</v>
      </c>
    </row>
    <row r="13" spans="1:16" ht="3.95" customHeight="1" x14ac:dyDescent="0.2">
      <c r="B13" s="228"/>
      <c r="C13" s="228"/>
      <c r="D13" s="228"/>
      <c r="E13" s="228"/>
      <c r="F13" s="228"/>
      <c r="G13" s="228"/>
      <c r="H13" s="228"/>
      <c r="I13" s="228"/>
      <c r="J13" s="228"/>
    </row>
    <row r="15" spans="1:16" ht="12.95" customHeight="1" x14ac:dyDescent="0.2">
      <c r="B15" s="121" t="s">
        <v>1156</v>
      </c>
      <c r="F15" s="28"/>
    </row>
    <row r="16" spans="1:16" ht="12.95" customHeight="1" x14ac:dyDescent="0.2">
      <c r="B16" s="253" t="s">
        <v>436</v>
      </c>
      <c r="F16" s="198">
        <f>dashboard!C6</f>
        <v>1</v>
      </c>
      <c r="H16" s="253" t="s">
        <v>1176</v>
      </c>
    </row>
    <row r="17" spans="1:16" ht="12.95" customHeight="1" x14ac:dyDescent="0.2">
      <c r="B17" s="253" t="s">
        <v>1153</v>
      </c>
      <c r="F17" s="29">
        <f>kWhTOMJ/params!$F$70</f>
        <v>10.72341547344111</v>
      </c>
      <c r="G17" s="253" t="s">
        <v>239</v>
      </c>
      <c r="H17" s="159" t="s">
        <v>1154</v>
      </c>
      <c r="I17" s="29">
        <f>F17*MJTOmmBtu*1000</f>
        <v>10.172281274014976</v>
      </c>
      <c r="J17" s="253" t="s">
        <v>235</v>
      </c>
    </row>
    <row r="18" spans="1:16" ht="12.95" customHeight="1" x14ac:dyDescent="0.2">
      <c r="B18" s="253" t="s">
        <v>934</v>
      </c>
      <c r="F18" s="28">
        <f>dashboard!C5*dashboard!C6*yrTOhr/10^6</f>
        <v>8.76</v>
      </c>
      <c r="G18" s="253" t="s">
        <v>157</v>
      </c>
    </row>
    <row r="19" spans="1:16" ht="12.95" customHeight="1" x14ac:dyDescent="0.2">
      <c r="A19" s="339"/>
      <c r="F19" s="28"/>
    </row>
    <row r="20" spans="1:16" ht="12.95" customHeight="1" x14ac:dyDescent="0.2">
      <c r="B20" s="121" t="s">
        <v>1157</v>
      </c>
      <c r="F20" s="28"/>
    </row>
    <row r="21" spans="1:16" ht="12.95" customHeight="1" x14ac:dyDescent="0.2">
      <c r="B21" s="253" t="s">
        <v>628</v>
      </c>
      <c r="F21" s="28">
        <f>$F$18*dashboard!$E$17</f>
        <v>4.38</v>
      </c>
      <c r="G21" s="253" t="s">
        <v>157</v>
      </c>
    </row>
    <row r="22" spans="1:16" ht="12.95" customHeight="1" x14ac:dyDescent="0.2">
      <c r="B22" s="253" t="s">
        <v>828</v>
      </c>
      <c r="F22" s="26">
        <f>LOG!$F$21/10^6</f>
        <v>4.696855977367205E-2</v>
      </c>
      <c r="G22" s="253" t="s">
        <v>156</v>
      </c>
    </row>
    <row r="23" spans="1:16" ht="12.95" customHeight="1" x14ac:dyDescent="0.2">
      <c r="B23" s="253" t="s">
        <v>831</v>
      </c>
      <c r="F23" s="28">
        <f>params!$F$78/10^6</f>
        <v>2.6450715240962688</v>
      </c>
      <c r="G23" s="253" t="s">
        <v>832</v>
      </c>
    </row>
    <row r="25" spans="1:16" ht="12.95" customHeight="1" x14ac:dyDescent="0.25">
      <c r="A25" s="85"/>
      <c r="B25" s="284" t="s">
        <v>1151</v>
      </c>
      <c r="C25" s="285"/>
      <c r="D25" s="285"/>
      <c r="E25" s="285"/>
      <c r="F25" s="285"/>
      <c r="G25" s="285"/>
      <c r="H25" s="285"/>
      <c r="I25" s="285"/>
      <c r="J25" s="285"/>
      <c r="K25" s="110"/>
      <c r="L25" s="110"/>
      <c r="M25" s="110"/>
      <c r="N25" s="110"/>
      <c r="O25" s="110"/>
      <c r="P25" s="111"/>
    </row>
    <row r="26" spans="1:16" ht="3.95" customHeight="1" thickBot="1" x14ac:dyDescent="0.25">
      <c r="B26" s="21"/>
      <c r="C26" s="21"/>
      <c r="D26" s="21"/>
      <c r="E26" s="21"/>
      <c r="F26" s="21"/>
      <c r="G26" s="21"/>
      <c r="H26" s="21"/>
      <c r="I26" s="21"/>
      <c r="J26" s="21"/>
    </row>
    <row r="27" spans="1:16" ht="12.95" customHeight="1" x14ac:dyDescent="0.25">
      <c r="B27" s="252" t="s">
        <v>824</v>
      </c>
      <c r="C27" s="249"/>
      <c r="D27" s="249"/>
      <c r="E27" s="249"/>
      <c r="F27" s="251" t="s">
        <v>1</v>
      </c>
      <c r="G27" s="249" t="s">
        <v>390</v>
      </c>
      <c r="H27" s="249" t="s">
        <v>410</v>
      </c>
      <c r="I27" s="249" t="s">
        <v>420</v>
      </c>
      <c r="J27" s="249" t="s">
        <v>430</v>
      </c>
    </row>
    <row r="28" spans="1:16" ht="24" customHeight="1" x14ac:dyDescent="0.2">
      <c r="B28" s="254" t="s">
        <v>627</v>
      </c>
      <c r="C28" s="229"/>
      <c r="D28" s="229"/>
      <c r="E28" s="229"/>
      <c r="F28" s="242" t="s">
        <v>825</v>
      </c>
      <c r="G28" s="256">
        <f ca="1">'BECCS rollup'!$M$29</f>
        <v>24.1651669303075</v>
      </c>
      <c r="H28" s="256">
        <f ca="1">'BECCS rollup'!$W$29</f>
        <v>7.1960479293159514</v>
      </c>
      <c r="I28" s="256">
        <f ca="1">'BECCS rollup'!$AG$29</f>
        <v>-5.423314455749555</v>
      </c>
      <c r="J28" s="256">
        <f ca="1">'BECCS rollup'!$AQ$29</f>
        <v>-33.020629494421151</v>
      </c>
    </row>
    <row r="29" spans="1:16" ht="12.95" customHeight="1" x14ac:dyDescent="0.2">
      <c r="B29" s="257" t="s">
        <v>933</v>
      </c>
      <c r="C29" s="258"/>
      <c r="D29" s="258"/>
      <c r="E29" s="258"/>
      <c r="F29" s="259"/>
      <c r="G29" s="260"/>
      <c r="H29" s="260"/>
      <c r="I29" s="260"/>
      <c r="J29" s="260"/>
    </row>
    <row r="30" spans="1:16" ht="12.95" customHeight="1" x14ac:dyDescent="0.2">
      <c r="B30" s="129"/>
      <c r="C30" s="257" t="s">
        <v>829</v>
      </c>
      <c r="D30" s="258"/>
      <c r="E30" s="258"/>
      <c r="F30" s="259" t="s">
        <v>157</v>
      </c>
      <c r="G30" s="260">
        <f>10*$F$37</f>
        <v>43.8</v>
      </c>
      <c r="H30" s="260">
        <f>20*$F$37</f>
        <v>87.6</v>
      </c>
      <c r="I30" s="260">
        <f>30*$F$37</f>
        <v>131.4</v>
      </c>
      <c r="J30" s="260">
        <f>40*$F$37</f>
        <v>175.2</v>
      </c>
    </row>
    <row r="31" spans="1:16" ht="12.95" customHeight="1" x14ac:dyDescent="0.2">
      <c r="B31" s="129"/>
      <c r="C31" s="257" t="s">
        <v>830</v>
      </c>
      <c r="D31" s="258"/>
      <c r="E31" s="258"/>
      <c r="F31" s="259" t="s">
        <v>156</v>
      </c>
      <c r="G31" s="261">
        <f>10*$F$38</f>
        <v>0.46968559773672047</v>
      </c>
      <c r="H31" s="261">
        <f>20*$F$38</f>
        <v>0.93937119547344095</v>
      </c>
      <c r="I31" s="261">
        <f>30*$F$38</f>
        <v>1.4090567932101614</v>
      </c>
      <c r="J31" s="261">
        <f>40*$F$38</f>
        <v>1.8787423909468819</v>
      </c>
    </row>
    <row r="32" spans="1:16" ht="12.95" customHeight="1" x14ac:dyDescent="0.2">
      <c r="B32" s="129"/>
      <c r="C32" s="257" t="s">
        <v>826</v>
      </c>
      <c r="D32" s="258"/>
      <c r="E32" s="258"/>
      <c r="F32" s="259" t="s">
        <v>832</v>
      </c>
      <c r="G32" s="260">
        <f>10*$F$39</f>
        <v>26.450715240962687</v>
      </c>
      <c r="H32" s="260">
        <f>20*$F$39</f>
        <v>52.901430481925374</v>
      </c>
      <c r="I32" s="260">
        <f>30*$F$39</f>
        <v>79.352145722888068</v>
      </c>
      <c r="J32" s="260">
        <f>40*$F$39</f>
        <v>105.80286096385075</v>
      </c>
    </row>
    <row r="33" spans="2:10" ht="24" customHeight="1" thickBot="1" x14ac:dyDescent="0.25">
      <c r="B33" s="254" t="s">
        <v>627</v>
      </c>
      <c r="C33" s="229"/>
      <c r="D33" s="229"/>
      <c r="E33" s="229"/>
      <c r="F33" s="242" t="s">
        <v>827</v>
      </c>
      <c r="G33" s="231">
        <f ca="1">G28/G32</f>
        <v>0.91359219250465895</v>
      </c>
      <c r="H33" s="231">
        <f ca="1">H28/H32</f>
        <v>0.13602747343050764</v>
      </c>
      <c r="I33" s="231">
        <f ca="1">I28/I32</f>
        <v>-6.8344899893302724E-2</v>
      </c>
      <c r="J33" s="231">
        <f ca="1">J28/J32</f>
        <v>-0.31209580906988121</v>
      </c>
    </row>
    <row r="34" spans="2:10" ht="3.95" customHeight="1" x14ac:dyDescent="0.2">
      <c r="B34" s="228"/>
      <c r="C34" s="228"/>
      <c r="D34" s="228"/>
      <c r="E34" s="228"/>
      <c r="F34" s="228"/>
      <c r="G34" s="228"/>
      <c r="H34" s="228"/>
      <c r="I34" s="228"/>
      <c r="J34" s="228"/>
    </row>
    <row r="36" spans="2:10" ht="12.95" customHeight="1" x14ac:dyDescent="0.2">
      <c r="B36" s="121" t="s">
        <v>1172</v>
      </c>
      <c r="F36" s="28"/>
    </row>
    <row r="37" spans="2:10" ht="12.95" customHeight="1" x14ac:dyDescent="0.2">
      <c r="B37" s="253" t="s">
        <v>628</v>
      </c>
      <c r="F37" s="28">
        <f>$F$18*dashboard!$E$18</f>
        <v>4.38</v>
      </c>
      <c r="G37" s="253" t="s">
        <v>157</v>
      </c>
    </row>
    <row r="38" spans="2:10" ht="12.95" customHeight="1" x14ac:dyDescent="0.2">
      <c r="B38" s="253" t="s">
        <v>828</v>
      </c>
      <c r="F38" s="26">
        <f>THIN!F24/10^6</f>
        <v>4.696855977367205E-2</v>
      </c>
      <c r="G38" s="253" t="s">
        <v>156</v>
      </c>
    </row>
    <row r="39" spans="2:10" ht="12.95" customHeight="1" x14ac:dyDescent="0.2">
      <c r="B39" s="253" t="s">
        <v>831</v>
      </c>
      <c r="F39" s="28">
        <f>params!$F$79/10^6</f>
        <v>2.6450715240962688</v>
      </c>
      <c r="G39" s="253" t="s">
        <v>832</v>
      </c>
    </row>
  </sheetData>
  <hyperlinks>
    <hyperlink ref="B2" location="cover!B18" display="return to TOC" xr:uid="{F7EB93B1-5FFA-4F4D-9844-37A96A3CA856}"/>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92883-E7CE-4535-8B87-3A5894234A4B}">
  <sheetPr published="0" codeName="Sheet33">
    <tabColor rgb="FF238B45"/>
  </sheetPr>
  <dimension ref="A1:H12"/>
  <sheetViews>
    <sheetView workbookViewId="0"/>
  </sheetViews>
  <sheetFormatPr defaultColWidth="10.83203125" defaultRowHeight="12.95" customHeight="1" x14ac:dyDescent="0.2"/>
  <cols>
    <col min="1" max="1" width="1.83203125" style="253" customWidth="1"/>
    <col min="2" max="4" width="2.83203125" style="253" customWidth="1"/>
    <col min="5" max="5" width="16.83203125" style="253" customWidth="1"/>
    <col min="6" max="8" width="8.83203125" style="253" customWidth="1"/>
    <col min="9" max="16384" width="10.83203125" style="253"/>
  </cols>
  <sheetData>
    <row r="1" spans="1:8" ht="30" customHeight="1" x14ac:dyDescent="0.2">
      <c r="A1" s="255"/>
      <c r="B1" s="86" t="s">
        <v>958</v>
      </c>
      <c r="C1" s="347"/>
      <c r="D1" s="347"/>
      <c r="E1" s="347"/>
      <c r="F1" s="347"/>
      <c r="G1" s="347"/>
      <c r="H1" s="347"/>
    </row>
    <row r="2" spans="1:8" ht="12.95" customHeight="1" x14ac:dyDescent="0.2">
      <c r="A2" s="85"/>
      <c r="B2" s="81" t="s">
        <v>349</v>
      </c>
      <c r="C2" s="21"/>
      <c r="D2" s="21"/>
      <c r="E2" s="21"/>
      <c r="F2" s="21"/>
      <c r="G2" s="21"/>
      <c r="H2" s="21"/>
    </row>
    <row r="3" spans="1:8" ht="12.95" customHeight="1" x14ac:dyDescent="0.2">
      <c r="A3" s="85"/>
      <c r="B3" s="81"/>
      <c r="C3" s="21"/>
      <c r="D3" s="21"/>
      <c r="E3" s="21"/>
      <c r="F3" s="21"/>
      <c r="G3" s="21"/>
      <c r="H3" s="21"/>
    </row>
    <row r="4" spans="1:8" ht="3.95" customHeight="1" thickBot="1" x14ac:dyDescent="0.25">
      <c r="B4" s="21"/>
      <c r="C4" s="21"/>
      <c r="D4" s="21"/>
      <c r="E4" s="21"/>
      <c r="F4" s="21"/>
      <c r="G4" s="21"/>
      <c r="H4" s="21"/>
    </row>
    <row r="5" spans="1:8" ht="12.95" customHeight="1" x14ac:dyDescent="0.25">
      <c r="B5" s="355"/>
      <c r="C5" s="355"/>
      <c r="D5" s="355"/>
      <c r="E5" s="355"/>
      <c r="F5" s="356" t="s">
        <v>51</v>
      </c>
      <c r="G5" s="356" t="s">
        <v>728</v>
      </c>
      <c r="H5" s="356" t="s">
        <v>727</v>
      </c>
    </row>
    <row r="6" spans="1:8" ht="17.100000000000001" customHeight="1" x14ac:dyDescent="0.2">
      <c r="B6" s="350" t="s">
        <v>1343</v>
      </c>
      <c r="C6" s="229"/>
      <c r="D6" s="229"/>
      <c r="E6" s="229"/>
      <c r="F6" s="352">
        <v>0.95</v>
      </c>
      <c r="G6" s="240">
        <v>0.92500000000000004</v>
      </c>
      <c r="H6" s="351">
        <v>0.9</v>
      </c>
    </row>
    <row r="7" spans="1:8" ht="17.100000000000001" customHeight="1" x14ac:dyDescent="0.2">
      <c r="B7" s="350" t="s">
        <v>1344</v>
      </c>
      <c r="C7" s="229"/>
      <c r="D7" s="229"/>
      <c r="E7" s="229"/>
      <c r="F7" s="351">
        <f>1-F6</f>
        <v>5.0000000000000044E-2</v>
      </c>
      <c r="G7" s="357">
        <f>1-G6</f>
        <v>7.4999999999999956E-2</v>
      </c>
      <c r="H7" s="351">
        <f>1-H6</f>
        <v>9.9999999999999978E-2</v>
      </c>
    </row>
    <row r="8" spans="1:8" ht="17.100000000000001" customHeight="1" x14ac:dyDescent="0.2">
      <c r="B8" s="229" t="s">
        <v>1345</v>
      </c>
      <c r="C8" s="229"/>
      <c r="D8" s="229"/>
      <c r="E8" s="229"/>
      <c r="F8" s="353" t="s">
        <v>1348</v>
      </c>
      <c r="G8" s="352">
        <f>LOG!F9</f>
        <v>0.5</v>
      </c>
      <c r="H8" s="354" t="s">
        <v>1348</v>
      </c>
    </row>
    <row r="9" spans="1:8" ht="17.100000000000001" customHeight="1" thickBot="1" x14ac:dyDescent="0.25">
      <c r="B9" s="229" t="s">
        <v>1346</v>
      </c>
      <c r="C9" s="229"/>
      <c r="D9" s="229"/>
      <c r="E9" s="229"/>
      <c r="F9" s="267">
        <f>F6*F7*$G8*c_CO2.C</f>
        <v>8.7022167943952164E-2</v>
      </c>
      <c r="G9" s="267">
        <f>G6*G7*$G8*c_CO2.C</f>
        <v>0.1270981663391931</v>
      </c>
      <c r="H9" s="267">
        <f>H6*H7*$G8*c_CO2.C</f>
        <v>0.1648841076832776</v>
      </c>
    </row>
    <row r="10" spans="1:8" ht="3.95" customHeight="1" x14ac:dyDescent="0.2">
      <c r="B10" s="228"/>
      <c r="C10" s="228"/>
      <c r="D10" s="228"/>
      <c r="E10" s="228"/>
      <c r="F10" s="228"/>
      <c r="G10" s="228"/>
      <c r="H10" s="228"/>
    </row>
    <row r="12" spans="1:8" ht="12.95" customHeight="1" x14ac:dyDescent="0.2">
      <c r="B12" s="253" t="s">
        <v>1347</v>
      </c>
    </row>
  </sheetData>
  <hyperlinks>
    <hyperlink ref="B2" location="cover!B18" display="return to TOC" xr:uid="{DB9DBC4F-8708-427D-9DDC-19BD83C5A849}"/>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DAAD3-3B25-49C6-A957-1847E9F5F53A}">
  <sheetPr published="0" codeName="Sheet24">
    <tabColor rgb="FF238B45"/>
  </sheetPr>
  <dimension ref="A1:P34"/>
  <sheetViews>
    <sheetView workbookViewId="0"/>
  </sheetViews>
  <sheetFormatPr defaultColWidth="10.83203125" defaultRowHeight="12.95" customHeight="1" x14ac:dyDescent="0.2"/>
  <cols>
    <col min="1" max="1" width="1.83203125" style="253" customWidth="1"/>
    <col min="2" max="4" width="2.83203125" style="253" customWidth="1"/>
    <col min="5" max="5" width="18.83203125" style="253" customWidth="1"/>
    <col min="6" max="6" width="7.83203125" style="253" customWidth="1"/>
    <col min="7" max="7" width="1.83203125" style="253" customWidth="1"/>
    <col min="8" max="9" width="7.83203125" style="253" customWidth="1"/>
    <col min="10" max="10" width="1.83203125" style="253" customWidth="1"/>
    <col min="11" max="12" width="7.83203125" style="253" customWidth="1"/>
    <col min="13" max="13" width="1.83203125" style="253" customWidth="1"/>
    <col min="14" max="14" width="7.83203125" style="253" customWidth="1"/>
    <col min="15" max="16384" width="10.83203125" style="253"/>
  </cols>
  <sheetData>
    <row r="1" spans="1:16" ht="30" customHeight="1" x14ac:dyDescent="0.2">
      <c r="A1" s="255"/>
      <c r="B1" s="86" t="s">
        <v>1349</v>
      </c>
      <c r="C1" s="248"/>
      <c r="D1" s="248"/>
      <c r="E1" s="248"/>
      <c r="F1" s="248"/>
      <c r="G1" s="248"/>
      <c r="H1" s="248"/>
      <c r="I1" s="347"/>
      <c r="J1" s="347"/>
      <c r="K1" s="347"/>
      <c r="L1" s="248"/>
      <c r="M1" s="248"/>
      <c r="N1" s="248"/>
    </row>
    <row r="2" spans="1:16" ht="12.95" customHeight="1" x14ac:dyDescent="0.2">
      <c r="A2" s="85"/>
      <c r="B2" s="81" t="s">
        <v>349</v>
      </c>
      <c r="C2" s="21"/>
      <c r="D2" s="21"/>
      <c r="E2" s="21"/>
      <c r="F2" s="21"/>
      <c r="G2" s="21"/>
      <c r="H2" s="21"/>
      <c r="I2" s="21"/>
      <c r="J2" s="21"/>
      <c r="K2" s="21"/>
      <c r="L2" s="21"/>
      <c r="M2" s="21"/>
      <c r="N2" s="21"/>
    </row>
    <row r="3" spans="1:16" ht="12.95" customHeight="1" x14ac:dyDescent="0.2">
      <c r="A3" s="85"/>
      <c r="B3" s="81"/>
      <c r="C3" s="21"/>
      <c r="D3" s="21"/>
      <c r="E3" s="21"/>
      <c r="F3" s="21"/>
      <c r="G3" s="21"/>
      <c r="H3" s="21"/>
      <c r="I3" s="21"/>
      <c r="J3" s="21"/>
      <c r="K3" s="21"/>
      <c r="L3" s="21"/>
      <c r="M3" s="21"/>
      <c r="N3" s="21"/>
      <c r="O3"/>
      <c r="P3"/>
    </row>
    <row r="4" spans="1:16" ht="12.95" customHeight="1" x14ac:dyDescent="0.25">
      <c r="A4" s="85"/>
      <c r="B4" s="109" t="s">
        <v>1362</v>
      </c>
      <c r="C4" s="285"/>
      <c r="D4" s="285"/>
      <c r="E4" s="285"/>
      <c r="F4" s="285"/>
      <c r="G4" s="285"/>
      <c r="H4" s="285"/>
      <c r="I4" s="285"/>
      <c r="J4" s="285"/>
      <c r="K4" s="285"/>
      <c r="L4" s="285"/>
      <c r="M4" s="285"/>
      <c r="N4" s="285"/>
      <c r="O4"/>
      <c r="P4"/>
    </row>
    <row r="5" spans="1:16" ht="12.95" customHeight="1" x14ac:dyDescent="0.2">
      <c r="A5" s="85"/>
      <c r="B5" s="81"/>
      <c r="C5" s="21"/>
      <c r="D5" s="21"/>
      <c r="E5" s="21"/>
      <c r="F5" s="21"/>
      <c r="G5" s="21"/>
      <c r="H5" s="21"/>
      <c r="I5" s="21"/>
      <c r="J5" s="21"/>
      <c r="K5" s="21"/>
      <c r="L5" s="21"/>
      <c r="M5" s="21"/>
      <c r="N5" s="21"/>
      <c r="O5"/>
      <c r="P5"/>
    </row>
    <row r="6" spans="1:16" ht="3.95" customHeight="1" thickBot="1" x14ac:dyDescent="0.25">
      <c r="B6" s="21"/>
      <c r="C6" s="21"/>
      <c r="D6" s="21"/>
      <c r="E6" s="21"/>
      <c r="F6" s="21"/>
      <c r="G6" s="21"/>
      <c r="H6" s="21"/>
      <c r="I6" s="21"/>
      <c r="J6" s="21"/>
      <c r="K6" s="21"/>
      <c r="L6" s="21"/>
      <c r="M6" s="21"/>
      <c r="N6" s="21"/>
      <c r="O6"/>
      <c r="P6"/>
    </row>
    <row r="7" spans="1:16" ht="12.95" customHeight="1" x14ac:dyDescent="0.25">
      <c r="B7" s="264"/>
      <c r="C7" s="265"/>
      <c r="D7" s="265"/>
      <c r="E7" s="265"/>
      <c r="F7" s="266" t="s">
        <v>838</v>
      </c>
      <c r="G7" s="266"/>
      <c r="H7" s="266"/>
      <c r="I7" s="266"/>
      <c r="J7" s="266"/>
      <c r="K7" s="266"/>
      <c r="L7" s="266" t="s">
        <v>839</v>
      </c>
      <c r="M7" s="266"/>
      <c r="N7" s="266"/>
      <c r="O7"/>
      <c r="P7"/>
    </row>
    <row r="8" spans="1:16" ht="12.95" customHeight="1" x14ac:dyDescent="0.25">
      <c r="B8" s="274" t="s">
        <v>837</v>
      </c>
      <c r="C8" s="275"/>
      <c r="D8" s="275"/>
      <c r="E8" s="275"/>
      <c r="F8" s="234" t="s">
        <v>835</v>
      </c>
      <c r="G8" s="234"/>
      <c r="H8" s="234"/>
      <c r="I8" s="234" t="s">
        <v>1365</v>
      </c>
      <c r="J8" s="234"/>
      <c r="K8" s="234"/>
      <c r="L8" s="234" t="s">
        <v>836</v>
      </c>
      <c r="M8" s="234"/>
      <c r="N8" s="234"/>
      <c r="O8"/>
      <c r="P8"/>
    </row>
    <row r="9" spans="1:16" ht="18" customHeight="1" x14ac:dyDescent="0.2">
      <c r="B9" s="254" t="s">
        <v>833</v>
      </c>
      <c r="C9" s="229"/>
      <c r="D9" s="229"/>
      <c r="E9" s="229"/>
      <c r="F9" s="270">
        <f>params!F219</f>
        <v>0.29190672153635117</v>
      </c>
      <c r="G9" s="269" t="s">
        <v>843</v>
      </c>
      <c r="H9" s="272">
        <f>params!F223</f>
        <v>0.65679012345679011</v>
      </c>
      <c r="I9" s="360">
        <f>F9/($F$17*MJTOmmBtu)</f>
        <v>1.6195906721536351E-2</v>
      </c>
      <c r="J9" s="269" t="s">
        <v>843</v>
      </c>
      <c r="K9" s="361">
        <f>H9/($F$17*MJTOmmBtu)</f>
        <v>3.6440790123456794E-2</v>
      </c>
      <c r="L9" s="270">
        <f>I9*params!$F$71</f>
        <v>0.16474975566377284</v>
      </c>
      <c r="M9" s="269" t="s">
        <v>843</v>
      </c>
      <c r="N9" s="272">
        <f>K9*params!$F$71</f>
        <v>0.37068695024348897</v>
      </c>
      <c r="O9"/>
      <c r="P9"/>
    </row>
    <row r="10" spans="1:16" ht="18" customHeight="1" x14ac:dyDescent="0.2">
      <c r="B10" s="262" t="s">
        <v>570</v>
      </c>
      <c r="C10" s="263"/>
      <c r="D10" s="263"/>
      <c r="E10" s="263"/>
      <c r="F10" s="271">
        <f>params!F309</f>
        <v>0.37645870782451202</v>
      </c>
      <c r="G10" s="268" t="s">
        <v>843</v>
      </c>
      <c r="H10" s="273">
        <f>'Table 2'!K10</f>
        <v>0.44210879999999997</v>
      </c>
      <c r="I10" s="360">
        <f>F10/($F$17*MJTOmmBtu)</f>
        <v>2.0887117927076006E-2</v>
      </c>
      <c r="J10" s="268" t="s">
        <v>843</v>
      </c>
      <c r="K10" s="362">
        <f>H10/($F$17*MJTOmmBtu)</f>
        <v>2.452959235705263E-2</v>
      </c>
      <c r="L10" s="271">
        <f>I10*params!$F$71</f>
        <v>0.21247020214251722</v>
      </c>
      <c r="M10" s="268" t="s">
        <v>843</v>
      </c>
      <c r="N10" s="273">
        <f>K10*params!$F$71</f>
        <v>0.24952257486038526</v>
      </c>
      <c r="O10"/>
      <c r="P10"/>
    </row>
    <row r="11" spans="1:16" ht="18" customHeight="1" x14ac:dyDescent="0.2">
      <c r="B11" s="254" t="s">
        <v>834</v>
      </c>
      <c r="C11" s="229"/>
      <c r="D11" s="229"/>
      <c r="E11" s="229"/>
      <c r="F11" s="270">
        <f ca="1">'Tables 3-4'!H33</f>
        <v>0.13602747343050764</v>
      </c>
      <c r="G11" s="267" t="s">
        <v>843</v>
      </c>
      <c r="H11" s="272">
        <f>'Tables 3-4'!H12</f>
        <v>0.73357024171273244</v>
      </c>
      <c r="I11" s="360">
        <f ca="1">F11/($F$17*MJTOmmBtu)</f>
        <v>7.5472337863669763E-3</v>
      </c>
      <c r="J11" s="267" t="s">
        <v>843</v>
      </c>
      <c r="K11" s="361">
        <f>H11/($F$17*MJTOmmBtu)</f>
        <v>4.070079354782781E-2</v>
      </c>
      <c r="L11" s="270">
        <f ca="1">I11*params!$F$71</f>
        <v>7.6772788558230262E-2</v>
      </c>
      <c r="M11" s="267" t="s">
        <v>843</v>
      </c>
      <c r="N11" s="272">
        <f>K11*params!$F$71</f>
        <v>0.4140210182496169</v>
      </c>
      <c r="O11"/>
      <c r="P11"/>
    </row>
    <row r="12" spans="1:16" ht="18" customHeight="1" x14ac:dyDescent="0.2">
      <c r="B12" s="254" t="s">
        <v>1340</v>
      </c>
      <c r="C12" s="229"/>
      <c r="D12" s="229"/>
      <c r="E12" s="229"/>
      <c r="F12" s="270">
        <f>'Table 5'!F9</f>
        <v>8.7022167943952164E-2</v>
      </c>
      <c r="G12" s="267" t="s">
        <v>843</v>
      </c>
      <c r="H12" s="272">
        <f>'Table 5'!H9</f>
        <v>0.1648841076832776</v>
      </c>
      <c r="I12" s="360">
        <f>F12/($F$17*MJTOmmBtu)</f>
        <v>4.8282646843766054E-3</v>
      </c>
      <c r="J12" s="267" t="s">
        <v>843</v>
      </c>
      <c r="K12" s="361">
        <f>H12/($F$17*MJTOmmBtu)</f>
        <v>9.1482909809240832E-3</v>
      </c>
      <c r="L12" s="270">
        <f>I12*params!$F$71</f>
        <v>4.911459671308923E-2</v>
      </c>
      <c r="M12" s="267" t="s">
        <v>843</v>
      </c>
      <c r="N12" s="272">
        <f>K12*params!$F$71</f>
        <v>9.3059235877432117E-2</v>
      </c>
      <c r="O12"/>
      <c r="P12"/>
    </row>
    <row r="13" spans="1:16" ht="18" customHeight="1" thickBot="1" x14ac:dyDescent="0.25">
      <c r="B13" s="254" t="s">
        <v>935</v>
      </c>
      <c r="C13" s="229"/>
      <c r="D13" s="229"/>
      <c r="E13" s="229"/>
      <c r="F13" s="270"/>
      <c r="G13" s="267"/>
      <c r="H13" s="272"/>
      <c r="I13" s="270"/>
      <c r="J13" s="267"/>
      <c r="K13" s="272"/>
      <c r="L13" s="286">
        <f ca="1">SUM(L9:L12)</f>
        <v>0.50310734307760951</v>
      </c>
      <c r="M13" s="287" t="s">
        <v>843</v>
      </c>
      <c r="N13" s="288">
        <f>SUM(N9:N12)</f>
        <v>1.1272897792309231</v>
      </c>
      <c r="O13"/>
      <c r="P13"/>
    </row>
    <row r="14" spans="1:16" ht="3.95" customHeight="1" x14ac:dyDescent="0.2">
      <c r="B14" s="228"/>
      <c r="C14" s="228"/>
      <c r="D14" s="228"/>
      <c r="E14" s="228"/>
      <c r="F14" s="228"/>
      <c r="G14" s="228"/>
      <c r="H14" s="228"/>
      <c r="I14" s="228"/>
      <c r="J14" s="228"/>
      <c r="K14" s="228"/>
      <c r="L14" s="228"/>
      <c r="M14" s="228"/>
      <c r="N14" s="228"/>
      <c r="O14"/>
      <c r="P14"/>
    </row>
    <row r="15" spans="1:16" ht="12.95" customHeight="1" x14ac:dyDescent="0.2">
      <c r="O15"/>
      <c r="P15"/>
    </row>
    <row r="16" spans="1:16" ht="12.95" customHeight="1" x14ac:dyDescent="0.2">
      <c r="B16" s="253" t="s">
        <v>559</v>
      </c>
      <c r="F16" s="29">
        <f>LOG!F10</f>
        <v>19</v>
      </c>
      <c r="G16" s="170" t="s">
        <v>269</v>
      </c>
      <c r="J16" s="29"/>
      <c r="L16" s="26"/>
      <c r="M16" s="170"/>
    </row>
    <row r="17" spans="1:16" ht="12.95" customHeight="1" x14ac:dyDescent="0.2">
      <c r="C17" s="253" t="s">
        <v>515</v>
      </c>
      <c r="F17" s="30">
        <f>F16*1000</f>
        <v>19000</v>
      </c>
      <c r="G17" s="170" t="s">
        <v>1364</v>
      </c>
      <c r="J17" s="29"/>
      <c r="L17" s="26"/>
      <c r="M17" s="170"/>
    </row>
    <row r="19" spans="1:16" ht="12.95" customHeight="1" x14ac:dyDescent="0.2">
      <c r="B19" s="253" t="s">
        <v>845</v>
      </c>
      <c r="F19" s="26">
        <f>params!$F$67/'Tables 3-4'!F21</f>
        <v>0.72467584131742191</v>
      </c>
      <c r="G19" s="170" t="s">
        <v>844</v>
      </c>
      <c r="I19"/>
      <c r="J19" s="170" t="s">
        <v>847</v>
      </c>
      <c r="O19"/>
      <c r="P19"/>
    </row>
    <row r="20" spans="1:16" ht="12.95" customHeight="1" x14ac:dyDescent="0.2">
      <c r="I20"/>
      <c r="O20"/>
      <c r="P20"/>
    </row>
    <row r="21" spans="1:16" ht="12.95" customHeight="1" x14ac:dyDescent="0.2">
      <c r="B21" s="253" t="s">
        <v>846</v>
      </c>
      <c r="F21" s="208">
        <v>952.9</v>
      </c>
      <c r="G21" s="170" t="s">
        <v>848</v>
      </c>
      <c r="I21"/>
      <c r="J21" s="170" t="s">
        <v>849</v>
      </c>
      <c r="O21"/>
      <c r="P21"/>
    </row>
    <row r="22" spans="1:16" ht="12.95" customHeight="1" x14ac:dyDescent="0.2">
      <c r="F22" s="26">
        <f>F21*lbTOMg</f>
        <v>0.43223544000000003</v>
      </c>
      <c r="G22" s="170" t="s">
        <v>844</v>
      </c>
      <c r="I22"/>
      <c r="J22" s="170"/>
      <c r="O22"/>
      <c r="P22"/>
    </row>
    <row r="23" spans="1:16" ht="12.95" customHeight="1" x14ac:dyDescent="0.2">
      <c r="F23" s="26"/>
      <c r="G23" s="170"/>
      <c r="I23" s="26"/>
      <c r="J23" s="170"/>
      <c r="O23"/>
      <c r="P23"/>
    </row>
    <row r="24" spans="1:16" ht="12.95" customHeight="1" x14ac:dyDescent="0.25">
      <c r="A24" s="85"/>
      <c r="B24" s="109" t="s">
        <v>1363</v>
      </c>
      <c r="C24" s="285"/>
      <c r="D24" s="285"/>
      <c r="E24" s="285"/>
      <c r="F24" s="285"/>
      <c r="G24" s="285"/>
      <c r="H24" s="285"/>
      <c r="I24" s="285"/>
      <c r="J24" s="285"/>
      <c r="K24" s="285"/>
      <c r="L24" s="285"/>
      <c r="M24" s="285"/>
      <c r="N24" s="285"/>
      <c r="O24"/>
      <c r="P24"/>
    </row>
    <row r="25" spans="1:16" ht="12.95" customHeight="1" x14ac:dyDescent="0.2">
      <c r="O25"/>
      <c r="P25"/>
    </row>
    <row r="26" spans="1:16" ht="3.95" customHeight="1" thickBot="1" x14ac:dyDescent="0.25">
      <c r="B26" s="21"/>
      <c r="C26" s="21"/>
      <c r="D26" s="21"/>
      <c r="E26" s="21"/>
      <c r="F26" s="21"/>
      <c r="G26" s="21"/>
      <c r="H26" s="21"/>
      <c r="I26" s="21"/>
      <c r="J26" s="21"/>
      <c r="K26" s="21"/>
      <c r="L26" s="21"/>
      <c r="M26" s="21"/>
      <c r="N26" s="21"/>
      <c r="O26"/>
      <c r="P26"/>
    </row>
    <row r="27" spans="1:16" ht="12.95" customHeight="1" x14ac:dyDescent="0.25">
      <c r="B27" s="264"/>
      <c r="C27" s="265"/>
      <c r="D27" s="265"/>
      <c r="E27" s="265"/>
      <c r="F27" s="266" t="s">
        <v>838</v>
      </c>
      <c r="G27" s="266"/>
      <c r="H27" s="266"/>
      <c r="I27" s="266"/>
      <c r="J27" s="266"/>
      <c r="K27" s="266"/>
      <c r="L27" s="266" t="s">
        <v>839</v>
      </c>
      <c r="M27" s="266"/>
      <c r="N27" s="266"/>
    </row>
    <row r="28" spans="1:16" ht="12.95" customHeight="1" x14ac:dyDescent="0.25">
      <c r="B28" s="274" t="s">
        <v>837</v>
      </c>
      <c r="C28" s="275"/>
      <c r="D28" s="275"/>
      <c r="E28" s="275"/>
      <c r="F28" s="234" t="s">
        <v>835</v>
      </c>
      <c r="G28" s="234"/>
      <c r="H28" s="234"/>
      <c r="I28" s="234" t="s">
        <v>1365</v>
      </c>
      <c r="J28" s="234"/>
      <c r="K28" s="234"/>
      <c r="L28" s="234" t="s">
        <v>836</v>
      </c>
      <c r="M28" s="234"/>
      <c r="N28" s="234"/>
    </row>
    <row r="29" spans="1:16" ht="18" customHeight="1" x14ac:dyDescent="0.2">
      <c r="B29" s="254" t="s">
        <v>833</v>
      </c>
      <c r="C29" s="229"/>
      <c r="D29" s="229"/>
      <c r="E29" s="229"/>
      <c r="F29" s="270">
        <v>0.29190672153635117</v>
      </c>
      <c r="G29" s="269" t="s">
        <v>843</v>
      </c>
      <c r="H29" s="272">
        <v>0.65679012345679011</v>
      </c>
      <c r="I29" s="360">
        <f>F29/($F$17*MJTOmmBtu)</f>
        <v>1.6195906721536351E-2</v>
      </c>
      <c r="J29" s="269" t="s">
        <v>843</v>
      </c>
      <c r="K29" s="361">
        <f>H29/($F$17*MJTOmmBtu)</f>
        <v>3.6440790123456794E-2</v>
      </c>
      <c r="L29" s="270">
        <v>0.16474975566377284</v>
      </c>
      <c r="M29" s="269" t="s">
        <v>843</v>
      </c>
      <c r="N29" s="272">
        <v>0.4268815145091242</v>
      </c>
    </row>
    <row r="30" spans="1:16" ht="18" customHeight="1" x14ac:dyDescent="0.2">
      <c r="B30" s="262" t="s">
        <v>570</v>
      </c>
      <c r="C30" s="263"/>
      <c r="D30" s="263"/>
      <c r="E30" s="263"/>
      <c r="F30" s="271">
        <v>0.37645870782451202</v>
      </c>
      <c r="G30" s="268" t="s">
        <v>843</v>
      </c>
      <c r="H30" s="273">
        <v>0.44210879999999997</v>
      </c>
      <c r="I30" s="360">
        <f>F30/($F$17*MJTOmmBtu)</f>
        <v>2.0887117927076006E-2</v>
      </c>
      <c r="J30" s="268" t="s">
        <v>843</v>
      </c>
      <c r="K30" s="362">
        <f>H30/($F$17*MJTOmmBtu)</f>
        <v>2.452959235705263E-2</v>
      </c>
      <c r="L30" s="271">
        <v>0.21247020214251722</v>
      </c>
      <c r="M30" s="268" t="s">
        <v>843</v>
      </c>
      <c r="N30" s="273">
        <v>0.28734913541102874</v>
      </c>
    </row>
    <row r="31" spans="1:16" ht="18" customHeight="1" x14ac:dyDescent="0.2">
      <c r="B31" s="254" t="s">
        <v>834</v>
      </c>
      <c r="C31" s="229"/>
      <c r="D31" s="229"/>
      <c r="E31" s="229"/>
      <c r="F31" s="270">
        <v>0.13602747343050764</v>
      </c>
      <c r="G31" s="267" t="s">
        <v>843</v>
      </c>
      <c r="H31" s="272">
        <v>0.73357024171273244</v>
      </c>
      <c r="I31" s="360">
        <f>F31/($F$17*MJTOmmBtu)</f>
        <v>7.5472337863669763E-3</v>
      </c>
      <c r="J31" s="267" t="s">
        <v>843</v>
      </c>
      <c r="K31" s="361">
        <f>H31/($F$17*MJTOmmBtu)</f>
        <v>4.070079354782781E-2</v>
      </c>
      <c r="L31" s="270">
        <v>7.6772788558230262E-2</v>
      </c>
      <c r="M31" s="267" t="s">
        <v>843</v>
      </c>
      <c r="N31" s="272">
        <v>0.4767848428246918</v>
      </c>
    </row>
    <row r="32" spans="1:16" ht="18" customHeight="1" x14ac:dyDescent="0.2">
      <c r="B32" s="254" t="s">
        <v>1340</v>
      </c>
      <c r="C32" s="229"/>
      <c r="D32" s="229"/>
      <c r="E32" s="229"/>
      <c r="F32" s="270">
        <v>8.7022167943952164E-2</v>
      </c>
      <c r="G32" s="267" t="s">
        <v>843</v>
      </c>
      <c r="H32" s="272">
        <v>0.1648841076832776</v>
      </c>
      <c r="I32" s="360">
        <f>F32/($F$17*MJTOmmBtu)</f>
        <v>4.8282646843766054E-3</v>
      </c>
      <c r="J32" s="267" t="s">
        <v>843</v>
      </c>
      <c r="K32" s="361">
        <f>H32/($F$17*MJTOmmBtu)</f>
        <v>9.1482909809240832E-3</v>
      </c>
      <c r="L32" s="270">
        <v>4.911459671308923E-2</v>
      </c>
      <c r="M32" s="267" t="s">
        <v>843</v>
      </c>
      <c r="N32" s="272">
        <v>0.1071666200397024</v>
      </c>
    </row>
    <row r="33" spans="2:14" ht="18" customHeight="1" thickBot="1" x14ac:dyDescent="0.25">
      <c r="B33" s="254" t="s">
        <v>935</v>
      </c>
      <c r="C33" s="229"/>
      <c r="D33" s="229"/>
      <c r="E33" s="229"/>
      <c r="F33" s="270"/>
      <c r="G33" s="267"/>
      <c r="H33" s="272"/>
      <c r="I33" s="270"/>
      <c r="J33" s="267"/>
      <c r="K33" s="272"/>
      <c r="L33" s="286">
        <f>SUM(L29:L32)</f>
        <v>0.50310734307760951</v>
      </c>
      <c r="M33" s="287" t="s">
        <v>843</v>
      </c>
      <c r="N33" s="288">
        <f>SUM(N29:N32)</f>
        <v>1.298182112784547</v>
      </c>
    </row>
    <row r="34" spans="2:14" ht="3.95" customHeight="1" x14ac:dyDescent="0.2">
      <c r="B34" s="228"/>
      <c r="C34" s="228"/>
      <c r="D34" s="228"/>
      <c r="E34" s="228"/>
      <c r="F34" s="228"/>
      <c r="G34" s="228"/>
      <c r="H34" s="228"/>
      <c r="I34" s="228"/>
      <c r="J34" s="228"/>
      <c r="K34" s="228"/>
      <c r="L34" s="228"/>
      <c r="M34" s="228"/>
      <c r="N34" s="228"/>
    </row>
  </sheetData>
  <hyperlinks>
    <hyperlink ref="B2" location="cover!B18" display="return to TOC" xr:uid="{FE9AEBE5-9215-49F6-A90B-D918D48D9E7B}"/>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B46C4-9E67-4161-8BC5-FB7242A60D8A}">
  <sheetPr published="0" codeName="Sheet25">
    <tabColor rgb="FF238B45"/>
  </sheetPr>
  <dimension ref="A1:P129"/>
  <sheetViews>
    <sheetView workbookViewId="0"/>
  </sheetViews>
  <sheetFormatPr defaultColWidth="10.83203125" defaultRowHeight="12.95" customHeight="1" x14ac:dyDescent="0.2"/>
  <cols>
    <col min="1" max="1" width="1.83203125" style="253" customWidth="1"/>
    <col min="2" max="4" width="2.83203125" style="253" customWidth="1"/>
    <col min="5" max="5" width="18.83203125" style="253" customWidth="1"/>
    <col min="6" max="8" width="8.83203125" style="253" customWidth="1"/>
    <col min="9" max="11" width="10.83203125" style="253" customWidth="1"/>
    <col min="12" max="16384" width="10.83203125" style="253"/>
  </cols>
  <sheetData>
    <row r="1" spans="1:16" ht="30" customHeight="1" x14ac:dyDescent="0.2">
      <c r="A1" s="255"/>
      <c r="B1" s="86" t="s">
        <v>1373</v>
      </c>
      <c r="C1" s="289"/>
      <c r="D1" s="289"/>
      <c r="E1" s="289"/>
      <c r="F1" s="289"/>
      <c r="G1" s="289"/>
      <c r="H1" s="289"/>
      <c r="I1" s="289"/>
      <c r="J1" s="289"/>
      <c r="K1" s="289"/>
    </row>
    <row r="2" spans="1:16" ht="12.95" customHeight="1" x14ac:dyDescent="0.2">
      <c r="A2" s="85"/>
      <c r="B2" s="81" t="s">
        <v>349</v>
      </c>
      <c r="C2" s="21"/>
      <c r="D2" s="21"/>
      <c r="E2" s="21"/>
      <c r="F2" s="21"/>
      <c r="G2" s="21"/>
      <c r="H2" s="21"/>
      <c r="I2" s="21"/>
      <c r="J2" s="21"/>
      <c r="K2" s="21"/>
    </row>
    <row r="3" spans="1:16" ht="12.95" customHeight="1" x14ac:dyDescent="0.2">
      <c r="A3" s="85"/>
      <c r="B3" s="81"/>
      <c r="C3" s="21"/>
      <c r="D3" s="21"/>
      <c r="E3" s="21"/>
      <c r="F3" s="21"/>
      <c r="G3" s="21"/>
      <c r="H3" s="21"/>
    </row>
    <row r="4" spans="1:16" ht="12.95" customHeight="1" x14ac:dyDescent="0.25">
      <c r="A4" s="85"/>
      <c r="B4" s="284" t="s">
        <v>1367</v>
      </c>
      <c r="C4" s="285"/>
      <c r="D4" s="285"/>
      <c r="E4" s="285"/>
      <c r="F4" s="285"/>
      <c r="G4" s="285"/>
      <c r="H4" s="285"/>
      <c r="I4" s="285"/>
      <c r="J4" s="285"/>
      <c r="K4" s="110"/>
      <c r="L4" s="110"/>
      <c r="M4" s="110"/>
      <c r="N4" s="110"/>
      <c r="O4" s="110"/>
      <c r="P4" s="111"/>
    </row>
    <row r="5" spans="1:16" ht="3.95" customHeight="1" thickBot="1" x14ac:dyDescent="0.25">
      <c r="B5" s="21"/>
      <c r="C5" s="21"/>
      <c r="D5" s="21"/>
      <c r="E5" s="21"/>
      <c r="F5" s="21"/>
      <c r="G5" s="21"/>
      <c r="H5" s="21"/>
    </row>
    <row r="6" spans="1:16" ht="12.95" customHeight="1" x14ac:dyDescent="0.25">
      <c r="B6" s="264"/>
      <c r="C6" s="265"/>
      <c r="D6" s="265"/>
      <c r="E6" s="265"/>
      <c r="F6" s="266" t="s">
        <v>937</v>
      </c>
      <c r="G6" s="266"/>
      <c r="H6" s="266"/>
    </row>
    <row r="7" spans="1:16" ht="12.95" customHeight="1" x14ac:dyDescent="0.25">
      <c r="B7" s="274" t="s">
        <v>837</v>
      </c>
      <c r="C7" s="275"/>
      <c r="D7" s="275"/>
      <c r="E7" s="275"/>
      <c r="F7" s="290" t="s">
        <v>841</v>
      </c>
      <c r="G7" s="290" t="s">
        <v>728</v>
      </c>
      <c r="H7" s="290" t="s">
        <v>842</v>
      </c>
    </row>
    <row r="8" spans="1:16" ht="18" customHeight="1" x14ac:dyDescent="0.2">
      <c r="B8" s="254" t="s">
        <v>833</v>
      </c>
      <c r="C8" s="229"/>
      <c r="D8" s="229"/>
      <c r="E8" s="229"/>
      <c r="F8" s="291">
        <f>'Table 6'!L29*1000</f>
        <v>164.74975566377285</v>
      </c>
      <c r="G8" s="292">
        <f>AVERAGE(F30,H30)</f>
        <v>295.81563508644854</v>
      </c>
      <c r="H8" s="230">
        <f>'Table 6'!N29*1000</f>
        <v>426.8815145091242</v>
      </c>
    </row>
    <row r="9" spans="1:16" ht="18" customHeight="1" x14ac:dyDescent="0.2">
      <c r="B9" s="262" t="s">
        <v>570</v>
      </c>
      <c r="C9" s="263"/>
      <c r="D9" s="263"/>
      <c r="E9" s="263"/>
      <c r="F9" s="291">
        <f>'Table 6'!L30*1000</f>
        <v>212.47020214251722</v>
      </c>
      <c r="G9" s="292">
        <f>AVERAGE(F31,H31)</f>
        <v>249.90966877677297</v>
      </c>
      <c r="H9" s="230">
        <f>'Table 6'!N30*1000</f>
        <v>287.34913541102873</v>
      </c>
    </row>
    <row r="10" spans="1:16" ht="18" customHeight="1" x14ac:dyDescent="0.2">
      <c r="B10" s="254" t="s">
        <v>938</v>
      </c>
      <c r="C10" s="229"/>
      <c r="D10" s="229"/>
      <c r="E10" s="229"/>
      <c r="F10" s="291">
        <f>1000*MAX(0,MIN('BECCS rollup'!$D$81:$AQ$81))</f>
        <v>86.888358370512023</v>
      </c>
      <c r="G10" s="292">
        <f ca="1">AVERAGE(INDIRECT("'BECCS rollup'!R81C3:R81C"&amp;2+M10,FALSE))*1000</f>
        <v>337.6525383183556</v>
      </c>
      <c r="H10" s="230">
        <f>MAX('BECCS rollup'!$D$81:$AQ$81)*1000</f>
        <v>446.15453983054249</v>
      </c>
      <c r="J10" s="294" t="s">
        <v>942</v>
      </c>
      <c r="M10" s="295">
        <f>_xlfn.IFNA(MATCH(TRUE,'BECCS rollup'!$D$82:$AQ$82,0),40)</f>
        <v>40</v>
      </c>
      <c r="N10" s="73"/>
    </row>
    <row r="11" spans="1:16" ht="18" customHeight="1" x14ac:dyDescent="0.2">
      <c r="B11" s="262" t="s">
        <v>1340</v>
      </c>
      <c r="C11" s="263"/>
      <c r="D11" s="263"/>
      <c r="E11" s="263"/>
      <c r="F11" s="291">
        <f>'Table 6'!L32*1000</f>
        <v>49.114596713089227</v>
      </c>
      <c r="G11" s="292">
        <f>AVERAGE(F33,H33)</f>
        <v>78.140608376395818</v>
      </c>
      <c r="H11" s="230">
        <f>'Table 6'!N32*1000</f>
        <v>107.16662003970239</v>
      </c>
    </row>
    <row r="12" spans="1:16" ht="18" customHeight="1" thickBot="1" x14ac:dyDescent="0.25">
      <c r="B12" s="254" t="s">
        <v>935</v>
      </c>
      <c r="C12" s="229"/>
      <c r="D12" s="229"/>
      <c r="E12" s="229"/>
      <c r="F12" s="293">
        <f>SUM(F30:F33)</f>
        <v>513.22291288989129</v>
      </c>
      <c r="G12" s="293">
        <f>SUM(G30:G33)</f>
        <v>961.51845055797287</v>
      </c>
      <c r="H12" s="293">
        <f>SUM(H30:H33)</f>
        <v>1335.1869394987514</v>
      </c>
    </row>
    <row r="13" spans="1:16" ht="3.95" customHeight="1" x14ac:dyDescent="0.2">
      <c r="B13" s="228"/>
      <c r="C13" s="228"/>
      <c r="D13" s="228"/>
      <c r="E13" s="228"/>
      <c r="F13" s="228"/>
      <c r="G13" s="228"/>
      <c r="H13" s="228"/>
    </row>
    <row r="14" spans="1:16" ht="12.95" customHeight="1" x14ac:dyDescent="0.2">
      <c r="A14" s="85"/>
      <c r="B14" s="81"/>
      <c r="C14" s="21"/>
      <c r="D14" s="21"/>
      <c r="E14" s="21"/>
      <c r="F14" s="21"/>
      <c r="G14" s="21"/>
      <c r="H14" s="21"/>
    </row>
    <row r="15" spans="1:16" ht="12.95" customHeight="1" x14ac:dyDescent="0.25">
      <c r="A15" s="85"/>
      <c r="B15" s="284" t="s">
        <v>1368</v>
      </c>
      <c r="C15" s="285"/>
      <c r="D15" s="285"/>
      <c r="E15" s="285"/>
      <c r="F15" s="285"/>
      <c r="G15" s="285"/>
      <c r="H15" s="285"/>
      <c r="I15" s="285"/>
      <c r="J15" s="285"/>
      <c r="K15" s="110"/>
      <c r="L15" s="110"/>
      <c r="M15" s="110"/>
      <c r="N15" s="110"/>
      <c r="O15" s="110"/>
      <c r="P15" s="111"/>
    </row>
    <row r="16" spans="1:16" ht="3.95" customHeight="1" thickBot="1" x14ac:dyDescent="0.25">
      <c r="B16" s="21"/>
      <c r="C16" s="21"/>
      <c r="D16" s="21"/>
      <c r="E16" s="21"/>
      <c r="F16" s="21"/>
      <c r="G16" s="21"/>
      <c r="H16" s="21"/>
    </row>
    <row r="17" spans="1:16" ht="12.95" customHeight="1" x14ac:dyDescent="0.25">
      <c r="B17" s="264"/>
      <c r="C17" s="265"/>
      <c r="D17" s="265"/>
      <c r="E17" s="265"/>
      <c r="F17" s="266" t="s">
        <v>937</v>
      </c>
      <c r="G17" s="266"/>
      <c r="H17" s="266"/>
    </row>
    <row r="18" spans="1:16" ht="12.95" customHeight="1" x14ac:dyDescent="0.25">
      <c r="B18" s="274" t="s">
        <v>837</v>
      </c>
      <c r="C18" s="275"/>
      <c r="D18" s="275"/>
      <c r="E18" s="275"/>
      <c r="F18" s="290" t="s">
        <v>841</v>
      </c>
      <c r="G18" s="290" t="s">
        <v>728</v>
      </c>
      <c r="H18" s="290" t="s">
        <v>842</v>
      </c>
    </row>
    <row r="19" spans="1:16" ht="18" customHeight="1" x14ac:dyDescent="0.2">
      <c r="B19" s="254" t="s">
        <v>833</v>
      </c>
      <c r="C19" s="229"/>
      <c r="D19" s="229"/>
      <c r="E19" s="229"/>
      <c r="F19" s="291">
        <f t="shared" ref="F19:H20" si="0">F30</f>
        <v>164.74975566377285</v>
      </c>
      <c r="G19" s="291">
        <f t="shared" si="0"/>
        <v>295.81563508644854</v>
      </c>
      <c r="H19" s="291">
        <f t="shared" si="0"/>
        <v>426.8815145091242</v>
      </c>
    </row>
    <row r="20" spans="1:16" ht="18" customHeight="1" x14ac:dyDescent="0.2">
      <c r="B20" s="262" t="s">
        <v>570</v>
      </c>
      <c r="C20" s="263"/>
      <c r="D20" s="263"/>
      <c r="E20" s="263"/>
      <c r="F20" s="291">
        <f t="shared" si="0"/>
        <v>212.47020214251722</v>
      </c>
      <c r="G20" s="291">
        <f t="shared" si="0"/>
        <v>249.90966877677297</v>
      </c>
      <c r="H20" s="291">
        <f t="shared" si="0"/>
        <v>287.34913541102873</v>
      </c>
    </row>
    <row r="21" spans="1:16" ht="18" customHeight="1" x14ac:dyDescent="0.2">
      <c r="B21" s="254" t="s">
        <v>938</v>
      </c>
      <c r="C21" s="229"/>
      <c r="D21" s="229"/>
      <c r="E21" s="229"/>
      <c r="F21" s="291">
        <f ca="1">1000*MAX(0,MIN('BECCS rollup'!$D$86:$AQ$86))</f>
        <v>0</v>
      </c>
      <c r="G21" s="292">
        <f ca="1">AVERAGE(INDIRECT("'BECCS rollup'!R86C3:R86C"&amp;2+M21,FALSE))*1000</f>
        <v>323.00649537367451</v>
      </c>
      <c r="H21" s="230">
        <f ca="1">MAX('BECCS rollup'!$D$86:$AQ$86)*1000</f>
        <v>798.5959535668336</v>
      </c>
      <c r="J21" s="294" t="s">
        <v>942</v>
      </c>
      <c r="M21" s="295">
        <f ca="1">_xlfn.IFNA(MATCH(TRUE,'BECCS rollup'!$D$87:$AQ$87,0),40)</f>
        <v>29</v>
      </c>
    </row>
    <row r="22" spans="1:16" ht="18" customHeight="1" x14ac:dyDescent="0.2">
      <c r="B22" s="262" t="s">
        <v>1340</v>
      </c>
      <c r="C22" s="263"/>
      <c r="D22" s="263"/>
      <c r="E22" s="263"/>
      <c r="F22" s="291">
        <f>F33</f>
        <v>49.114596713089227</v>
      </c>
      <c r="G22" s="291">
        <f>G33</f>
        <v>78.140608376395818</v>
      </c>
      <c r="H22" s="291">
        <f>H33</f>
        <v>107.16662003970239</v>
      </c>
    </row>
    <row r="23" spans="1:16" ht="18" customHeight="1" thickBot="1" x14ac:dyDescent="0.25">
      <c r="B23" s="254" t="s">
        <v>935</v>
      </c>
      <c r="C23" s="229"/>
      <c r="D23" s="229"/>
      <c r="E23" s="229"/>
      <c r="F23" s="293">
        <f>SUM(F41:F44)</f>
        <v>426.33455451937925</v>
      </c>
      <c r="G23" s="293">
        <f>SUM(G41:G44)</f>
        <v>946.87240761329178</v>
      </c>
      <c r="H23" s="293">
        <f>SUM(H41:H44)</f>
        <v>1741.0569718067675</v>
      </c>
    </row>
    <row r="24" spans="1:16" ht="3.95" customHeight="1" x14ac:dyDescent="0.2">
      <c r="B24" s="228"/>
      <c r="C24" s="228"/>
      <c r="D24" s="228"/>
      <c r="E24" s="228"/>
      <c r="F24" s="228"/>
      <c r="G24" s="228"/>
      <c r="H24" s="228"/>
    </row>
    <row r="25" spans="1:16" ht="12.95" customHeight="1" x14ac:dyDescent="0.2">
      <c r="A25" s="85"/>
      <c r="B25" s="81"/>
      <c r="C25" s="21"/>
      <c r="D25" s="21"/>
      <c r="E25" s="21"/>
      <c r="F25" s="21"/>
      <c r="G25" s="21"/>
      <c r="H25" s="21"/>
      <c r="I25"/>
      <c r="J25"/>
      <c r="K25"/>
    </row>
    <row r="26" spans="1:16" ht="12.95" customHeight="1" x14ac:dyDescent="0.25">
      <c r="A26" s="85"/>
      <c r="B26" s="284" t="s">
        <v>1369</v>
      </c>
      <c r="C26" s="285"/>
      <c r="D26" s="285"/>
      <c r="E26" s="285"/>
      <c r="F26" s="285"/>
      <c r="G26" s="285"/>
      <c r="H26" s="285"/>
      <c r="I26" s="285"/>
      <c r="J26" s="285"/>
      <c r="K26" s="110"/>
      <c r="L26" s="110"/>
      <c r="M26" s="110"/>
      <c r="N26" s="110"/>
      <c r="O26" s="110"/>
      <c r="P26" s="111"/>
    </row>
    <row r="27" spans="1:16" ht="3.95" customHeight="1" thickBot="1" x14ac:dyDescent="0.25">
      <c r="B27" s="21"/>
      <c r="C27" s="21"/>
      <c r="D27" s="21"/>
      <c r="E27" s="21"/>
      <c r="F27" s="21"/>
      <c r="G27" s="21"/>
      <c r="H27" s="21"/>
      <c r="I27"/>
      <c r="J27"/>
      <c r="K27"/>
    </row>
    <row r="28" spans="1:16" ht="12.95" customHeight="1" x14ac:dyDescent="0.25">
      <c r="B28" s="264"/>
      <c r="C28" s="265"/>
      <c r="D28" s="265"/>
      <c r="E28" s="265"/>
      <c r="F28" s="266" t="s">
        <v>937</v>
      </c>
      <c r="G28" s="266"/>
      <c r="H28" s="266"/>
      <c r="I28"/>
      <c r="J28"/>
      <c r="K28"/>
    </row>
    <row r="29" spans="1:16" ht="12.95" customHeight="1" x14ac:dyDescent="0.25">
      <c r="B29" s="274" t="s">
        <v>837</v>
      </c>
      <c r="C29" s="275"/>
      <c r="D29" s="275"/>
      <c r="E29" s="275"/>
      <c r="F29" s="290" t="s">
        <v>841</v>
      </c>
      <c r="G29" s="290" t="s">
        <v>728</v>
      </c>
      <c r="H29" s="290" t="s">
        <v>842</v>
      </c>
      <c r="I29"/>
      <c r="J29"/>
      <c r="K29"/>
    </row>
    <row r="30" spans="1:16" ht="18" customHeight="1" x14ac:dyDescent="0.2">
      <c r="B30" s="254" t="s">
        <v>833</v>
      </c>
      <c r="C30" s="229"/>
      <c r="D30" s="229"/>
      <c r="E30" s="229"/>
      <c r="F30" s="291">
        <f t="shared" ref="F30:H31" si="1">F8</f>
        <v>164.74975566377285</v>
      </c>
      <c r="G30" s="292">
        <f t="shared" si="1"/>
        <v>295.81563508644854</v>
      </c>
      <c r="H30" s="230">
        <f t="shared" si="1"/>
        <v>426.8815145091242</v>
      </c>
      <c r="I30"/>
      <c r="J30"/>
      <c r="K30"/>
    </row>
    <row r="31" spans="1:16" ht="18" customHeight="1" x14ac:dyDescent="0.2">
      <c r="B31" s="262" t="s">
        <v>570</v>
      </c>
      <c r="C31" s="263"/>
      <c r="D31" s="263"/>
      <c r="E31" s="263"/>
      <c r="F31" s="291">
        <f t="shared" si="1"/>
        <v>212.47020214251722</v>
      </c>
      <c r="G31" s="292">
        <f t="shared" si="1"/>
        <v>249.90966877677297</v>
      </c>
      <c r="H31" s="230">
        <f t="shared" si="1"/>
        <v>287.34913541102873</v>
      </c>
      <c r="I31"/>
      <c r="J31"/>
      <c r="K31"/>
    </row>
    <row r="32" spans="1:16" ht="18" customHeight="1" x14ac:dyDescent="0.2">
      <c r="B32" s="254" t="s">
        <v>938</v>
      </c>
      <c r="C32" s="229"/>
      <c r="D32" s="229"/>
      <c r="E32" s="229"/>
      <c r="F32" s="291">
        <v>86.888358370512023</v>
      </c>
      <c r="G32" s="292">
        <v>337.6525383183556</v>
      </c>
      <c r="H32" s="230">
        <v>513.78966953889608</v>
      </c>
      <c r="I32"/>
      <c r="J32" s="294" t="s">
        <v>1374</v>
      </c>
      <c r="K32"/>
      <c r="M32" s="295"/>
      <c r="N32" s="73"/>
    </row>
    <row r="33" spans="1:16" ht="18" customHeight="1" x14ac:dyDescent="0.2">
      <c r="B33" s="262" t="s">
        <v>1340</v>
      </c>
      <c r="C33" s="263"/>
      <c r="D33" s="263"/>
      <c r="E33" s="263"/>
      <c r="F33" s="291">
        <f>F11</f>
        <v>49.114596713089227</v>
      </c>
      <c r="G33" s="292">
        <f>G11</f>
        <v>78.140608376395818</v>
      </c>
      <c r="H33" s="230">
        <f>H11</f>
        <v>107.16662003970239</v>
      </c>
    </row>
    <row r="34" spans="1:16" ht="18" customHeight="1" thickBot="1" x14ac:dyDescent="0.25">
      <c r="B34" s="254" t="s">
        <v>935</v>
      </c>
      <c r="C34" s="229"/>
      <c r="D34" s="229"/>
      <c r="E34" s="229"/>
      <c r="F34" s="293">
        <f>SUM(F30:F33)</f>
        <v>513.22291288989129</v>
      </c>
      <c r="G34" s="293">
        <f>SUM(G30:G33)</f>
        <v>961.51845055797287</v>
      </c>
      <c r="H34" s="293">
        <f>SUM(H30:H33)</f>
        <v>1335.1869394987514</v>
      </c>
      <c r="I34"/>
      <c r="J34"/>
      <c r="K34"/>
      <c r="L34"/>
    </row>
    <row r="35" spans="1:16" ht="3.95" customHeight="1" x14ac:dyDescent="0.2">
      <c r="B35" s="228"/>
      <c r="C35" s="228"/>
      <c r="D35" s="228"/>
      <c r="E35" s="228"/>
      <c r="F35" s="228"/>
      <c r="G35" s="228"/>
      <c r="H35" s="228"/>
      <c r="I35"/>
      <c r="J35"/>
      <c r="K35"/>
      <c r="L35"/>
    </row>
    <row r="36" spans="1:16" ht="12.95" customHeight="1" x14ac:dyDescent="0.2">
      <c r="A36" s="85"/>
      <c r="B36" s="81"/>
      <c r="C36" s="21"/>
      <c r="D36" s="21"/>
      <c r="E36" s="21"/>
      <c r="F36" s="21"/>
      <c r="G36" s="21"/>
      <c r="H36" s="21"/>
    </row>
    <row r="37" spans="1:16" ht="12.95" customHeight="1" x14ac:dyDescent="0.25">
      <c r="A37" s="85"/>
      <c r="B37" s="284" t="s">
        <v>1370</v>
      </c>
      <c r="C37" s="285"/>
      <c r="D37" s="285"/>
      <c r="E37" s="285"/>
      <c r="F37" s="285"/>
      <c r="G37" s="285"/>
      <c r="H37" s="285"/>
      <c r="I37" s="285"/>
      <c r="J37" s="285"/>
      <c r="K37" s="110"/>
      <c r="L37" s="110"/>
      <c r="M37" s="110"/>
      <c r="N37" s="110"/>
      <c r="O37" s="110"/>
      <c r="P37" s="111"/>
    </row>
    <row r="38" spans="1:16" ht="3.95" customHeight="1" thickBot="1" x14ac:dyDescent="0.25">
      <c r="B38" s="21"/>
      <c r="C38" s="21"/>
      <c r="D38" s="21"/>
      <c r="E38" s="21"/>
      <c r="F38" s="21"/>
      <c r="G38" s="21"/>
      <c r="H38" s="21"/>
    </row>
    <row r="39" spans="1:16" ht="12.95" customHeight="1" x14ac:dyDescent="0.25">
      <c r="B39" s="264"/>
      <c r="C39" s="265"/>
      <c r="D39" s="265"/>
      <c r="E39" s="265"/>
      <c r="F39" s="266" t="s">
        <v>937</v>
      </c>
      <c r="G39" s="266"/>
      <c r="H39" s="266"/>
    </row>
    <row r="40" spans="1:16" ht="12.95" customHeight="1" x14ac:dyDescent="0.25">
      <c r="B40" s="274" t="s">
        <v>837</v>
      </c>
      <c r="C40" s="275"/>
      <c r="D40" s="275"/>
      <c r="E40" s="275"/>
      <c r="F40" s="290" t="s">
        <v>841</v>
      </c>
      <c r="G40" s="290" t="s">
        <v>728</v>
      </c>
      <c r="H40" s="290" t="s">
        <v>842</v>
      </c>
    </row>
    <row r="41" spans="1:16" ht="18" customHeight="1" x14ac:dyDescent="0.2">
      <c r="B41" s="254" t="s">
        <v>833</v>
      </c>
      <c r="C41" s="229"/>
      <c r="D41" s="229"/>
      <c r="E41" s="229"/>
      <c r="F41" s="291">
        <f t="shared" ref="F41:H42" si="2">F19</f>
        <v>164.74975566377285</v>
      </c>
      <c r="G41" s="291">
        <f t="shared" si="2"/>
        <v>295.81563508644854</v>
      </c>
      <c r="H41" s="291">
        <f t="shared" si="2"/>
        <v>426.8815145091242</v>
      </c>
    </row>
    <row r="42" spans="1:16" ht="18" customHeight="1" x14ac:dyDescent="0.2">
      <c r="B42" s="262" t="s">
        <v>570</v>
      </c>
      <c r="C42" s="263"/>
      <c r="D42" s="263"/>
      <c r="E42" s="263"/>
      <c r="F42" s="291">
        <f t="shared" si="2"/>
        <v>212.47020214251722</v>
      </c>
      <c r="G42" s="291">
        <f t="shared" si="2"/>
        <v>249.90966877677297</v>
      </c>
      <c r="H42" s="291">
        <f t="shared" si="2"/>
        <v>287.34913541102873</v>
      </c>
    </row>
    <row r="43" spans="1:16" ht="18" customHeight="1" x14ac:dyDescent="0.2">
      <c r="B43" s="254" t="s">
        <v>938</v>
      </c>
      <c r="C43" s="229"/>
      <c r="D43" s="229"/>
      <c r="E43" s="229"/>
      <c r="F43" s="291">
        <v>0</v>
      </c>
      <c r="G43" s="292">
        <v>323.00649537367451</v>
      </c>
      <c r="H43" s="230">
        <v>919.65970184691207</v>
      </c>
      <c r="J43" s="294" t="s">
        <v>1375</v>
      </c>
      <c r="M43" s="295"/>
      <c r="N43" s="73"/>
    </row>
    <row r="44" spans="1:16" ht="18" customHeight="1" x14ac:dyDescent="0.2">
      <c r="B44" s="262" t="s">
        <v>1340</v>
      </c>
      <c r="C44" s="263"/>
      <c r="D44" s="263"/>
      <c r="E44" s="263"/>
      <c r="F44" s="291">
        <f>F22</f>
        <v>49.114596713089227</v>
      </c>
      <c r="G44" s="291">
        <f>G22</f>
        <v>78.140608376395818</v>
      </c>
      <c r="H44" s="291">
        <f>H22</f>
        <v>107.16662003970239</v>
      </c>
    </row>
    <row r="45" spans="1:16" ht="18" customHeight="1" thickBot="1" x14ac:dyDescent="0.25">
      <c r="B45" s="254" t="s">
        <v>935</v>
      </c>
      <c r="C45" s="229"/>
      <c r="D45" s="229"/>
      <c r="E45" s="229"/>
      <c r="F45" s="293">
        <f>SUM(F41:F44)</f>
        <v>426.33455451937925</v>
      </c>
      <c r="G45" s="293">
        <f>SUM(G41:G44)</f>
        <v>946.87240761329178</v>
      </c>
      <c r="H45" s="293">
        <f>SUM(H41:H44)</f>
        <v>1741.0569718067675</v>
      </c>
    </row>
    <row r="46" spans="1:16" ht="3.95" customHeight="1" x14ac:dyDescent="0.2">
      <c r="B46" s="228"/>
      <c r="C46" s="228"/>
      <c r="D46" s="228"/>
      <c r="E46" s="228"/>
      <c r="F46" s="228"/>
      <c r="G46" s="228"/>
      <c r="H46" s="228"/>
    </row>
    <row r="47" spans="1:16" ht="12.95" customHeight="1" x14ac:dyDescent="0.2">
      <c r="A47" s="85"/>
      <c r="B47" s="81"/>
      <c r="C47" s="21"/>
      <c r="D47" s="21"/>
      <c r="E47" s="21"/>
      <c r="F47" s="21"/>
      <c r="G47" s="21"/>
      <c r="H47" s="21"/>
    </row>
    <row r="48" spans="1:16" ht="12.95" customHeight="1" x14ac:dyDescent="0.25">
      <c r="A48" s="85"/>
      <c r="B48" s="284" t="s">
        <v>1371</v>
      </c>
      <c r="C48" s="285"/>
      <c r="D48" s="285"/>
      <c r="E48" s="285"/>
      <c r="F48" s="285"/>
      <c r="G48" s="285"/>
      <c r="H48" s="285"/>
      <c r="I48" s="285"/>
      <c r="J48" s="285"/>
      <c r="K48" s="110"/>
      <c r="L48" s="110"/>
      <c r="M48" s="110"/>
      <c r="N48" s="110"/>
      <c r="O48" s="110"/>
      <c r="P48" s="111"/>
    </row>
    <row r="49" spans="1:16" ht="3.95" customHeight="1" thickBot="1" x14ac:dyDescent="0.25">
      <c r="B49" s="21"/>
      <c r="C49" s="21"/>
      <c r="D49" s="21"/>
      <c r="E49" s="21"/>
      <c r="F49" s="21"/>
      <c r="G49" s="21"/>
      <c r="H49" s="21"/>
    </row>
    <row r="50" spans="1:16" ht="12.95" customHeight="1" x14ac:dyDescent="0.25">
      <c r="B50" s="264"/>
      <c r="C50" s="265"/>
      <c r="D50" s="265"/>
      <c r="E50" s="265"/>
      <c r="F50" s="266" t="s">
        <v>937</v>
      </c>
      <c r="G50" s="266"/>
      <c r="H50" s="266"/>
    </row>
    <row r="51" spans="1:16" ht="12.95" customHeight="1" x14ac:dyDescent="0.25">
      <c r="B51" s="274" t="s">
        <v>837</v>
      </c>
      <c r="C51" s="275"/>
      <c r="D51" s="275"/>
      <c r="E51" s="275"/>
      <c r="F51" s="290" t="s">
        <v>841</v>
      </c>
      <c r="G51" s="290" t="s">
        <v>728</v>
      </c>
      <c r="H51" s="290" t="s">
        <v>842</v>
      </c>
    </row>
    <row r="52" spans="1:16" ht="18" customHeight="1" x14ac:dyDescent="0.2">
      <c r="B52" s="254" t="s">
        <v>833</v>
      </c>
      <c r="C52" s="229"/>
      <c r="D52" s="229"/>
      <c r="E52" s="229"/>
      <c r="F52" s="291">
        <f t="shared" ref="F52:H55" si="3">F30*(F$34-F$56)/F$34</f>
        <v>127.71298888664563</v>
      </c>
      <c r="G52" s="292">
        <f t="shared" si="3"/>
        <v>229.31444580344845</v>
      </c>
      <c r="H52" s="230">
        <f t="shared" si="3"/>
        <v>330.91590272025132</v>
      </c>
    </row>
    <row r="53" spans="1:16" ht="18" customHeight="1" x14ac:dyDescent="0.2">
      <c r="B53" s="262" t="s">
        <v>570</v>
      </c>
      <c r="C53" s="263"/>
      <c r="D53" s="263"/>
      <c r="E53" s="263"/>
      <c r="F53" s="291">
        <f t="shared" si="3"/>
        <v>164.70558305621492</v>
      </c>
      <c r="G53" s="292">
        <f t="shared" si="3"/>
        <v>193.72842540835114</v>
      </c>
      <c r="H53" s="230">
        <f t="shared" si="3"/>
        <v>222.75126776048739</v>
      </c>
    </row>
    <row r="54" spans="1:16" ht="18" customHeight="1" x14ac:dyDescent="0.2">
      <c r="B54" s="254" t="s">
        <v>938</v>
      </c>
      <c r="C54" s="229"/>
      <c r="D54" s="229"/>
      <c r="E54" s="229"/>
      <c r="F54" s="291">
        <f t="shared" si="3"/>
        <v>67.35531656628838</v>
      </c>
      <c r="G54" s="292">
        <f t="shared" si="3"/>
        <v>261.74615373515934</v>
      </c>
      <c r="H54" s="230">
        <f t="shared" si="3"/>
        <v>398.28656553402794</v>
      </c>
      <c r="J54" s="294"/>
      <c r="M54" s="295"/>
      <c r="N54" s="73"/>
    </row>
    <row r="55" spans="1:16" ht="18" customHeight="1" x14ac:dyDescent="0.2">
      <c r="B55" s="262" t="s">
        <v>1340</v>
      </c>
      <c r="C55" s="263"/>
      <c r="D55" s="263"/>
      <c r="E55" s="263"/>
      <c r="F55" s="291">
        <f t="shared" si="3"/>
        <v>38.073330785340488</v>
      </c>
      <c r="G55" s="292">
        <f t="shared" si="3"/>
        <v>60.574115020461875</v>
      </c>
      <c r="H55" s="230">
        <f t="shared" si="3"/>
        <v>83.074899255583247</v>
      </c>
    </row>
    <row r="56" spans="1:16" ht="18" customHeight="1" x14ac:dyDescent="0.2">
      <c r="B56" s="262" t="s">
        <v>1366</v>
      </c>
      <c r="C56" s="263"/>
      <c r="D56" s="263"/>
      <c r="E56" s="263"/>
      <c r="F56" s="291">
        <f>F34*dashboard!$C$8/(1+dashboard!$C$8)</f>
        <v>115.37569359540191</v>
      </c>
      <c r="G56" s="291">
        <f>G34*dashboard!$C$8/(1+dashboard!$C$8)</f>
        <v>216.15531059055203</v>
      </c>
      <c r="H56" s="291">
        <f>H34*dashboard!$C$8/(1+dashboard!$C$8)</f>
        <v>300.15830422840145</v>
      </c>
    </row>
    <row r="57" spans="1:16" ht="18" customHeight="1" thickBot="1" x14ac:dyDescent="0.25">
      <c r="B57" s="254" t="s">
        <v>935</v>
      </c>
      <c r="C57" s="229"/>
      <c r="D57" s="229"/>
      <c r="E57" s="229"/>
      <c r="F57" s="293">
        <f>SUM(F52:F56)</f>
        <v>513.2229128898914</v>
      </c>
      <c r="G57" s="293">
        <f>SUM(G52:G56)</f>
        <v>961.51845055797298</v>
      </c>
      <c r="H57" s="293">
        <f>SUM(H52:H56)</f>
        <v>1335.1869394987514</v>
      </c>
    </row>
    <row r="58" spans="1:16" ht="3.95" customHeight="1" x14ac:dyDescent="0.2">
      <c r="B58" s="228"/>
      <c r="C58" s="228"/>
      <c r="D58" s="228"/>
      <c r="E58" s="228"/>
      <c r="F58" s="228"/>
      <c r="G58" s="228"/>
      <c r="H58" s="228"/>
    </row>
    <row r="59" spans="1:16" ht="12.95" customHeight="1" x14ac:dyDescent="0.2">
      <c r="A59" s="85"/>
      <c r="B59" s="81"/>
      <c r="C59" s="21"/>
      <c r="D59" s="21"/>
      <c r="E59" s="21"/>
      <c r="F59" s="21"/>
      <c r="G59" s="21"/>
      <c r="H59" s="21"/>
    </row>
    <row r="60" spans="1:16" ht="12.95" customHeight="1" x14ac:dyDescent="0.25">
      <c r="A60" s="85"/>
      <c r="B60" s="284" t="s">
        <v>1372</v>
      </c>
      <c r="C60" s="285"/>
      <c r="D60" s="285"/>
      <c r="E60" s="285"/>
      <c r="F60" s="285"/>
      <c r="G60" s="285"/>
      <c r="H60" s="285"/>
      <c r="I60" s="285"/>
      <c r="J60" s="285"/>
      <c r="K60" s="110"/>
      <c r="L60" s="110"/>
      <c r="M60" s="110"/>
      <c r="N60" s="110"/>
      <c r="O60" s="110"/>
      <c r="P60" s="111"/>
    </row>
    <row r="61" spans="1:16" ht="3.95" customHeight="1" thickBot="1" x14ac:dyDescent="0.25">
      <c r="B61" s="21"/>
      <c r="C61" s="21"/>
      <c r="D61" s="21"/>
      <c r="E61" s="21"/>
      <c r="F61" s="21"/>
      <c r="G61" s="21"/>
      <c r="H61" s="21"/>
    </row>
    <row r="62" spans="1:16" ht="12.95" customHeight="1" x14ac:dyDescent="0.25">
      <c r="B62" s="264"/>
      <c r="C62" s="265"/>
      <c r="D62" s="265"/>
      <c r="E62" s="265"/>
      <c r="F62" s="266" t="s">
        <v>937</v>
      </c>
      <c r="G62" s="266"/>
      <c r="H62" s="266"/>
    </row>
    <row r="63" spans="1:16" ht="12.95" customHeight="1" x14ac:dyDescent="0.25">
      <c r="B63" s="274" t="s">
        <v>837</v>
      </c>
      <c r="C63" s="275"/>
      <c r="D63" s="275"/>
      <c r="E63" s="275"/>
      <c r="F63" s="290" t="s">
        <v>841</v>
      </c>
      <c r="G63" s="290" t="s">
        <v>728</v>
      </c>
      <c r="H63" s="290" t="s">
        <v>842</v>
      </c>
    </row>
    <row r="64" spans="1:16" ht="18" customHeight="1" x14ac:dyDescent="0.2">
      <c r="B64" s="254" t="s">
        <v>833</v>
      </c>
      <c r="C64" s="229"/>
      <c r="D64" s="229"/>
      <c r="E64" s="229"/>
      <c r="F64" s="291">
        <f t="shared" ref="F64:H67" si="4">F41*(F$45-F$68)/F$45</f>
        <v>127.71298888664562</v>
      </c>
      <c r="G64" s="292">
        <f t="shared" si="4"/>
        <v>229.31444580344851</v>
      </c>
      <c r="H64" s="230">
        <f t="shared" si="4"/>
        <v>330.91590272025132</v>
      </c>
    </row>
    <row r="65" spans="1:16" ht="18" customHeight="1" x14ac:dyDescent="0.2">
      <c r="B65" s="262" t="s">
        <v>570</v>
      </c>
      <c r="C65" s="263"/>
      <c r="D65" s="263"/>
      <c r="E65" s="263"/>
      <c r="F65" s="291">
        <f t="shared" si="4"/>
        <v>164.70558305621492</v>
      </c>
      <c r="G65" s="292">
        <f t="shared" si="4"/>
        <v>193.72842540835114</v>
      </c>
      <c r="H65" s="230">
        <f t="shared" si="4"/>
        <v>222.75126776048739</v>
      </c>
    </row>
    <row r="66" spans="1:16" ht="18" customHeight="1" x14ac:dyDescent="0.2">
      <c r="B66" s="254" t="s">
        <v>938</v>
      </c>
      <c r="C66" s="229"/>
      <c r="D66" s="229"/>
      <c r="E66" s="229"/>
      <c r="F66" s="291">
        <f t="shared" si="4"/>
        <v>0</v>
      </c>
      <c r="G66" s="292">
        <f t="shared" si="4"/>
        <v>250.39263207261592</v>
      </c>
      <c r="H66" s="230">
        <f t="shared" si="4"/>
        <v>712.91449755574581</v>
      </c>
      <c r="J66" s="294"/>
      <c r="M66" s="295"/>
    </row>
    <row r="67" spans="1:16" ht="18" customHeight="1" x14ac:dyDescent="0.2">
      <c r="B67" s="262" t="s">
        <v>1340</v>
      </c>
      <c r="C67" s="263"/>
      <c r="D67" s="263"/>
      <c r="E67" s="263"/>
      <c r="F67" s="291">
        <f t="shared" si="4"/>
        <v>38.073330785340495</v>
      </c>
      <c r="G67" s="292">
        <f t="shared" si="4"/>
        <v>60.574115020461882</v>
      </c>
      <c r="H67" s="230">
        <f t="shared" si="4"/>
        <v>83.074899255583261</v>
      </c>
    </row>
    <row r="68" spans="1:16" ht="18" customHeight="1" x14ac:dyDescent="0.2">
      <c r="B68" s="262" t="s">
        <v>1366</v>
      </c>
      <c r="C68" s="263"/>
      <c r="D68" s="263"/>
      <c r="E68" s="263"/>
      <c r="F68" s="291">
        <f>F45*dashboard!$C$8/(1+dashboard!$C$8)</f>
        <v>95.84265179117827</v>
      </c>
      <c r="G68" s="291">
        <f>G45*dashboard!$C$8/(1+dashboard!$C$8)</f>
        <v>212.86278930841439</v>
      </c>
      <c r="H68" s="291">
        <f>H45*dashboard!$C$8/(1+dashboard!$C$8)</f>
        <v>391.40040451469963</v>
      </c>
    </row>
    <row r="69" spans="1:16" ht="18" customHeight="1" thickBot="1" x14ac:dyDescent="0.25">
      <c r="B69" s="254" t="s">
        <v>935</v>
      </c>
      <c r="C69" s="229"/>
      <c r="D69" s="229"/>
      <c r="E69" s="229"/>
      <c r="F69" s="293">
        <f>SUM(F64:F68)</f>
        <v>426.33455451937925</v>
      </c>
      <c r="G69" s="293">
        <f>SUM(G64:G68)</f>
        <v>946.8724076132919</v>
      </c>
      <c r="H69" s="293">
        <f>SUM(H64:H68)</f>
        <v>1741.0569718067675</v>
      </c>
    </row>
    <row r="70" spans="1:16" ht="3.95" customHeight="1" x14ac:dyDescent="0.2">
      <c r="B70" s="228"/>
      <c r="C70" s="228"/>
      <c r="D70" s="228"/>
      <c r="E70" s="228"/>
      <c r="F70" s="228"/>
      <c r="G70" s="228"/>
      <c r="H70" s="228"/>
    </row>
    <row r="72" spans="1:16" ht="12.95" customHeight="1" x14ac:dyDescent="0.25">
      <c r="A72" s="85"/>
      <c r="B72" s="284" t="s">
        <v>1228</v>
      </c>
      <c r="C72" s="285"/>
      <c r="D72" s="285"/>
      <c r="E72" s="285"/>
      <c r="F72" s="285"/>
      <c r="G72" s="285"/>
      <c r="H72" s="285"/>
      <c r="I72" s="285"/>
      <c r="J72" s="285"/>
      <c r="K72" s="110"/>
      <c r="L72" s="110"/>
      <c r="M72" s="110"/>
      <c r="N72" s="110"/>
      <c r="O72" s="110"/>
      <c r="P72" s="111"/>
    </row>
    <row r="73" spans="1:16" ht="12.95" customHeight="1" x14ac:dyDescent="0.2">
      <c r="B73" s="253" t="s">
        <v>1178</v>
      </c>
    </row>
    <row r="74" spans="1:16" ht="12.95" customHeight="1" x14ac:dyDescent="0.25">
      <c r="B74" s="19" t="s">
        <v>300</v>
      </c>
      <c r="C74" s="75"/>
      <c r="D74" s="75"/>
      <c r="E74" s="74"/>
      <c r="F74" s="46" t="s">
        <v>0</v>
      </c>
      <c r="G74" s="20" t="s">
        <v>1</v>
      </c>
      <c r="H74" s="56" t="s">
        <v>305</v>
      </c>
      <c r="I74" s="341" t="s">
        <v>2</v>
      </c>
      <c r="J74" s="341"/>
      <c r="K74" s="341"/>
      <c r="L74" s="341"/>
      <c r="M74" s="341"/>
      <c r="N74" s="341"/>
      <c r="O74" s="341"/>
      <c r="P74" s="341"/>
    </row>
    <row r="75" spans="1:16" ht="12.95" customHeight="1" x14ac:dyDescent="0.2">
      <c r="B75" s="253" t="s">
        <v>1196</v>
      </c>
    </row>
    <row r="76" spans="1:16" ht="12.95" customHeight="1" x14ac:dyDescent="0.2">
      <c r="C76" s="253" t="s">
        <v>1180</v>
      </c>
      <c r="F76" s="59">
        <v>1675929</v>
      </c>
      <c r="G76" s="253" t="s">
        <v>37</v>
      </c>
      <c r="H76" s="78" t="s">
        <v>1186</v>
      </c>
      <c r="I76" s="253" t="s">
        <v>1187</v>
      </c>
    </row>
    <row r="77" spans="1:16" ht="12.95" customHeight="1" x14ac:dyDescent="0.2">
      <c r="C77" s="253" t="s">
        <v>1181</v>
      </c>
      <c r="F77" s="59">
        <v>92934</v>
      </c>
      <c r="G77" s="253" t="s">
        <v>37</v>
      </c>
      <c r="H77" s="78" t="s">
        <v>1186</v>
      </c>
      <c r="I77" s="253" t="s">
        <v>1187</v>
      </c>
    </row>
    <row r="78" spans="1:16" ht="12.95" customHeight="1" x14ac:dyDescent="0.2">
      <c r="C78" s="253" t="s">
        <v>1182</v>
      </c>
      <c r="F78" s="59">
        <v>1117795</v>
      </c>
      <c r="G78" s="253" t="s">
        <v>37</v>
      </c>
      <c r="H78" s="78" t="s">
        <v>1186</v>
      </c>
      <c r="I78" s="253" t="s">
        <v>1187</v>
      </c>
    </row>
    <row r="79" spans="1:16" ht="12.95" customHeight="1" x14ac:dyDescent="0.2">
      <c r="C79" s="253" t="s">
        <v>1183</v>
      </c>
      <c r="F79" s="59">
        <v>1768873</v>
      </c>
      <c r="G79" s="253" t="s">
        <v>37</v>
      </c>
      <c r="H79" s="78" t="s">
        <v>1186</v>
      </c>
      <c r="I79" s="253" t="s">
        <v>1187</v>
      </c>
    </row>
    <row r="80" spans="1:16" ht="12.95" customHeight="1" x14ac:dyDescent="0.2">
      <c r="C80" s="253" t="s">
        <v>1184</v>
      </c>
      <c r="F80" s="59">
        <v>0</v>
      </c>
      <c r="G80" s="253" t="s">
        <v>37</v>
      </c>
      <c r="H80" s="78" t="s">
        <v>1186</v>
      </c>
      <c r="I80" s="253" t="s">
        <v>1187</v>
      </c>
    </row>
    <row r="81" spans="2:9" ht="12.95" customHeight="1" x14ac:dyDescent="0.2">
      <c r="C81" s="253" t="s">
        <v>1185</v>
      </c>
      <c r="F81" s="59">
        <v>24871</v>
      </c>
      <c r="G81" s="253" t="s">
        <v>37</v>
      </c>
      <c r="H81" s="78" t="s">
        <v>1186</v>
      </c>
      <c r="I81" s="253" t="s">
        <v>1187</v>
      </c>
    </row>
    <row r="82" spans="2:9" ht="12.95" customHeight="1" x14ac:dyDescent="0.2">
      <c r="C82" s="253" t="s">
        <v>928</v>
      </c>
      <c r="F82" s="30">
        <f>SUM(F76:F81)</f>
        <v>4680402</v>
      </c>
      <c r="G82" s="253" t="s">
        <v>37</v>
      </c>
    </row>
    <row r="83" spans="2:9" ht="12.95" customHeight="1" x14ac:dyDescent="0.2">
      <c r="B83" s="253" t="s">
        <v>1179</v>
      </c>
    </row>
    <row r="84" spans="2:9" ht="12.95" customHeight="1" x14ac:dyDescent="0.2">
      <c r="C84" s="253" t="s">
        <v>1180</v>
      </c>
      <c r="F84" s="309">
        <f t="shared" ref="F84:F89" si="5">F76/$F$82</f>
        <v>0.35807372956425537</v>
      </c>
      <c r="G84"/>
      <c r="H84"/>
      <c r="I84"/>
    </row>
    <row r="85" spans="2:9" ht="12.95" customHeight="1" x14ac:dyDescent="0.2">
      <c r="C85" s="253" t="s">
        <v>1181</v>
      </c>
      <c r="F85" s="309">
        <f t="shared" si="5"/>
        <v>1.9855986729345042E-2</v>
      </c>
    </row>
    <row r="86" spans="2:9" ht="12.95" customHeight="1" x14ac:dyDescent="0.2">
      <c r="C86" s="253" t="s">
        <v>1182</v>
      </c>
      <c r="F86" s="309">
        <f t="shared" si="5"/>
        <v>0.23882457105180283</v>
      </c>
    </row>
    <row r="87" spans="2:9" ht="12.95" customHeight="1" x14ac:dyDescent="0.2">
      <c r="C87" s="253" t="s">
        <v>1183</v>
      </c>
      <c r="F87" s="309">
        <f t="shared" si="5"/>
        <v>0.37793185286221143</v>
      </c>
    </row>
    <row r="88" spans="2:9" ht="12.95" customHeight="1" x14ac:dyDescent="0.2">
      <c r="C88" s="253" t="s">
        <v>1184</v>
      </c>
      <c r="F88" s="309">
        <f t="shared" si="5"/>
        <v>0</v>
      </c>
    </row>
    <row r="89" spans="2:9" ht="12.95" customHeight="1" x14ac:dyDescent="0.2">
      <c r="C89" s="253" t="s">
        <v>1185</v>
      </c>
      <c r="F89" s="309">
        <f t="shared" si="5"/>
        <v>5.313859792385355E-3</v>
      </c>
    </row>
    <row r="90" spans="2:9" ht="12.95" customHeight="1" x14ac:dyDescent="0.2">
      <c r="B90" s="253" t="s">
        <v>1191</v>
      </c>
      <c r="F90" s="309"/>
    </row>
    <row r="91" spans="2:9" ht="12.95" customHeight="1" x14ac:dyDescent="0.2">
      <c r="C91" s="253" t="s">
        <v>1192</v>
      </c>
      <c r="F91" s="59">
        <v>379</v>
      </c>
      <c r="G91" s="253" t="s">
        <v>1189</v>
      </c>
      <c r="H91" s="78" t="s">
        <v>1194</v>
      </c>
    </row>
    <row r="92" spans="2:9" ht="12.95" customHeight="1" x14ac:dyDescent="0.2">
      <c r="C92" s="253" t="s">
        <v>1193</v>
      </c>
      <c r="F92" s="59">
        <v>396</v>
      </c>
      <c r="G92" s="253" t="s">
        <v>1189</v>
      </c>
      <c r="H92" s="78" t="s">
        <v>1194</v>
      </c>
    </row>
    <row r="93" spans="2:9" ht="12.95" customHeight="1" x14ac:dyDescent="0.2">
      <c r="B93" s="253" t="s">
        <v>1188</v>
      </c>
      <c r="F93" s="220">
        <f>F91*F86+F92*F87</f>
        <v>240.17552616206899</v>
      </c>
      <c r="G93" s="253" t="s">
        <v>1189</v>
      </c>
      <c r="I93" s="253" t="s">
        <v>1190</v>
      </c>
    </row>
    <row r="94" spans="2:9" ht="12.95" customHeight="1" x14ac:dyDescent="0.2">
      <c r="B94" s="253" t="s">
        <v>1195</v>
      </c>
    </row>
    <row r="95" spans="2:9" ht="12.95" customHeight="1" x14ac:dyDescent="0.2">
      <c r="C95" s="253" t="s">
        <v>1006</v>
      </c>
      <c r="F95" s="309">
        <f>F87</f>
        <v>0.37793185286221143</v>
      </c>
    </row>
    <row r="96" spans="2:9" ht="12.95" customHeight="1" x14ac:dyDescent="0.2">
      <c r="C96" s="253" t="s">
        <v>1007</v>
      </c>
      <c r="F96" s="309">
        <f>F86</f>
        <v>0.23882457105180283</v>
      </c>
    </row>
    <row r="97" spans="1:16" ht="12.95" customHeight="1" x14ac:dyDescent="0.2">
      <c r="C97" s="253" t="s">
        <v>1025</v>
      </c>
      <c r="F97" s="309">
        <f>F85+F88</f>
        <v>1.9855986729345042E-2</v>
      </c>
    </row>
    <row r="98" spans="1:16" ht="12.95" customHeight="1" x14ac:dyDescent="0.2">
      <c r="C98" s="253" t="s">
        <v>1009</v>
      </c>
      <c r="F98" s="309">
        <f>F89</f>
        <v>5.313859792385355E-3</v>
      </c>
    </row>
    <row r="99" spans="1:16" ht="12.95" customHeight="1" x14ac:dyDescent="0.2">
      <c r="C99" s="253" t="s">
        <v>1010</v>
      </c>
      <c r="F99" s="309">
        <f>F84</f>
        <v>0.35807372956425537</v>
      </c>
    </row>
    <row r="100" spans="1:16" ht="12.95" customHeight="1" x14ac:dyDescent="0.2">
      <c r="C100" s="253" t="s">
        <v>928</v>
      </c>
      <c r="F100" s="309">
        <f>SUM(F95:F99)</f>
        <v>1</v>
      </c>
    </row>
    <row r="101" spans="1:16" ht="12.95" customHeight="1" x14ac:dyDescent="0.2">
      <c r="B101" s="253" t="s">
        <v>1197</v>
      </c>
    </row>
    <row r="102" spans="1:16" ht="12.95" customHeight="1" x14ac:dyDescent="0.2">
      <c r="C102" s="253" t="s">
        <v>1180</v>
      </c>
      <c r="F102" s="59">
        <v>3137511</v>
      </c>
      <c r="G102" s="253" t="s">
        <v>37</v>
      </c>
      <c r="H102" s="78" t="s">
        <v>1186</v>
      </c>
      <c r="I102" s="253" t="s">
        <v>1187</v>
      </c>
    </row>
    <row r="103" spans="1:16" ht="12.95" customHeight="1" x14ac:dyDescent="0.2">
      <c r="C103" s="253" t="s">
        <v>1181</v>
      </c>
      <c r="F103" s="59">
        <v>196839</v>
      </c>
      <c r="G103" s="253" t="s">
        <v>37</v>
      </c>
      <c r="H103" s="78" t="s">
        <v>1186</v>
      </c>
      <c r="I103" s="253" t="s">
        <v>1187</v>
      </c>
    </row>
    <row r="104" spans="1:16" ht="12.95" customHeight="1" x14ac:dyDescent="0.2">
      <c r="C104" s="253" t="s">
        <v>1182</v>
      </c>
      <c r="F104" s="59">
        <v>1181631</v>
      </c>
      <c r="G104" s="253" t="s">
        <v>37</v>
      </c>
      <c r="H104" s="78" t="s">
        <v>1186</v>
      </c>
      <c r="I104" s="253" t="s">
        <v>1187</v>
      </c>
    </row>
    <row r="105" spans="1:16" ht="12.95" customHeight="1" x14ac:dyDescent="0.2">
      <c r="C105" s="253" t="s">
        <v>1183</v>
      </c>
      <c r="F105" s="59">
        <v>2621163</v>
      </c>
      <c r="G105" s="253" t="s">
        <v>37</v>
      </c>
      <c r="H105" s="78" t="s">
        <v>1186</v>
      </c>
      <c r="I105" s="253" t="s">
        <v>1187</v>
      </c>
    </row>
    <row r="106" spans="1:16" ht="12.95" customHeight="1" x14ac:dyDescent="0.2">
      <c r="C106" s="253" t="s">
        <v>1184</v>
      </c>
      <c r="F106" s="59">
        <v>470</v>
      </c>
      <c r="G106" s="253" t="s">
        <v>37</v>
      </c>
      <c r="H106" s="78" t="s">
        <v>1186</v>
      </c>
      <c r="I106" s="253" t="s">
        <v>1187</v>
      </c>
    </row>
    <row r="107" spans="1:16" ht="12.95" customHeight="1" x14ac:dyDescent="0.2">
      <c r="C107" s="253" t="s">
        <v>1185</v>
      </c>
      <c r="F107" s="59">
        <v>236682</v>
      </c>
      <c r="G107" s="253" t="s">
        <v>37</v>
      </c>
      <c r="H107" s="78" t="s">
        <v>1186</v>
      </c>
      <c r="I107" s="253" t="s">
        <v>1187</v>
      </c>
    </row>
    <row r="108" spans="1:16" ht="12.95" customHeight="1" x14ac:dyDescent="0.2">
      <c r="C108" s="253" t="s">
        <v>928</v>
      </c>
      <c r="F108" s="30">
        <f>SUM(F102:F107)</f>
        <v>7374296</v>
      </c>
      <c r="G108" s="253" t="s">
        <v>37</v>
      </c>
    </row>
    <row r="110" spans="1:16" ht="12.95" customHeight="1" x14ac:dyDescent="0.25">
      <c r="A110" s="85"/>
      <c r="B110" s="284" t="s">
        <v>1377</v>
      </c>
      <c r="C110" s="285"/>
      <c r="D110" s="285"/>
      <c r="E110" s="285"/>
      <c r="F110" s="285"/>
      <c r="G110" s="285"/>
      <c r="H110" s="285"/>
      <c r="I110" s="285"/>
      <c r="J110" s="285"/>
      <c r="K110" s="110"/>
      <c r="L110" s="110"/>
      <c r="M110" s="110"/>
      <c r="N110" s="110"/>
      <c r="O110" s="110"/>
      <c r="P110" s="111"/>
    </row>
    <row r="111" spans="1:16" ht="12.95" customHeight="1" x14ac:dyDescent="0.2">
      <c r="B111" s="253" t="s">
        <v>1378</v>
      </c>
    </row>
    <row r="112" spans="1:16" ht="12.95" customHeight="1" x14ac:dyDescent="0.25">
      <c r="B112" s="19" t="s">
        <v>300</v>
      </c>
      <c r="C112" s="75"/>
      <c r="D112" s="75"/>
      <c r="E112" s="74"/>
      <c r="F112" s="46" t="s">
        <v>0</v>
      </c>
      <c r="G112" s="20" t="s">
        <v>1</v>
      </c>
      <c r="H112" s="56" t="s">
        <v>305</v>
      </c>
      <c r="I112" s="341" t="s">
        <v>2</v>
      </c>
      <c r="J112" s="341"/>
      <c r="K112" s="341"/>
      <c r="L112" s="341"/>
      <c r="M112" s="341"/>
      <c r="N112" s="341"/>
      <c r="O112" s="341"/>
      <c r="P112" s="341"/>
    </row>
    <row r="113" spans="2:7" ht="12.95" customHeight="1" x14ac:dyDescent="0.2">
      <c r="B113" s="253" t="s">
        <v>1385</v>
      </c>
    </row>
    <row r="115" spans="2:7" ht="12.95" customHeight="1" x14ac:dyDescent="0.2">
      <c r="C115" s="253" t="s">
        <v>1386</v>
      </c>
      <c r="F115" s="29">
        <f>MWhTOmmBtu/dashboard!C7</f>
        <v>7.8855102762984233</v>
      </c>
      <c r="G115" s="253" t="s">
        <v>235</v>
      </c>
    </row>
    <row r="116" spans="2:7" ht="12.95" customHeight="1" x14ac:dyDescent="0.2">
      <c r="D116" s="253" t="s">
        <v>1379</v>
      </c>
    </row>
    <row r="117" spans="2:7" ht="12.95" customHeight="1" x14ac:dyDescent="0.2">
      <c r="E117" s="253" t="s">
        <v>1381</v>
      </c>
      <c r="F117" s="26">
        <f>LOG!F43/TJTOmmBtu</f>
        <v>0.10164767756582317</v>
      </c>
      <c r="G117" s="253" t="s">
        <v>1383</v>
      </c>
    </row>
    <row r="118" spans="2:7" ht="12.95" customHeight="1" x14ac:dyDescent="0.2">
      <c r="E118" s="253" t="s">
        <v>1384</v>
      </c>
      <c r="F118" s="26">
        <f>F115*F117</f>
        <v>0.80154380600716735</v>
      </c>
      <c r="G118" s="253" t="s">
        <v>844</v>
      </c>
    </row>
    <row r="119" spans="2:7" ht="12.95" customHeight="1" x14ac:dyDescent="0.2">
      <c r="D119" s="253" t="s">
        <v>1380</v>
      </c>
    </row>
    <row r="120" spans="2:7" ht="12.95" customHeight="1" x14ac:dyDescent="0.2">
      <c r="E120" s="253" t="s">
        <v>1381</v>
      </c>
      <c r="F120" s="26">
        <f>THIN!F50/TJTOmmBtu</f>
        <v>0.10164767756582317</v>
      </c>
      <c r="G120" s="253" t="s">
        <v>1383</v>
      </c>
    </row>
    <row r="121" spans="2:7" ht="12.95" customHeight="1" x14ac:dyDescent="0.2">
      <c r="E121" s="253" t="s">
        <v>1384</v>
      </c>
      <c r="F121" s="26">
        <f>F115*F120</f>
        <v>0.80154380600716735</v>
      </c>
      <c r="G121" s="253" t="s">
        <v>844</v>
      </c>
    </row>
    <row r="122" spans="2:7" ht="12.95" customHeight="1" x14ac:dyDescent="0.2">
      <c r="F122" s="26"/>
    </row>
    <row r="123" spans="2:7" ht="12.95" customHeight="1" x14ac:dyDescent="0.2">
      <c r="C123" s="253" t="s">
        <v>1387</v>
      </c>
      <c r="F123" s="29">
        <f>params!F71</f>
        <v>10.172308256424968</v>
      </c>
      <c r="G123" s="253" t="s">
        <v>235</v>
      </c>
    </row>
    <row r="124" spans="2:7" ht="12.95" customHeight="1" x14ac:dyDescent="0.2">
      <c r="D124" s="253" t="s">
        <v>1379</v>
      </c>
    </row>
    <row r="125" spans="2:7" ht="12.95" customHeight="1" x14ac:dyDescent="0.2">
      <c r="E125" s="253" t="s">
        <v>1381</v>
      </c>
      <c r="F125" s="26">
        <f>LOG!F43/TJTOmmBtu</f>
        <v>0.10164767756582317</v>
      </c>
      <c r="G125" s="253" t="s">
        <v>1383</v>
      </c>
    </row>
    <row r="126" spans="2:7" ht="12.95" customHeight="1" x14ac:dyDescent="0.2">
      <c r="E126" s="253" t="s">
        <v>1384</v>
      </c>
      <c r="F126" s="26">
        <f>F123*F125</f>
        <v>1.033991509749246</v>
      </c>
      <c r="G126" s="253" t="s">
        <v>844</v>
      </c>
    </row>
    <row r="127" spans="2:7" ht="12.95" customHeight="1" x14ac:dyDescent="0.2">
      <c r="D127" s="253" t="s">
        <v>1380</v>
      </c>
    </row>
    <row r="128" spans="2:7" ht="12.95" customHeight="1" x14ac:dyDescent="0.2">
      <c r="E128" s="253" t="s">
        <v>1381</v>
      </c>
      <c r="F128" s="26">
        <f>THIN!F50/TJTOmmBtu</f>
        <v>0.10164767756582317</v>
      </c>
      <c r="G128" s="253" t="s">
        <v>1383</v>
      </c>
    </row>
    <row r="129" spans="5:7" ht="12.95" customHeight="1" x14ac:dyDescent="0.2">
      <c r="E129" s="253" t="s">
        <v>1384</v>
      </c>
      <c r="F129" s="26">
        <f>F123*F128</f>
        <v>1.033991509749246</v>
      </c>
      <c r="G129" s="253" t="s">
        <v>844</v>
      </c>
    </row>
  </sheetData>
  <hyperlinks>
    <hyperlink ref="B2" location="cover!B18" display="return to TOC" xr:uid="{8B2DF0E3-B7B5-4781-BE87-F654745991BE}"/>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0FD31-815F-49A0-B8DF-53C8F2F52853}">
  <sheetPr published="0" codeName="Sheet12">
    <tabColor rgb="FF238B45"/>
  </sheetPr>
  <dimension ref="A1:DX161"/>
  <sheetViews>
    <sheetView workbookViewId="0"/>
  </sheetViews>
  <sheetFormatPr defaultColWidth="10.83203125" defaultRowHeight="12.95" customHeight="1" x14ac:dyDescent="0.2"/>
  <cols>
    <col min="1" max="1" width="1.83203125" style="54" customWidth="1"/>
    <col min="2" max="4" width="2.83203125" style="54" customWidth="1"/>
    <col min="5" max="5" width="16.83203125" style="54" customWidth="1"/>
    <col min="6" max="7" width="10.83203125" style="54" customWidth="1"/>
    <col min="8" max="9" width="6.83203125" style="12" customWidth="1"/>
    <col min="10" max="128" width="6.83203125" style="54" customWidth="1"/>
    <col min="129" max="16384" width="10.83203125" style="54"/>
  </cols>
  <sheetData>
    <row r="1" spans="1:128" ht="30" customHeight="1" x14ac:dyDescent="0.2">
      <c r="A1" s="85"/>
      <c r="B1" s="86" t="s">
        <v>1247</v>
      </c>
      <c r="C1" s="201"/>
      <c r="D1" s="201"/>
      <c r="E1" s="201"/>
      <c r="F1" s="14"/>
      <c r="G1" s="14"/>
      <c r="H1" s="14"/>
      <c r="I1" s="14"/>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14"/>
      <c r="AZ1" s="14"/>
    </row>
    <row r="2" spans="1:128" ht="12.95" customHeight="1" x14ac:dyDescent="0.2">
      <c r="A2" s="85"/>
      <c r="B2" s="81" t="s">
        <v>349</v>
      </c>
      <c r="C2" s="21"/>
      <c r="D2" s="21"/>
      <c r="E2" s="21"/>
      <c r="H2" s="54"/>
      <c r="I2" s="54"/>
    </row>
    <row r="3" spans="1:128" ht="12.95" customHeight="1" x14ac:dyDescent="0.2">
      <c r="A3" s="85"/>
      <c r="C3" s="21"/>
      <c r="D3" s="21"/>
      <c r="E3" s="21"/>
      <c r="H3" s="54"/>
      <c r="I3" s="54"/>
    </row>
    <row r="4" spans="1:128" ht="12.95" customHeight="1" x14ac:dyDescent="0.2">
      <c r="A4" s="85"/>
      <c r="B4" s="54" t="s">
        <v>823</v>
      </c>
      <c r="C4" s="21"/>
      <c r="D4" s="21"/>
      <c r="E4" s="21"/>
      <c r="H4" s="54"/>
      <c r="I4" s="54"/>
    </row>
    <row r="5" spans="1:128" ht="12.95" customHeight="1" x14ac:dyDescent="0.2">
      <c r="A5" s="85"/>
      <c r="B5" s="54" t="s">
        <v>1158</v>
      </c>
      <c r="C5" s="21"/>
      <c r="D5" s="21"/>
      <c r="E5" s="21"/>
      <c r="H5" s="54"/>
      <c r="I5" s="54"/>
    </row>
    <row r="6" spans="1:128" ht="12.95" customHeight="1" x14ac:dyDescent="0.2">
      <c r="F6" s="132"/>
      <c r="H6" s="54"/>
      <c r="I6" s="54"/>
    </row>
    <row r="7" spans="1:128" ht="12.95" customHeight="1" x14ac:dyDescent="0.25">
      <c r="B7" s="105" t="s">
        <v>615</v>
      </c>
      <c r="C7" s="106"/>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row>
    <row r="8" spans="1:128" ht="12.95" customHeight="1" x14ac:dyDescent="0.25">
      <c r="B8" s="19" t="s">
        <v>300</v>
      </c>
      <c r="C8" s="75"/>
      <c r="D8" s="75"/>
      <c r="E8" s="74"/>
      <c r="F8" s="56" t="s">
        <v>491</v>
      </c>
      <c r="G8" s="113" t="s">
        <v>1</v>
      </c>
      <c r="H8" s="114"/>
      <c r="I8" s="114"/>
      <c r="J8" s="114"/>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row>
    <row r="9" spans="1:128" ht="12.95" customHeight="1" x14ac:dyDescent="0.2">
      <c r="B9" s="54" t="s">
        <v>613</v>
      </c>
      <c r="H9" s="93">
        <v>0</v>
      </c>
      <c r="I9" s="93">
        <v>1</v>
      </c>
      <c r="J9" s="93">
        <v>2</v>
      </c>
      <c r="K9" s="93">
        <v>3</v>
      </c>
      <c r="L9" s="93">
        <v>4</v>
      </c>
      <c r="M9" s="93">
        <v>5</v>
      </c>
      <c r="N9" s="93">
        <v>6</v>
      </c>
      <c r="O9" s="93">
        <v>7</v>
      </c>
      <c r="P9" s="93">
        <v>8</v>
      </c>
      <c r="Q9" s="93">
        <v>9</v>
      </c>
      <c r="R9" s="93">
        <v>10</v>
      </c>
      <c r="S9" s="93">
        <v>11</v>
      </c>
      <c r="T9" s="93">
        <v>12</v>
      </c>
      <c r="U9" s="93">
        <v>13</v>
      </c>
      <c r="V9" s="93">
        <v>14</v>
      </c>
      <c r="W9" s="93">
        <v>15</v>
      </c>
      <c r="X9" s="93">
        <v>16</v>
      </c>
      <c r="Y9" s="93">
        <v>17</v>
      </c>
      <c r="Z9" s="93">
        <v>18</v>
      </c>
      <c r="AA9" s="93">
        <v>19</v>
      </c>
      <c r="AB9" s="93">
        <v>20</v>
      </c>
      <c r="AC9" s="93">
        <v>21</v>
      </c>
      <c r="AD9" s="93">
        <v>22</v>
      </c>
      <c r="AE9" s="93">
        <v>23</v>
      </c>
      <c r="AF9" s="93">
        <v>24</v>
      </c>
      <c r="AG9" s="93">
        <v>25</v>
      </c>
      <c r="AH9" s="93">
        <v>26</v>
      </c>
      <c r="AI9" s="93">
        <v>27</v>
      </c>
      <c r="AJ9" s="93">
        <v>28</v>
      </c>
      <c r="AK9" s="93">
        <v>29</v>
      </c>
      <c r="AL9" s="93">
        <v>30</v>
      </c>
      <c r="AM9" s="93">
        <v>31</v>
      </c>
      <c r="AN9" s="93">
        <v>32</v>
      </c>
      <c r="AO9" s="93">
        <v>33</v>
      </c>
      <c r="AP9" s="93">
        <v>34</v>
      </c>
      <c r="AQ9" s="93">
        <v>35</v>
      </c>
      <c r="AR9" s="93">
        <v>36</v>
      </c>
      <c r="AS9" s="93">
        <v>37</v>
      </c>
      <c r="AT9" s="93">
        <v>38</v>
      </c>
      <c r="AU9" s="93">
        <v>39</v>
      </c>
      <c r="AV9" s="93">
        <v>40</v>
      </c>
      <c r="AW9" s="93">
        <v>41</v>
      </c>
      <c r="AX9" s="93">
        <v>42</v>
      </c>
      <c r="AY9" s="93">
        <v>43</v>
      </c>
      <c r="AZ9" s="93">
        <v>44</v>
      </c>
      <c r="BA9" s="93">
        <v>45</v>
      </c>
      <c r="BB9" s="93">
        <v>46</v>
      </c>
      <c r="BC9" s="93">
        <v>47</v>
      </c>
      <c r="BD9" s="93">
        <v>48</v>
      </c>
      <c r="BE9" s="93">
        <v>49</v>
      </c>
      <c r="BF9" s="93">
        <v>50</v>
      </c>
      <c r="BG9" s="93">
        <v>51</v>
      </c>
      <c r="BH9" s="93">
        <v>52</v>
      </c>
      <c r="BI9" s="93">
        <v>53</v>
      </c>
      <c r="BJ9" s="93">
        <v>54</v>
      </c>
      <c r="BK9" s="93">
        <v>55</v>
      </c>
      <c r="BL9" s="93">
        <v>56</v>
      </c>
      <c r="BM9" s="93">
        <v>57</v>
      </c>
      <c r="BN9" s="93">
        <v>58</v>
      </c>
      <c r="BO9" s="93">
        <v>59</v>
      </c>
      <c r="BP9" s="93">
        <v>60</v>
      </c>
      <c r="BQ9" s="93">
        <v>61</v>
      </c>
      <c r="BR9" s="93">
        <v>62</v>
      </c>
      <c r="BS9" s="93">
        <v>63</v>
      </c>
      <c r="BT9" s="93">
        <v>64</v>
      </c>
      <c r="BU9" s="93">
        <v>65</v>
      </c>
      <c r="BV9" s="93">
        <v>66</v>
      </c>
      <c r="BW9" s="93">
        <v>67</v>
      </c>
      <c r="BX9" s="93">
        <v>68</v>
      </c>
      <c r="BY9" s="93">
        <v>69</v>
      </c>
      <c r="BZ9" s="93">
        <v>70</v>
      </c>
      <c r="CA9" s="93">
        <v>71</v>
      </c>
      <c r="CB9" s="93">
        <v>72</v>
      </c>
      <c r="CC9" s="93">
        <v>73</v>
      </c>
      <c r="CD9" s="93">
        <v>74</v>
      </c>
      <c r="CE9" s="93">
        <v>75</v>
      </c>
      <c r="CF9" s="93">
        <v>76</v>
      </c>
      <c r="CG9" s="93">
        <v>77</v>
      </c>
      <c r="CH9" s="93">
        <v>78</v>
      </c>
      <c r="CI9" s="93">
        <v>79</v>
      </c>
      <c r="CJ9" s="93">
        <v>80</v>
      </c>
      <c r="CK9" s="93">
        <v>81</v>
      </c>
      <c r="CL9" s="93">
        <v>82</v>
      </c>
      <c r="CM9" s="93">
        <v>83</v>
      </c>
      <c r="CN9" s="93">
        <v>84</v>
      </c>
      <c r="CO9" s="93">
        <v>85</v>
      </c>
      <c r="CP9" s="93">
        <v>86</v>
      </c>
      <c r="CQ9" s="93">
        <v>87</v>
      </c>
      <c r="CR9" s="93">
        <v>88</v>
      </c>
      <c r="CS9" s="93">
        <v>89</v>
      </c>
      <c r="CT9" s="93">
        <v>90</v>
      </c>
      <c r="CU9" s="93">
        <v>91</v>
      </c>
      <c r="CV9" s="93">
        <v>92</v>
      </c>
      <c r="CW9" s="93">
        <v>93</v>
      </c>
      <c r="CX9" s="93">
        <v>94</v>
      </c>
      <c r="CY9" s="93">
        <v>95</v>
      </c>
      <c r="CZ9" s="93">
        <v>96</v>
      </c>
      <c r="DA9" s="93">
        <v>97</v>
      </c>
      <c r="DB9" s="93">
        <v>98</v>
      </c>
      <c r="DC9" s="93">
        <v>99</v>
      </c>
      <c r="DD9" s="93">
        <v>100</v>
      </c>
      <c r="DE9" s="93">
        <v>101</v>
      </c>
      <c r="DF9" s="93">
        <v>102</v>
      </c>
      <c r="DG9" s="93">
        <v>103</v>
      </c>
      <c r="DH9" s="93">
        <v>104</v>
      </c>
      <c r="DI9" s="93">
        <v>105</v>
      </c>
      <c r="DJ9" s="93">
        <v>106</v>
      </c>
      <c r="DK9" s="93">
        <v>107</v>
      </c>
      <c r="DL9" s="93">
        <v>108</v>
      </c>
      <c r="DM9" s="93">
        <v>109</v>
      </c>
      <c r="DN9" s="93">
        <v>110</v>
      </c>
      <c r="DO9" s="93">
        <v>111</v>
      </c>
      <c r="DP9" s="93">
        <v>112</v>
      </c>
      <c r="DQ9" s="93">
        <v>113</v>
      </c>
      <c r="DR9" s="93">
        <v>114</v>
      </c>
      <c r="DS9" s="93">
        <v>115</v>
      </c>
      <c r="DT9" s="93">
        <v>116</v>
      </c>
      <c r="DU9" s="93">
        <v>117</v>
      </c>
      <c r="DV9" s="93">
        <v>118</v>
      </c>
      <c r="DW9" s="93">
        <v>119</v>
      </c>
      <c r="DX9" s="93">
        <v>120</v>
      </c>
    </row>
    <row r="10" spans="1:128" ht="12.95" customHeight="1" x14ac:dyDescent="0.2">
      <c r="B10" s="54" t="s">
        <v>616</v>
      </c>
      <c r="H10" s="202">
        <f>H9-25</f>
        <v>-25</v>
      </c>
      <c r="I10" s="202">
        <f t="shared" ref="I10:BT10" si="0">I9-25</f>
        <v>-24</v>
      </c>
      <c r="J10" s="202">
        <f t="shared" si="0"/>
        <v>-23</v>
      </c>
      <c r="K10" s="202">
        <f t="shared" si="0"/>
        <v>-22</v>
      </c>
      <c r="L10" s="202">
        <f t="shared" si="0"/>
        <v>-21</v>
      </c>
      <c r="M10" s="202">
        <f t="shared" si="0"/>
        <v>-20</v>
      </c>
      <c r="N10" s="202">
        <f t="shared" si="0"/>
        <v>-19</v>
      </c>
      <c r="O10" s="202">
        <f t="shared" si="0"/>
        <v>-18</v>
      </c>
      <c r="P10" s="202">
        <f t="shared" si="0"/>
        <v>-17</v>
      </c>
      <c r="Q10" s="202">
        <f t="shared" si="0"/>
        <v>-16</v>
      </c>
      <c r="R10" s="202">
        <f t="shared" si="0"/>
        <v>-15</v>
      </c>
      <c r="S10" s="202">
        <f t="shared" si="0"/>
        <v>-14</v>
      </c>
      <c r="T10" s="202">
        <f t="shared" si="0"/>
        <v>-13</v>
      </c>
      <c r="U10" s="202">
        <f t="shared" si="0"/>
        <v>-12</v>
      </c>
      <c r="V10" s="202">
        <f t="shared" si="0"/>
        <v>-11</v>
      </c>
      <c r="W10" s="202">
        <f t="shared" si="0"/>
        <v>-10</v>
      </c>
      <c r="X10" s="202">
        <f t="shared" si="0"/>
        <v>-9</v>
      </c>
      <c r="Y10" s="202">
        <f t="shared" si="0"/>
        <v>-8</v>
      </c>
      <c r="Z10" s="202">
        <f t="shared" si="0"/>
        <v>-7</v>
      </c>
      <c r="AA10" s="202">
        <f t="shared" si="0"/>
        <v>-6</v>
      </c>
      <c r="AB10" s="202">
        <f t="shared" si="0"/>
        <v>-5</v>
      </c>
      <c r="AC10" s="202">
        <f t="shared" si="0"/>
        <v>-4</v>
      </c>
      <c r="AD10" s="202">
        <f t="shared" si="0"/>
        <v>-3</v>
      </c>
      <c r="AE10" s="202">
        <f t="shared" si="0"/>
        <v>-2</v>
      </c>
      <c r="AF10" s="202">
        <f t="shared" si="0"/>
        <v>-1</v>
      </c>
      <c r="AG10" s="202">
        <f t="shared" si="0"/>
        <v>0</v>
      </c>
      <c r="AH10" s="202">
        <f t="shared" si="0"/>
        <v>1</v>
      </c>
      <c r="AI10" s="202">
        <f t="shared" si="0"/>
        <v>2</v>
      </c>
      <c r="AJ10" s="202">
        <f t="shared" si="0"/>
        <v>3</v>
      </c>
      <c r="AK10" s="202">
        <f t="shared" si="0"/>
        <v>4</v>
      </c>
      <c r="AL10" s="202">
        <f t="shared" si="0"/>
        <v>5</v>
      </c>
      <c r="AM10" s="202">
        <f t="shared" si="0"/>
        <v>6</v>
      </c>
      <c r="AN10" s="202">
        <f t="shared" si="0"/>
        <v>7</v>
      </c>
      <c r="AO10" s="202">
        <f t="shared" si="0"/>
        <v>8</v>
      </c>
      <c r="AP10" s="202">
        <f t="shared" si="0"/>
        <v>9</v>
      </c>
      <c r="AQ10" s="202">
        <f t="shared" si="0"/>
        <v>10</v>
      </c>
      <c r="AR10" s="202">
        <f t="shared" si="0"/>
        <v>11</v>
      </c>
      <c r="AS10" s="202">
        <f t="shared" si="0"/>
        <v>12</v>
      </c>
      <c r="AT10" s="202">
        <f t="shared" si="0"/>
        <v>13</v>
      </c>
      <c r="AU10" s="202">
        <f t="shared" si="0"/>
        <v>14</v>
      </c>
      <c r="AV10" s="202">
        <f t="shared" si="0"/>
        <v>15</v>
      </c>
      <c r="AW10" s="202">
        <f t="shared" si="0"/>
        <v>16</v>
      </c>
      <c r="AX10" s="202">
        <f t="shared" si="0"/>
        <v>17</v>
      </c>
      <c r="AY10" s="202">
        <f t="shared" si="0"/>
        <v>18</v>
      </c>
      <c r="AZ10" s="202">
        <f t="shared" si="0"/>
        <v>19</v>
      </c>
      <c r="BA10" s="202">
        <f t="shared" si="0"/>
        <v>20</v>
      </c>
      <c r="BB10" s="202">
        <f t="shared" si="0"/>
        <v>21</v>
      </c>
      <c r="BC10" s="202">
        <f t="shared" si="0"/>
        <v>22</v>
      </c>
      <c r="BD10" s="202">
        <f t="shared" si="0"/>
        <v>23</v>
      </c>
      <c r="BE10" s="202">
        <f t="shared" si="0"/>
        <v>24</v>
      </c>
      <c r="BF10" s="202">
        <f t="shared" si="0"/>
        <v>25</v>
      </c>
      <c r="BG10" s="202">
        <f t="shared" si="0"/>
        <v>26</v>
      </c>
      <c r="BH10" s="202">
        <f t="shared" si="0"/>
        <v>27</v>
      </c>
      <c r="BI10" s="202">
        <f t="shared" si="0"/>
        <v>28</v>
      </c>
      <c r="BJ10" s="202">
        <f t="shared" si="0"/>
        <v>29</v>
      </c>
      <c r="BK10" s="202">
        <f t="shared" si="0"/>
        <v>30</v>
      </c>
      <c r="BL10" s="202">
        <f t="shared" si="0"/>
        <v>31</v>
      </c>
      <c r="BM10" s="202">
        <f t="shared" si="0"/>
        <v>32</v>
      </c>
      <c r="BN10" s="202">
        <f t="shared" si="0"/>
        <v>33</v>
      </c>
      <c r="BO10" s="202">
        <f t="shared" si="0"/>
        <v>34</v>
      </c>
      <c r="BP10" s="202">
        <f t="shared" si="0"/>
        <v>35</v>
      </c>
      <c r="BQ10" s="202">
        <f t="shared" si="0"/>
        <v>36</v>
      </c>
      <c r="BR10" s="202">
        <f t="shared" si="0"/>
        <v>37</v>
      </c>
      <c r="BS10" s="202">
        <f t="shared" si="0"/>
        <v>38</v>
      </c>
      <c r="BT10" s="202">
        <f t="shared" si="0"/>
        <v>39</v>
      </c>
      <c r="BU10" s="202">
        <f t="shared" ref="BU10:DX10" si="1">BU9-25</f>
        <v>40</v>
      </c>
      <c r="BV10" s="202">
        <f t="shared" si="1"/>
        <v>41</v>
      </c>
      <c r="BW10" s="202">
        <f t="shared" si="1"/>
        <v>42</v>
      </c>
      <c r="BX10" s="202">
        <f t="shared" si="1"/>
        <v>43</v>
      </c>
      <c r="BY10" s="202">
        <f t="shared" si="1"/>
        <v>44</v>
      </c>
      <c r="BZ10" s="202">
        <f t="shared" si="1"/>
        <v>45</v>
      </c>
      <c r="CA10" s="202">
        <f t="shared" si="1"/>
        <v>46</v>
      </c>
      <c r="CB10" s="202">
        <f t="shared" si="1"/>
        <v>47</v>
      </c>
      <c r="CC10" s="202">
        <f t="shared" si="1"/>
        <v>48</v>
      </c>
      <c r="CD10" s="202">
        <f t="shared" si="1"/>
        <v>49</v>
      </c>
      <c r="CE10" s="202">
        <f t="shared" si="1"/>
        <v>50</v>
      </c>
      <c r="CF10" s="202">
        <f t="shared" si="1"/>
        <v>51</v>
      </c>
      <c r="CG10" s="202">
        <f t="shared" si="1"/>
        <v>52</v>
      </c>
      <c r="CH10" s="202">
        <f t="shared" si="1"/>
        <v>53</v>
      </c>
      <c r="CI10" s="202">
        <f t="shared" si="1"/>
        <v>54</v>
      </c>
      <c r="CJ10" s="202">
        <f t="shared" si="1"/>
        <v>55</v>
      </c>
      <c r="CK10" s="202">
        <f t="shared" si="1"/>
        <v>56</v>
      </c>
      <c r="CL10" s="202">
        <f t="shared" si="1"/>
        <v>57</v>
      </c>
      <c r="CM10" s="202">
        <f t="shared" si="1"/>
        <v>58</v>
      </c>
      <c r="CN10" s="202">
        <f t="shared" si="1"/>
        <v>59</v>
      </c>
      <c r="CO10" s="202">
        <f t="shared" si="1"/>
        <v>60</v>
      </c>
      <c r="CP10" s="202">
        <f t="shared" si="1"/>
        <v>61</v>
      </c>
      <c r="CQ10" s="202">
        <f t="shared" si="1"/>
        <v>62</v>
      </c>
      <c r="CR10" s="202">
        <f t="shared" si="1"/>
        <v>63</v>
      </c>
      <c r="CS10" s="202">
        <f t="shared" si="1"/>
        <v>64</v>
      </c>
      <c r="CT10" s="202">
        <f t="shared" si="1"/>
        <v>65</v>
      </c>
      <c r="CU10" s="202">
        <f t="shared" si="1"/>
        <v>66</v>
      </c>
      <c r="CV10" s="202">
        <f t="shared" si="1"/>
        <v>67</v>
      </c>
      <c r="CW10" s="202">
        <f t="shared" si="1"/>
        <v>68</v>
      </c>
      <c r="CX10" s="202">
        <f t="shared" si="1"/>
        <v>69</v>
      </c>
      <c r="CY10" s="202">
        <f t="shared" si="1"/>
        <v>70</v>
      </c>
      <c r="CZ10" s="202">
        <f t="shared" si="1"/>
        <v>71</v>
      </c>
      <c r="DA10" s="202">
        <f t="shared" si="1"/>
        <v>72</v>
      </c>
      <c r="DB10" s="202">
        <f t="shared" si="1"/>
        <v>73</v>
      </c>
      <c r="DC10" s="202">
        <f t="shared" si="1"/>
        <v>74</v>
      </c>
      <c r="DD10" s="202">
        <f t="shared" si="1"/>
        <v>75</v>
      </c>
      <c r="DE10" s="202">
        <f t="shared" si="1"/>
        <v>76</v>
      </c>
      <c r="DF10" s="202">
        <f t="shared" si="1"/>
        <v>77</v>
      </c>
      <c r="DG10" s="202">
        <f t="shared" si="1"/>
        <v>78</v>
      </c>
      <c r="DH10" s="202">
        <f t="shared" si="1"/>
        <v>79</v>
      </c>
      <c r="DI10" s="202">
        <f t="shared" si="1"/>
        <v>80</v>
      </c>
      <c r="DJ10" s="202">
        <f t="shared" si="1"/>
        <v>81</v>
      </c>
      <c r="DK10" s="202">
        <f t="shared" si="1"/>
        <v>82</v>
      </c>
      <c r="DL10" s="202">
        <f t="shared" si="1"/>
        <v>83</v>
      </c>
      <c r="DM10" s="202">
        <f t="shared" si="1"/>
        <v>84</v>
      </c>
      <c r="DN10" s="202">
        <f t="shared" si="1"/>
        <v>85</v>
      </c>
      <c r="DO10" s="202">
        <f t="shared" si="1"/>
        <v>86</v>
      </c>
      <c r="DP10" s="202">
        <f t="shared" si="1"/>
        <v>87</v>
      </c>
      <c r="DQ10" s="202">
        <f t="shared" si="1"/>
        <v>88</v>
      </c>
      <c r="DR10" s="202">
        <f t="shared" si="1"/>
        <v>89</v>
      </c>
      <c r="DS10" s="202">
        <f t="shared" si="1"/>
        <v>90</v>
      </c>
      <c r="DT10" s="202">
        <f t="shared" si="1"/>
        <v>91</v>
      </c>
      <c r="DU10" s="202">
        <f t="shared" si="1"/>
        <v>92</v>
      </c>
      <c r="DV10" s="202">
        <f t="shared" si="1"/>
        <v>93</v>
      </c>
      <c r="DW10" s="202">
        <f t="shared" si="1"/>
        <v>94</v>
      </c>
      <c r="DX10" s="202">
        <f t="shared" si="1"/>
        <v>95</v>
      </c>
    </row>
    <row r="11" spans="1:128" ht="12.95" customHeight="1" x14ac:dyDescent="0.2">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row>
    <row r="12" spans="1:128" ht="12.95" customHeight="1" x14ac:dyDescent="0.2">
      <c r="B12" s="121" t="s">
        <v>484</v>
      </c>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row>
    <row r="13" spans="1:128" ht="12.95" customHeight="1" x14ac:dyDescent="0.2">
      <c r="B13" s="21" t="s">
        <v>614</v>
      </c>
      <c r="F13" s="54" t="s">
        <v>492</v>
      </c>
      <c r="G13" s="54" t="s">
        <v>4</v>
      </c>
      <c r="H13" s="93">
        <f>H9</f>
        <v>0</v>
      </c>
      <c r="I13" s="93">
        <f t="shared" ref="I13:BT13" si="2">I9</f>
        <v>1</v>
      </c>
      <c r="J13" s="93">
        <f t="shared" si="2"/>
        <v>2</v>
      </c>
      <c r="K13" s="93">
        <f t="shared" si="2"/>
        <v>3</v>
      </c>
      <c r="L13" s="93">
        <f t="shared" si="2"/>
        <v>4</v>
      </c>
      <c r="M13" s="93">
        <f t="shared" si="2"/>
        <v>5</v>
      </c>
      <c r="N13" s="93">
        <f t="shared" si="2"/>
        <v>6</v>
      </c>
      <c r="O13" s="93">
        <f t="shared" si="2"/>
        <v>7</v>
      </c>
      <c r="P13" s="93">
        <f t="shared" si="2"/>
        <v>8</v>
      </c>
      <c r="Q13" s="93">
        <f t="shared" si="2"/>
        <v>9</v>
      </c>
      <c r="R13" s="93">
        <f t="shared" si="2"/>
        <v>10</v>
      </c>
      <c r="S13" s="93">
        <f t="shared" si="2"/>
        <v>11</v>
      </c>
      <c r="T13" s="93">
        <f t="shared" si="2"/>
        <v>12</v>
      </c>
      <c r="U13" s="93">
        <f t="shared" si="2"/>
        <v>13</v>
      </c>
      <c r="V13" s="93">
        <f t="shared" si="2"/>
        <v>14</v>
      </c>
      <c r="W13" s="93">
        <f t="shared" si="2"/>
        <v>15</v>
      </c>
      <c r="X13" s="93">
        <f t="shared" si="2"/>
        <v>16</v>
      </c>
      <c r="Y13" s="93">
        <f t="shared" si="2"/>
        <v>17</v>
      </c>
      <c r="Z13" s="93">
        <f t="shared" si="2"/>
        <v>18</v>
      </c>
      <c r="AA13" s="93">
        <f t="shared" si="2"/>
        <v>19</v>
      </c>
      <c r="AB13" s="93">
        <f t="shared" si="2"/>
        <v>20</v>
      </c>
      <c r="AC13" s="93">
        <f t="shared" si="2"/>
        <v>21</v>
      </c>
      <c r="AD13" s="93">
        <f t="shared" si="2"/>
        <v>22</v>
      </c>
      <c r="AE13" s="93">
        <f t="shared" si="2"/>
        <v>23</v>
      </c>
      <c r="AF13" s="93">
        <f t="shared" si="2"/>
        <v>24</v>
      </c>
      <c r="AG13" s="93">
        <f t="shared" si="2"/>
        <v>25</v>
      </c>
      <c r="AH13" s="93">
        <f t="shared" si="2"/>
        <v>26</v>
      </c>
      <c r="AI13" s="93">
        <f t="shared" si="2"/>
        <v>27</v>
      </c>
      <c r="AJ13" s="93">
        <f t="shared" si="2"/>
        <v>28</v>
      </c>
      <c r="AK13" s="93">
        <f t="shared" si="2"/>
        <v>29</v>
      </c>
      <c r="AL13" s="93">
        <f t="shared" si="2"/>
        <v>30</v>
      </c>
      <c r="AM13" s="93">
        <f t="shared" si="2"/>
        <v>31</v>
      </c>
      <c r="AN13" s="93">
        <f t="shared" si="2"/>
        <v>32</v>
      </c>
      <c r="AO13" s="93">
        <f t="shared" si="2"/>
        <v>33</v>
      </c>
      <c r="AP13" s="93">
        <f t="shared" si="2"/>
        <v>34</v>
      </c>
      <c r="AQ13" s="93">
        <f t="shared" si="2"/>
        <v>35</v>
      </c>
      <c r="AR13" s="93">
        <f t="shared" si="2"/>
        <v>36</v>
      </c>
      <c r="AS13" s="93">
        <f t="shared" si="2"/>
        <v>37</v>
      </c>
      <c r="AT13" s="93">
        <f t="shared" si="2"/>
        <v>38</v>
      </c>
      <c r="AU13" s="93">
        <f t="shared" si="2"/>
        <v>39</v>
      </c>
      <c r="AV13" s="93">
        <f t="shared" si="2"/>
        <v>40</v>
      </c>
      <c r="AW13" s="93">
        <f t="shared" si="2"/>
        <v>41</v>
      </c>
      <c r="AX13" s="93">
        <f t="shared" si="2"/>
        <v>42</v>
      </c>
      <c r="AY13" s="93">
        <f t="shared" si="2"/>
        <v>43</v>
      </c>
      <c r="AZ13" s="93">
        <f t="shared" si="2"/>
        <v>44</v>
      </c>
      <c r="BA13" s="93">
        <f t="shared" si="2"/>
        <v>45</v>
      </c>
      <c r="BB13" s="93">
        <f t="shared" si="2"/>
        <v>46</v>
      </c>
      <c r="BC13" s="93">
        <f t="shared" si="2"/>
        <v>47</v>
      </c>
      <c r="BD13" s="93">
        <f t="shared" si="2"/>
        <v>48</v>
      </c>
      <c r="BE13" s="93">
        <f t="shared" si="2"/>
        <v>49</v>
      </c>
      <c r="BF13" s="93">
        <f t="shared" si="2"/>
        <v>50</v>
      </c>
      <c r="BG13" s="93">
        <f t="shared" si="2"/>
        <v>51</v>
      </c>
      <c r="BH13" s="93">
        <f t="shared" si="2"/>
        <v>52</v>
      </c>
      <c r="BI13" s="93">
        <f t="shared" si="2"/>
        <v>53</v>
      </c>
      <c r="BJ13" s="93">
        <f t="shared" si="2"/>
        <v>54</v>
      </c>
      <c r="BK13" s="93">
        <f t="shared" si="2"/>
        <v>55</v>
      </c>
      <c r="BL13" s="93">
        <f t="shared" si="2"/>
        <v>56</v>
      </c>
      <c r="BM13" s="93">
        <f t="shared" si="2"/>
        <v>57</v>
      </c>
      <c r="BN13" s="93">
        <f t="shared" si="2"/>
        <v>58</v>
      </c>
      <c r="BO13" s="93">
        <f t="shared" si="2"/>
        <v>59</v>
      </c>
      <c r="BP13" s="93">
        <f t="shared" si="2"/>
        <v>60</v>
      </c>
      <c r="BQ13" s="93">
        <f t="shared" si="2"/>
        <v>61</v>
      </c>
      <c r="BR13" s="93">
        <f t="shared" si="2"/>
        <v>62</v>
      </c>
      <c r="BS13" s="93">
        <f t="shared" si="2"/>
        <v>63</v>
      </c>
      <c r="BT13" s="93">
        <f t="shared" si="2"/>
        <v>64</v>
      </c>
      <c r="BU13" s="93">
        <f t="shared" ref="BU13:CJ13" si="3">BU9</f>
        <v>65</v>
      </c>
      <c r="BV13" s="93">
        <f t="shared" si="3"/>
        <v>66</v>
      </c>
      <c r="BW13" s="93">
        <f t="shared" si="3"/>
        <v>67</v>
      </c>
      <c r="BX13" s="93">
        <f t="shared" si="3"/>
        <v>68</v>
      </c>
      <c r="BY13" s="93">
        <f t="shared" si="3"/>
        <v>69</v>
      </c>
      <c r="BZ13" s="93">
        <f t="shared" si="3"/>
        <v>70</v>
      </c>
      <c r="CA13" s="93">
        <f t="shared" si="3"/>
        <v>71</v>
      </c>
      <c r="CB13" s="93">
        <f t="shared" si="3"/>
        <v>72</v>
      </c>
      <c r="CC13" s="93">
        <f t="shared" si="3"/>
        <v>73</v>
      </c>
      <c r="CD13" s="93">
        <f t="shared" si="3"/>
        <v>74</v>
      </c>
      <c r="CE13" s="93">
        <f t="shared" si="3"/>
        <v>75</v>
      </c>
      <c r="CF13" s="93">
        <f t="shared" si="3"/>
        <v>76</v>
      </c>
      <c r="CG13" s="93">
        <f t="shared" si="3"/>
        <v>77</v>
      </c>
      <c r="CH13" s="93">
        <f t="shared" si="3"/>
        <v>78</v>
      </c>
      <c r="CI13" s="93">
        <f t="shared" si="3"/>
        <v>79</v>
      </c>
      <c r="CJ13" s="93">
        <f t="shared" si="3"/>
        <v>80</v>
      </c>
      <c r="CK13" s="93">
        <f t="shared" ref="CK13:DX13" si="4">CK9</f>
        <v>81</v>
      </c>
      <c r="CL13" s="93">
        <f t="shared" si="4"/>
        <v>82</v>
      </c>
      <c r="CM13" s="93">
        <f t="shared" si="4"/>
        <v>83</v>
      </c>
      <c r="CN13" s="93">
        <f t="shared" si="4"/>
        <v>84</v>
      </c>
      <c r="CO13" s="93">
        <f t="shared" si="4"/>
        <v>85</v>
      </c>
      <c r="CP13" s="93">
        <f t="shared" si="4"/>
        <v>86</v>
      </c>
      <c r="CQ13" s="93">
        <f t="shared" si="4"/>
        <v>87</v>
      </c>
      <c r="CR13" s="93">
        <f t="shared" si="4"/>
        <v>88</v>
      </c>
      <c r="CS13" s="93">
        <f t="shared" si="4"/>
        <v>89</v>
      </c>
      <c r="CT13" s="93">
        <f t="shared" si="4"/>
        <v>90</v>
      </c>
      <c r="CU13" s="93">
        <f t="shared" si="4"/>
        <v>91</v>
      </c>
      <c r="CV13" s="93">
        <f t="shared" si="4"/>
        <v>92</v>
      </c>
      <c r="CW13" s="93">
        <f t="shared" si="4"/>
        <v>93</v>
      </c>
      <c r="CX13" s="93">
        <f t="shared" si="4"/>
        <v>94</v>
      </c>
      <c r="CY13" s="93">
        <f t="shared" si="4"/>
        <v>95</v>
      </c>
      <c r="CZ13" s="93">
        <f t="shared" si="4"/>
        <v>96</v>
      </c>
      <c r="DA13" s="93">
        <f t="shared" si="4"/>
        <v>97</v>
      </c>
      <c r="DB13" s="93">
        <f t="shared" si="4"/>
        <v>98</v>
      </c>
      <c r="DC13" s="93">
        <f t="shared" si="4"/>
        <v>99</v>
      </c>
      <c r="DD13" s="93">
        <f t="shared" si="4"/>
        <v>100</v>
      </c>
      <c r="DE13" s="93">
        <f t="shared" si="4"/>
        <v>101</v>
      </c>
      <c r="DF13" s="93">
        <f t="shared" si="4"/>
        <v>102</v>
      </c>
      <c r="DG13" s="93">
        <f t="shared" si="4"/>
        <v>103</v>
      </c>
      <c r="DH13" s="93">
        <f t="shared" si="4"/>
        <v>104</v>
      </c>
      <c r="DI13" s="93">
        <f t="shared" si="4"/>
        <v>105</v>
      </c>
      <c r="DJ13" s="93">
        <f t="shared" si="4"/>
        <v>106</v>
      </c>
      <c r="DK13" s="93">
        <f t="shared" si="4"/>
        <v>107</v>
      </c>
      <c r="DL13" s="93">
        <f t="shared" si="4"/>
        <v>108</v>
      </c>
      <c r="DM13" s="93">
        <f t="shared" si="4"/>
        <v>109</v>
      </c>
      <c r="DN13" s="93">
        <f t="shared" si="4"/>
        <v>110</v>
      </c>
      <c r="DO13" s="93">
        <f t="shared" si="4"/>
        <v>111</v>
      </c>
      <c r="DP13" s="93">
        <f t="shared" si="4"/>
        <v>112</v>
      </c>
      <c r="DQ13" s="93">
        <f t="shared" si="4"/>
        <v>113</v>
      </c>
      <c r="DR13" s="93">
        <f t="shared" si="4"/>
        <v>114</v>
      </c>
      <c r="DS13" s="93">
        <f t="shared" si="4"/>
        <v>115</v>
      </c>
      <c r="DT13" s="93">
        <f t="shared" si="4"/>
        <v>116</v>
      </c>
      <c r="DU13" s="93">
        <f t="shared" si="4"/>
        <v>117</v>
      </c>
      <c r="DV13" s="93">
        <f t="shared" si="4"/>
        <v>118</v>
      </c>
      <c r="DW13" s="93">
        <f t="shared" si="4"/>
        <v>119</v>
      </c>
      <c r="DX13" s="93">
        <f t="shared" si="4"/>
        <v>120</v>
      </c>
    </row>
    <row r="14" spans="1:128" ht="12.95" customHeight="1" x14ac:dyDescent="0.2">
      <c r="B14" s="21" t="s">
        <v>490</v>
      </c>
      <c r="F14" s="54" t="s">
        <v>492</v>
      </c>
      <c r="G14" s="54" t="s">
        <v>395</v>
      </c>
      <c r="H14" s="188">
        <f t="shared" ref="H14:AM14" si="5">HLOOKUP(H13,t_growth,3)</f>
        <v>0</v>
      </c>
      <c r="I14" s="188">
        <f t="shared" si="5"/>
        <v>1.3801503036642727E-2</v>
      </c>
      <c r="J14" s="188">
        <f t="shared" si="5"/>
        <v>0.10250810373022921</v>
      </c>
      <c r="K14" s="188">
        <f t="shared" si="5"/>
        <v>0.32140060564134304</v>
      </c>
      <c r="L14" s="188">
        <f t="shared" si="5"/>
        <v>0.70819088008020181</v>
      </c>
      <c r="M14" s="188">
        <f t="shared" si="5"/>
        <v>1.2865903014343147</v>
      </c>
      <c r="N14" s="188">
        <f t="shared" si="5"/>
        <v>2.0692648651289542</v>
      </c>
      <c r="O14" s="188">
        <f t="shared" si="5"/>
        <v>3.0602740346849182</v>
      </c>
      <c r="P14" s="188">
        <f t="shared" si="5"/>
        <v>4.2570757029793187</v>
      </c>
      <c r="Q14" s="188">
        <f t="shared" si="5"/>
        <v>5.6521671458405169</v>
      </c>
      <c r="R14" s="188">
        <f t="shared" si="5"/>
        <v>7.2344211823897746</v>
      </c>
      <c r="S14" s="188">
        <f t="shared" si="5"/>
        <v>8.9901676693851371</v>
      </c>
      <c r="T14" s="188">
        <f t="shared" si="5"/>
        <v>10.904062717666822</v>
      </c>
      <c r="U14" s="188">
        <f t="shared" si="5"/>
        <v>12.959781431811036</v>
      </c>
      <c r="V14" s="188">
        <f t="shared" si="5"/>
        <v>15.140564371508987</v>
      </c>
      <c r="W14" s="188">
        <f t="shared" si="5"/>
        <v>17.4296431713258</v>
      </c>
      <c r="X14" s="188">
        <f t="shared" si="5"/>
        <v>19.810566711342741</v>
      </c>
      <c r="Y14" s="188">
        <f t="shared" si="5"/>
        <v>22.267445799447479</v>
      </c>
      <c r="Z14" s="188">
        <f t="shared" si="5"/>
        <v>24.785131416603353</v>
      </c>
      <c r="AA14" s="188">
        <f t="shared" si="5"/>
        <v>27.349339112214277</v>
      </c>
      <c r="AB14" s="188">
        <f t="shared" si="5"/>
        <v>29.946730051786854</v>
      </c>
      <c r="AC14" s="188">
        <f t="shared" si="5"/>
        <v>32.564957457117195</v>
      </c>
      <c r="AD14" s="188">
        <f t="shared" si="5"/>
        <v>35.192685692036868</v>
      </c>
      <c r="AE14" s="188">
        <f t="shared" si="5"/>
        <v>37.819587993197999</v>
      </c>
      <c r="AF14" s="188">
        <f t="shared" si="5"/>
        <v>40.436327790332221</v>
      </c>
      <c r="AG14" s="188">
        <f t="shared" si="5"/>
        <v>43.034527673896086</v>
      </c>
      <c r="AH14" s="188">
        <f t="shared" si="5"/>
        <v>45.606729324439719</v>
      </c>
      <c r="AI14" s="188">
        <f t="shared" si="5"/>
        <v>48.146347095592041</v>
      </c>
      <c r="AJ14" s="188">
        <f t="shared" si="5"/>
        <v>50.647617422659295</v>
      </c>
      <c r="AK14" s="188">
        <f t="shared" si="5"/>
        <v>53.105545795652432</v>
      </c>
      <c r="AL14" s="188">
        <f t="shared" si="5"/>
        <v>55.515852675616792</v>
      </c>
      <c r="AM14" s="188">
        <f t="shared" si="5"/>
        <v>57.874919434974622</v>
      </c>
      <c r="AN14" s="188">
        <f t="shared" ref="AN14:BS14" si="6">HLOOKUP(AN13,t_growth,3)</f>
        <v>60.179735156461923</v>
      </c>
      <c r="AO14" s="188">
        <f t="shared" si="6"/>
        <v>62.427844922873923</v>
      </c>
      <c r="AP14" s="188">
        <f t="shared" si="6"/>
        <v>64.617300064203548</v>
      </c>
      <c r="AQ14" s="188">
        <f t="shared" si="6"/>
        <v>66.746610693912174</v>
      </c>
      <c r="AR14" s="188">
        <f t="shared" si="6"/>
        <v>68.814700756968321</v>
      </c>
      <c r="AS14" s="188">
        <f t="shared" si="6"/>
        <v>70.820865724660678</v>
      </c>
      <c r="AT14" s="188">
        <f t="shared" si="6"/>
        <v>72.764733001429349</v>
      </c>
      <c r="AU14" s="188">
        <f t="shared" si="6"/>
        <v>74.646225054022594</v>
      </c>
      <c r="AV14" s="188">
        <f t="shared" si="6"/>
        <v>76.465525230604669</v>
      </c>
      <c r="AW14" s="188">
        <f t="shared" si="6"/>
        <v>78.22304620485869</v>
      </c>
      <c r="AX14" s="188">
        <f t="shared" si="6"/>
        <v>79.919400955828209</v>
      </c>
      <c r="AY14" s="188">
        <f t="shared" si="6"/>
        <v>81.555376176702282</v>
      </c>
      <c r="AZ14" s="188">
        <f t="shared" si="6"/>
        <v>83.131907993694981</v>
      </c>
      <c r="BA14" s="188">
        <f t="shared" si="6"/>
        <v>84.650059868539287</v>
      </c>
      <c r="BB14" s="188">
        <f t="shared" si="6"/>
        <v>86.111002554017915</v>
      </c>
      <c r="BC14" s="188">
        <f t="shared" si="6"/>
        <v>87.515995970655169</v>
      </c>
      <c r="BD14" s="188">
        <f t="shared" si="6"/>
        <v>88.866372873580801</v>
      </c>
      <c r="BE14" s="188">
        <f t="shared" si="6"/>
        <v>90.163524181150464</v>
      </c>
      <c r="BF14" s="188">
        <f t="shared" si="6"/>
        <v>91.408885840746265</v>
      </c>
      <c r="BG14" s="188">
        <f t="shared" si="6"/>
        <v>92.603927111953922</v>
      </c>
      <c r="BH14" s="188">
        <f t="shared" si="6"/>
        <v>93.750140152737799</v>
      </c>
      <c r="BI14" s="188">
        <f t="shared" si="6"/>
        <v>94.849030800092564</v>
      </c>
      <c r="BJ14" s="188">
        <f t="shared" si="6"/>
        <v>95.902110442760019</v>
      </c>
      <c r="BK14" s="188">
        <f t="shared" si="6"/>
        <v>96.910888889817528</v>
      </c>
      <c r="BL14" s="188">
        <f t="shared" si="6"/>
        <v>97.876868145162788</v>
      </c>
      <c r="BM14" s="188">
        <f t="shared" si="6"/>
        <v>98.801537004046068</v>
      </c>
      <c r="BN14" s="188">
        <f t="shared" si="6"/>
        <v>99.686366393772815</v>
      </c>
      <c r="BO14" s="188">
        <f t="shared" si="6"/>
        <v>100.5328053864676</v>
      </c>
      <c r="BP14" s="188">
        <f t="shared" si="6"/>
        <v>101.34227781731518</v>
      </c>
      <c r="BQ14" s="188">
        <f t="shared" si="6"/>
        <v>102.11617944695877</v>
      </c>
      <c r="BR14" s="188">
        <f t="shared" si="6"/>
        <v>102.85587561171667</v>
      </c>
      <c r="BS14" s="188">
        <f t="shared" si="6"/>
        <v>103.56269930997377</v>
      </c>
      <c r="BT14" s="188">
        <f t="shared" ref="BT14:CJ14" si="7">HLOOKUP(BT13,t_growth,3)</f>
        <v>104.23794967751182</v>
      </c>
      <c r="BU14" s="188">
        <f t="shared" si="7"/>
        <v>104.88289080865843</v>
      </c>
      <c r="BV14" s="188">
        <f t="shared" si="7"/>
        <v>105.49875088397421</v>
      </c>
      <c r="BW14" s="188">
        <f t="shared" si="7"/>
        <v>106.08672156876112</v>
      </c>
      <c r="BX14" s="188">
        <f t="shared" si="7"/>
        <v>106.6479576499766</v>
      </c>
      <c r="BY14" s="188">
        <f t="shared" si="7"/>
        <v>107.18357688218988</v>
      </c>
      <c r="BZ14" s="188">
        <f t="shared" si="7"/>
        <v>107.69466001602949</v>
      </c>
      <c r="CA14" s="188">
        <f t="shared" si="7"/>
        <v>108.18225098515779</v>
      </c>
      <c r="CB14" s="188">
        <f t="shared" si="7"/>
        <v>108.64735723018511</v>
      </c>
      <c r="CC14" s="188">
        <f t="shared" si="7"/>
        <v>109.0909501401116</v>
      </c>
      <c r="CD14" s="188">
        <f t="shared" si="7"/>
        <v>109.51396559387747</v>
      </c>
      <c r="CE14" s="188">
        <f t="shared" si="7"/>
        <v>109.91730458641989</v>
      </c>
      <c r="CF14" s="188">
        <f t="shared" si="7"/>
        <v>110.3018339252922</v>
      </c>
      <c r="CG14" s="188">
        <f t="shared" si="7"/>
        <v>110.6683869854116</v>
      </c>
      <c r="CH14" s="188">
        <f t="shared" si="7"/>
        <v>111.01776451087146</v>
      </c>
      <c r="CI14" s="188">
        <f t="shared" si="7"/>
        <v>111.35073545400006</v>
      </c>
      <c r="CJ14" s="188">
        <f t="shared" si="7"/>
        <v>111.66803784297581</v>
      </c>
      <c r="CK14" s="188">
        <f t="shared" ref="CK14:DX14" si="8">HLOOKUP(CK13,t_growth,3)</f>
        <v>111.97037967032826</v>
      </c>
      <c r="CL14" s="188">
        <f t="shared" si="8"/>
        <v>112.25843979557877</v>
      </c>
      <c r="CM14" s="188">
        <f t="shared" si="8"/>
        <v>112.53286885610451</v>
      </c>
      <c r="CN14" s="188">
        <f t="shared" si="8"/>
        <v>112.79429018106121</v>
      </c>
      <c r="CO14" s="188">
        <f t="shared" si="8"/>
        <v>113.04330070387277</v>
      </c>
      <c r="CP14" s="188">
        <f t="shared" si="8"/>
        <v>113.2804718694035</v>
      </c>
      <c r="CQ14" s="188">
        <f t="shared" si="8"/>
        <v>113.50635053246974</v>
      </c>
      <c r="CR14" s="188">
        <f t="shared" si="8"/>
        <v>113.72145984483637</v>
      </c>
      <c r="CS14" s="188">
        <f t="shared" si="8"/>
        <v>113.92630012827603</v>
      </c>
      <c r="CT14" s="188">
        <f t="shared" si="8"/>
        <v>114.121349731659</v>
      </c>
      <c r="CU14" s="188">
        <f t="shared" si="8"/>
        <v>114.30706587038449</v>
      </c>
      <c r="CV14" s="188">
        <f t="shared" si="8"/>
        <v>114.48388544677304</v>
      </c>
      <c r="CW14" s="188">
        <f t="shared" si="8"/>
        <v>114.65222585031027</v>
      </c>
      <c r="CX14" s="188">
        <f t="shared" si="8"/>
        <v>114.81248573687292</v>
      </c>
      <c r="CY14" s="188">
        <f t="shared" si="8"/>
        <v>114.96504578628149</v>
      </c>
      <c r="CZ14" s="188">
        <f t="shared" si="8"/>
        <v>115.11026943770834</v>
      </c>
      <c r="DA14" s="188">
        <f t="shared" si="8"/>
        <v>115.24850360263548</v>
      </c>
      <c r="DB14" s="188">
        <f t="shared" si="8"/>
        <v>115.38007935519893</v>
      </c>
      <c r="DC14" s="188">
        <f t="shared" si="8"/>
        <v>115.50531259987942</v>
      </c>
      <c r="DD14" s="188">
        <f t="shared" si="8"/>
        <v>115.62450471660945</v>
      </c>
      <c r="DE14" s="188">
        <f t="shared" si="8"/>
        <v>115.7379431834575</v>
      </c>
      <c r="DF14" s="188">
        <f t="shared" si="8"/>
        <v>115.8459021771306</v>
      </c>
      <c r="DG14" s="188">
        <f t="shared" si="8"/>
        <v>115.94864315160417</v>
      </c>
      <c r="DH14" s="188">
        <f t="shared" si="8"/>
        <v>116.04641539524519</v>
      </c>
      <c r="DI14" s="188">
        <f t="shared" si="8"/>
        <v>116.13945656684137</v>
      </c>
      <c r="DJ14" s="188">
        <f t="shared" si="8"/>
        <v>116.22799321099063</v>
      </c>
      <c r="DK14" s="188">
        <f t="shared" si="8"/>
        <v>116.31224125333401</v>
      </c>
      <c r="DL14" s="188">
        <f t="shared" si="8"/>
        <v>116.39240647614314</v>
      </c>
      <c r="DM14" s="188">
        <f t="shared" si="8"/>
        <v>116.4686849747918</v>
      </c>
      <c r="DN14" s="188">
        <f t="shared" si="8"/>
        <v>116.54126359565491</v>
      </c>
      <c r="DO14" s="188">
        <f t="shared" si="8"/>
        <v>116.6103203559903</v>
      </c>
      <c r="DP14" s="188">
        <f t="shared" si="8"/>
        <v>116.67602484636244</v>
      </c>
      <c r="DQ14" s="188">
        <f t="shared" si="8"/>
        <v>116.73853861617205</v>
      </c>
      <c r="DR14" s="188">
        <f t="shared" si="8"/>
        <v>116.79801554285352</v>
      </c>
      <c r="DS14" s="188">
        <f t="shared" si="8"/>
        <v>116.85460218530129</v>
      </c>
      <c r="DT14" s="188">
        <f t="shared" si="8"/>
        <v>116.9084381220791</v>
      </c>
      <c r="DU14" s="188">
        <f t="shared" si="8"/>
        <v>116.95965627496177</v>
      </c>
      <c r="DV14" s="188">
        <f t="shared" si="8"/>
        <v>117.00838321834841</v>
      </c>
      <c r="DW14" s="188">
        <f t="shared" si="8"/>
        <v>117.05473947507834</v>
      </c>
      <c r="DX14" s="188">
        <f t="shared" si="8"/>
        <v>117.09883979916818</v>
      </c>
    </row>
    <row r="15" spans="1:128" ht="12.95" customHeight="1" x14ac:dyDescent="0.2">
      <c r="B15" s="152" t="s">
        <v>617</v>
      </c>
      <c r="F15" s="54" t="s">
        <v>493</v>
      </c>
      <c r="G15" s="54" t="s">
        <v>395</v>
      </c>
      <c r="H15" s="146">
        <v>0</v>
      </c>
      <c r="I15" s="146">
        <v>0</v>
      </c>
      <c r="J15" s="146">
        <v>0</v>
      </c>
      <c r="K15" s="146">
        <v>0</v>
      </c>
      <c r="L15" s="146">
        <v>0</v>
      </c>
      <c r="M15" s="146">
        <v>0</v>
      </c>
      <c r="N15" s="146">
        <v>0</v>
      </c>
      <c r="O15" s="146">
        <v>0</v>
      </c>
      <c r="P15" s="146">
        <v>0</v>
      </c>
      <c r="Q15" s="146">
        <v>0</v>
      </c>
      <c r="R15" s="146">
        <v>0</v>
      </c>
      <c r="S15" s="146">
        <v>0</v>
      </c>
      <c r="T15" s="146">
        <v>0</v>
      </c>
      <c r="U15" s="146">
        <v>0</v>
      </c>
      <c r="V15" s="146">
        <v>0</v>
      </c>
      <c r="W15" s="146">
        <v>0</v>
      </c>
      <c r="X15" s="146">
        <v>0</v>
      </c>
      <c r="Y15" s="146">
        <v>0</v>
      </c>
      <c r="Z15" s="146">
        <v>0</v>
      </c>
      <c r="AA15" s="146">
        <v>0</v>
      </c>
      <c r="AB15" s="146">
        <v>0</v>
      </c>
      <c r="AC15" s="146">
        <v>0</v>
      </c>
      <c r="AD15" s="146">
        <v>0</v>
      </c>
      <c r="AE15" s="146">
        <v>0</v>
      </c>
      <c r="AF15" s="146">
        <v>0</v>
      </c>
      <c r="AG15" s="146">
        <v>0</v>
      </c>
      <c r="AH15" s="146">
        <f t="shared" ref="AH15:BM15" si="9">AH14-$AG$14</f>
        <v>2.5722016505436329</v>
      </c>
      <c r="AI15" s="146">
        <f t="shared" si="9"/>
        <v>5.1118194216959552</v>
      </c>
      <c r="AJ15" s="146">
        <f t="shared" si="9"/>
        <v>7.6130897487632083</v>
      </c>
      <c r="AK15" s="146">
        <f t="shared" si="9"/>
        <v>10.071018121756346</v>
      </c>
      <c r="AL15" s="146">
        <f t="shared" si="9"/>
        <v>12.481325001720705</v>
      </c>
      <c r="AM15" s="146">
        <f t="shared" si="9"/>
        <v>14.840391761078536</v>
      </c>
      <c r="AN15" s="146">
        <f t="shared" si="9"/>
        <v>17.145207482565837</v>
      </c>
      <c r="AO15" s="146">
        <f t="shared" si="9"/>
        <v>19.393317248977837</v>
      </c>
      <c r="AP15" s="146">
        <f t="shared" si="9"/>
        <v>21.582772390307461</v>
      </c>
      <c r="AQ15" s="146">
        <f t="shared" si="9"/>
        <v>23.712083020016088</v>
      </c>
      <c r="AR15" s="146">
        <f t="shared" si="9"/>
        <v>25.780173083072235</v>
      </c>
      <c r="AS15" s="146">
        <f t="shared" si="9"/>
        <v>27.786338050764591</v>
      </c>
      <c r="AT15" s="146">
        <f t="shared" si="9"/>
        <v>29.730205327533263</v>
      </c>
      <c r="AU15" s="146">
        <f t="shared" si="9"/>
        <v>31.611697380126508</v>
      </c>
      <c r="AV15" s="146">
        <f t="shared" si="9"/>
        <v>33.430997556708583</v>
      </c>
      <c r="AW15" s="146">
        <f t="shared" si="9"/>
        <v>35.188518530962604</v>
      </c>
      <c r="AX15" s="146">
        <f t="shared" si="9"/>
        <v>36.884873281932123</v>
      </c>
      <c r="AY15" s="146">
        <f t="shared" si="9"/>
        <v>38.520848502806196</v>
      </c>
      <c r="AZ15" s="146">
        <f t="shared" si="9"/>
        <v>40.097380319798894</v>
      </c>
      <c r="BA15" s="146">
        <f t="shared" si="9"/>
        <v>41.615532194643201</v>
      </c>
      <c r="BB15" s="146">
        <f t="shared" si="9"/>
        <v>43.076474880121829</v>
      </c>
      <c r="BC15" s="146">
        <f t="shared" si="9"/>
        <v>44.481468296759083</v>
      </c>
      <c r="BD15" s="146">
        <f t="shared" si="9"/>
        <v>45.831845199684714</v>
      </c>
      <c r="BE15" s="146">
        <f t="shared" si="9"/>
        <v>47.128996507254378</v>
      </c>
      <c r="BF15" s="146">
        <f t="shared" si="9"/>
        <v>48.374358166850179</v>
      </c>
      <c r="BG15" s="146">
        <f t="shared" si="9"/>
        <v>49.569399438057836</v>
      </c>
      <c r="BH15" s="146">
        <f t="shared" si="9"/>
        <v>50.715612478841713</v>
      </c>
      <c r="BI15" s="146">
        <f t="shared" si="9"/>
        <v>51.814503126196477</v>
      </c>
      <c r="BJ15" s="146">
        <f t="shared" si="9"/>
        <v>52.867582768863933</v>
      </c>
      <c r="BK15" s="146">
        <f t="shared" si="9"/>
        <v>53.876361215921442</v>
      </c>
      <c r="BL15" s="146">
        <f t="shared" si="9"/>
        <v>54.842340471266702</v>
      </c>
      <c r="BM15" s="146">
        <f t="shared" si="9"/>
        <v>55.767009330149982</v>
      </c>
      <c r="BN15" s="146">
        <f t="shared" ref="BN15:CS15" si="10">BN14-$AG$14</f>
        <v>56.651838719876729</v>
      </c>
      <c r="BO15" s="146">
        <f t="shared" si="10"/>
        <v>57.498277712571515</v>
      </c>
      <c r="BP15" s="146">
        <f t="shared" si="10"/>
        <v>58.307750143419092</v>
      </c>
      <c r="BQ15" s="146">
        <f t="shared" si="10"/>
        <v>59.081651773062681</v>
      </c>
      <c r="BR15" s="146">
        <f t="shared" si="10"/>
        <v>59.821347937820583</v>
      </c>
      <c r="BS15" s="146">
        <f t="shared" si="10"/>
        <v>60.52817163607768</v>
      </c>
      <c r="BT15" s="146">
        <f t="shared" si="10"/>
        <v>61.203422003615735</v>
      </c>
      <c r="BU15" s="146">
        <f t="shared" si="10"/>
        <v>61.848363134762344</v>
      </c>
      <c r="BV15" s="146">
        <f t="shared" si="10"/>
        <v>62.464223210078124</v>
      </c>
      <c r="BW15" s="146">
        <f t="shared" si="10"/>
        <v>63.052193894865034</v>
      </c>
      <c r="BX15" s="146">
        <f t="shared" si="10"/>
        <v>63.613429976080518</v>
      </c>
      <c r="BY15" s="146">
        <f t="shared" si="10"/>
        <v>64.149049208293803</v>
      </c>
      <c r="BZ15" s="146">
        <f t="shared" si="10"/>
        <v>64.660132342133409</v>
      </c>
      <c r="CA15" s="146">
        <f t="shared" si="10"/>
        <v>65.1477233112617</v>
      </c>
      <c r="CB15" s="146">
        <f t="shared" si="10"/>
        <v>65.612829556289029</v>
      </c>
      <c r="CC15" s="146">
        <f t="shared" si="10"/>
        <v>66.056422466215508</v>
      </c>
      <c r="CD15" s="146">
        <f t="shared" si="10"/>
        <v>66.479437919981393</v>
      </c>
      <c r="CE15" s="146">
        <f t="shared" si="10"/>
        <v>66.882776912523809</v>
      </c>
      <c r="CF15" s="146">
        <f t="shared" si="10"/>
        <v>67.267306251396121</v>
      </c>
      <c r="CG15" s="146">
        <f t="shared" si="10"/>
        <v>67.633859311515522</v>
      </c>
      <c r="CH15" s="146">
        <f t="shared" si="10"/>
        <v>67.983236836975379</v>
      </c>
      <c r="CI15" s="146">
        <f t="shared" si="10"/>
        <v>68.31620778010398</v>
      </c>
      <c r="CJ15" s="146">
        <f t="shared" si="10"/>
        <v>68.633510169079727</v>
      </c>
      <c r="CK15" s="146">
        <f t="shared" si="10"/>
        <v>68.935851996432177</v>
      </c>
      <c r="CL15" s="146">
        <f t="shared" si="10"/>
        <v>69.223912121682673</v>
      </c>
      <c r="CM15" s="146">
        <f t="shared" si="10"/>
        <v>69.498341182208435</v>
      </c>
      <c r="CN15" s="146">
        <f t="shared" si="10"/>
        <v>69.759762507165135</v>
      </c>
      <c r="CO15" s="146">
        <f t="shared" si="10"/>
        <v>70.00877302997668</v>
      </c>
      <c r="CP15" s="146">
        <f t="shared" si="10"/>
        <v>70.245944195507406</v>
      </c>
      <c r="CQ15" s="146">
        <f t="shared" si="10"/>
        <v>70.47182285857366</v>
      </c>
      <c r="CR15" s="146">
        <f t="shared" si="10"/>
        <v>70.686932170940281</v>
      </c>
      <c r="CS15" s="146">
        <f t="shared" si="10"/>
        <v>70.891772454379947</v>
      </c>
      <c r="CT15" s="146">
        <f t="shared" ref="CT15:DX15" si="11">CT14-$AG$14</f>
        <v>71.086822057762902</v>
      </c>
      <c r="CU15" s="146">
        <f t="shared" si="11"/>
        <v>71.272538196488398</v>
      </c>
      <c r="CV15" s="146">
        <f t="shared" si="11"/>
        <v>71.449357772876965</v>
      </c>
      <c r="CW15" s="146">
        <f t="shared" si="11"/>
        <v>71.617698176414194</v>
      </c>
      <c r="CX15" s="146">
        <f t="shared" si="11"/>
        <v>71.777958062976836</v>
      </c>
      <c r="CY15" s="146">
        <f t="shared" si="11"/>
        <v>71.930518112385414</v>
      </c>
      <c r="CZ15" s="146">
        <f t="shared" si="11"/>
        <v>72.07574176381226</v>
      </c>
      <c r="DA15" s="146">
        <f t="shared" si="11"/>
        <v>72.213975928739387</v>
      </c>
      <c r="DB15" s="146">
        <f t="shared" si="11"/>
        <v>72.345551681302851</v>
      </c>
      <c r="DC15" s="146">
        <f t="shared" si="11"/>
        <v>72.470784925983338</v>
      </c>
      <c r="DD15" s="146">
        <f t="shared" si="11"/>
        <v>72.589977042713372</v>
      </c>
      <c r="DE15" s="146">
        <f t="shared" si="11"/>
        <v>72.70341550956141</v>
      </c>
      <c r="DF15" s="146">
        <f t="shared" si="11"/>
        <v>72.811374503234504</v>
      </c>
      <c r="DG15" s="146">
        <f t="shared" si="11"/>
        <v>72.914115477708094</v>
      </c>
      <c r="DH15" s="146">
        <f t="shared" si="11"/>
        <v>73.011887721349098</v>
      </c>
      <c r="DI15" s="146">
        <f t="shared" si="11"/>
        <v>73.104928892945281</v>
      </c>
      <c r="DJ15" s="146">
        <f t="shared" si="11"/>
        <v>73.193465537094539</v>
      </c>
      <c r="DK15" s="146">
        <f t="shared" si="11"/>
        <v>73.277713579437915</v>
      </c>
      <c r="DL15" s="146">
        <f t="shared" si="11"/>
        <v>73.357878802247058</v>
      </c>
      <c r="DM15" s="146">
        <f t="shared" si="11"/>
        <v>73.43415730089572</v>
      </c>
      <c r="DN15" s="146">
        <f t="shared" si="11"/>
        <v>73.506735921758832</v>
      </c>
      <c r="DO15" s="146">
        <f t="shared" si="11"/>
        <v>73.575792682094203</v>
      </c>
      <c r="DP15" s="146">
        <f t="shared" si="11"/>
        <v>73.641497172466359</v>
      </c>
      <c r="DQ15" s="146">
        <f t="shared" si="11"/>
        <v>73.704010942275971</v>
      </c>
      <c r="DR15" s="146">
        <f t="shared" si="11"/>
        <v>73.763487868957441</v>
      </c>
      <c r="DS15" s="146">
        <f t="shared" si="11"/>
        <v>73.82007451140521</v>
      </c>
      <c r="DT15" s="146">
        <f t="shared" si="11"/>
        <v>73.873910448183011</v>
      </c>
      <c r="DU15" s="146">
        <f t="shared" si="11"/>
        <v>73.925128601065694</v>
      </c>
      <c r="DV15" s="146">
        <f t="shared" si="11"/>
        <v>73.973855544452334</v>
      </c>
      <c r="DW15" s="146">
        <f t="shared" si="11"/>
        <v>74.020211801182256</v>
      </c>
      <c r="DX15" s="146">
        <f t="shared" si="11"/>
        <v>74.064312125272096</v>
      </c>
    </row>
    <row r="16" spans="1:128" ht="12.95" customHeight="1" x14ac:dyDescent="0.2">
      <c r="B16" s="152" t="s">
        <v>481</v>
      </c>
      <c r="F16" s="54" t="s">
        <v>493</v>
      </c>
      <c r="G16" s="54" t="s">
        <v>395</v>
      </c>
      <c r="H16" s="147">
        <f>H14</f>
        <v>0</v>
      </c>
      <c r="I16" s="147">
        <f>I14-H14</f>
        <v>1.3801503036642727E-2</v>
      </c>
      <c r="J16" s="147">
        <f>J14-I14</f>
        <v>8.870660069358649E-2</v>
      </c>
      <c r="K16" s="147">
        <f t="shared" ref="K16:AV16" si="12">K14-J14</f>
        <v>0.21889250191111381</v>
      </c>
      <c r="L16" s="147">
        <f t="shared" si="12"/>
        <v>0.38679027443885877</v>
      </c>
      <c r="M16" s="147">
        <f t="shared" si="12"/>
        <v>0.57839942135411293</v>
      </c>
      <c r="N16" s="147">
        <f t="shared" si="12"/>
        <v>0.7826745636946395</v>
      </c>
      <c r="O16" s="147">
        <f t="shared" si="12"/>
        <v>0.99100916955596396</v>
      </c>
      <c r="P16" s="147">
        <f t="shared" si="12"/>
        <v>1.1968016682944005</v>
      </c>
      <c r="Q16" s="147">
        <f t="shared" si="12"/>
        <v>1.3950914428611982</v>
      </c>
      <c r="R16" s="147">
        <f t="shared" si="12"/>
        <v>1.5822540365492577</v>
      </c>
      <c r="S16" s="147">
        <f t="shared" si="12"/>
        <v>1.7557464869953625</v>
      </c>
      <c r="T16" s="147">
        <f t="shared" si="12"/>
        <v>1.9138950482816846</v>
      </c>
      <c r="U16" s="147">
        <f t="shared" si="12"/>
        <v>2.0557187141442146</v>
      </c>
      <c r="V16" s="147">
        <f t="shared" si="12"/>
        <v>2.1807829396979503</v>
      </c>
      <c r="W16" s="147">
        <f t="shared" si="12"/>
        <v>2.2890787998168136</v>
      </c>
      <c r="X16" s="147">
        <f t="shared" si="12"/>
        <v>2.3809235400169406</v>
      </c>
      <c r="Y16" s="147">
        <f t="shared" si="12"/>
        <v>2.4568790881047384</v>
      </c>
      <c r="Z16" s="147">
        <f t="shared" si="12"/>
        <v>2.5176856171558732</v>
      </c>
      <c r="AA16" s="147">
        <f t="shared" si="12"/>
        <v>2.564207695610925</v>
      </c>
      <c r="AB16" s="147">
        <f t="shared" si="12"/>
        <v>2.5973909395725769</v>
      </c>
      <c r="AC16" s="147">
        <f t="shared" si="12"/>
        <v>2.6182274053303409</v>
      </c>
      <c r="AD16" s="147">
        <f t="shared" si="12"/>
        <v>2.6277282349196724</v>
      </c>
      <c r="AE16" s="147">
        <f t="shared" si="12"/>
        <v>2.626902301161131</v>
      </c>
      <c r="AF16" s="147">
        <f t="shared" si="12"/>
        <v>2.6167397971342226</v>
      </c>
      <c r="AG16" s="147">
        <f t="shared" si="12"/>
        <v>2.5981998835638649</v>
      </c>
      <c r="AH16" s="147">
        <f t="shared" si="12"/>
        <v>2.5722016505436329</v>
      </c>
      <c r="AI16" s="147">
        <f t="shared" si="12"/>
        <v>2.5396177711523222</v>
      </c>
      <c r="AJ16" s="147">
        <f t="shared" si="12"/>
        <v>2.5012703270672532</v>
      </c>
      <c r="AK16" s="147">
        <f t="shared" si="12"/>
        <v>2.4579283729931376</v>
      </c>
      <c r="AL16" s="147">
        <f t="shared" si="12"/>
        <v>2.4103068799643594</v>
      </c>
      <c r="AM16" s="147">
        <f t="shared" si="12"/>
        <v>2.3590667593578303</v>
      </c>
      <c r="AN16" s="147">
        <f t="shared" si="12"/>
        <v>2.3048157214873015</v>
      </c>
      <c r="AO16" s="147">
        <f t="shared" si="12"/>
        <v>2.248109766412</v>
      </c>
      <c r="AP16" s="147">
        <f t="shared" si="12"/>
        <v>2.1894551413296242</v>
      </c>
      <c r="AQ16" s="147">
        <f t="shared" si="12"/>
        <v>2.1293106297086268</v>
      </c>
      <c r="AR16" s="147">
        <f t="shared" si="12"/>
        <v>2.0680900630561467</v>
      </c>
      <c r="AS16" s="147">
        <f t="shared" si="12"/>
        <v>2.0061649676923565</v>
      </c>
      <c r="AT16" s="147">
        <f t="shared" si="12"/>
        <v>1.9438672767686711</v>
      </c>
      <c r="AU16" s="147">
        <f t="shared" si="12"/>
        <v>1.881492052593245</v>
      </c>
      <c r="AV16" s="147">
        <f t="shared" si="12"/>
        <v>1.8193001765820753</v>
      </c>
      <c r="AW16" s="147">
        <f t="shared" ref="AW16:CJ16" si="13">AW14-AV14</f>
        <v>1.757520974254021</v>
      </c>
      <c r="AX16" s="147">
        <f t="shared" si="13"/>
        <v>1.6963547509695189</v>
      </c>
      <c r="AY16" s="147">
        <f t="shared" si="13"/>
        <v>1.635975220874073</v>
      </c>
      <c r="AZ16" s="147">
        <f t="shared" si="13"/>
        <v>1.5765318169926985</v>
      </c>
      <c r="BA16" s="147">
        <f t="shared" si="13"/>
        <v>1.5181518748443068</v>
      </c>
      <c r="BB16" s="147">
        <f t="shared" si="13"/>
        <v>1.4609426854786278</v>
      </c>
      <c r="BC16" s="147">
        <f t="shared" si="13"/>
        <v>1.4049934166372537</v>
      </c>
      <c r="BD16" s="147">
        <f t="shared" si="13"/>
        <v>1.3503769029256318</v>
      </c>
      <c r="BE16" s="147">
        <f t="shared" si="13"/>
        <v>1.2971513075696635</v>
      </c>
      <c r="BF16" s="147">
        <f t="shared" si="13"/>
        <v>1.245361659595801</v>
      </c>
      <c r="BG16" s="147">
        <f t="shared" si="13"/>
        <v>1.195041271207657</v>
      </c>
      <c r="BH16" s="147">
        <f t="shared" si="13"/>
        <v>1.1462130407838771</v>
      </c>
      <c r="BI16" s="147">
        <f t="shared" si="13"/>
        <v>1.0988906473547644</v>
      </c>
      <c r="BJ16" s="147">
        <f t="shared" si="13"/>
        <v>1.0530796426674556</v>
      </c>
      <c r="BK16" s="147">
        <f t="shared" si="13"/>
        <v>1.0087784470575087</v>
      </c>
      <c r="BL16" s="147">
        <f t="shared" si="13"/>
        <v>0.96597925534526041</v>
      </c>
      <c r="BM16" s="147">
        <f t="shared" si="13"/>
        <v>0.92466885888327965</v>
      </c>
      <c r="BN16" s="147">
        <f t="shared" si="13"/>
        <v>0.88482938972674674</v>
      </c>
      <c r="BO16" s="147">
        <f t="shared" si="13"/>
        <v>0.84643899269478595</v>
      </c>
      <c r="BP16" s="147">
        <f t="shared" si="13"/>
        <v>0.80947243084757758</v>
      </c>
      <c r="BQ16" s="147">
        <f t="shared" si="13"/>
        <v>0.77390162964358922</v>
      </c>
      <c r="BR16" s="147">
        <f t="shared" si="13"/>
        <v>0.7396961647579019</v>
      </c>
      <c r="BS16" s="147">
        <f t="shared" si="13"/>
        <v>0.70682369825709657</v>
      </c>
      <c r="BT16" s="147">
        <f t="shared" si="13"/>
        <v>0.67525036753805523</v>
      </c>
      <c r="BU16" s="147">
        <f t="shared" si="13"/>
        <v>0.64494113114660934</v>
      </c>
      <c r="BV16" s="147">
        <f t="shared" si="13"/>
        <v>0.61586007531577991</v>
      </c>
      <c r="BW16" s="147">
        <f t="shared" si="13"/>
        <v>0.58797068478691017</v>
      </c>
      <c r="BX16" s="147">
        <f t="shared" si="13"/>
        <v>0.5612360812154833</v>
      </c>
      <c r="BY16" s="147">
        <f t="shared" si="13"/>
        <v>0.53561923221327845</v>
      </c>
      <c r="BZ16" s="147">
        <f t="shared" si="13"/>
        <v>0.51108313383960535</v>
      </c>
      <c r="CA16" s="147">
        <f t="shared" si="13"/>
        <v>0.48759096912830557</v>
      </c>
      <c r="CB16" s="147">
        <f t="shared" si="13"/>
        <v>0.46510624502731446</v>
      </c>
      <c r="CC16" s="147">
        <f t="shared" si="13"/>
        <v>0.44359290992649392</v>
      </c>
      <c r="CD16" s="147">
        <f t="shared" si="13"/>
        <v>0.42301545376587057</v>
      </c>
      <c r="CE16" s="147">
        <f t="shared" si="13"/>
        <v>0.40333899254241601</v>
      </c>
      <c r="CF16" s="147">
        <f t="shared" si="13"/>
        <v>0.38452933887231211</v>
      </c>
      <c r="CG16" s="147">
        <f t="shared" si="13"/>
        <v>0.3665530601194007</v>
      </c>
      <c r="CH16" s="147">
        <f t="shared" si="13"/>
        <v>0.34937752545985745</v>
      </c>
      <c r="CI16" s="147">
        <f t="shared" si="13"/>
        <v>0.33297094312860054</v>
      </c>
      <c r="CJ16" s="147">
        <f t="shared" si="13"/>
        <v>0.31730238897574736</v>
      </c>
      <c r="CK16" s="147">
        <f t="shared" ref="CK16:DX16" si="14">CK14-CJ14</f>
        <v>0.30234182735244985</v>
      </c>
      <c r="CL16" s="147">
        <f t="shared" si="14"/>
        <v>0.28806012525051017</v>
      </c>
      <c r="CM16" s="147">
        <f t="shared" si="14"/>
        <v>0.27442906052574756</v>
      </c>
      <c r="CN16" s="147">
        <f t="shared" si="14"/>
        <v>0.26142132495670012</v>
      </c>
      <c r="CO16" s="147">
        <f t="shared" si="14"/>
        <v>0.24901052281155955</v>
      </c>
      <c r="CP16" s="147">
        <f t="shared" si="14"/>
        <v>0.23717116553072515</v>
      </c>
      <c r="CQ16" s="147">
        <f t="shared" si="14"/>
        <v>0.22587866306623994</v>
      </c>
      <c r="CR16" s="147">
        <f t="shared" si="14"/>
        <v>0.21510931236663566</v>
      </c>
      <c r="CS16" s="147">
        <f t="shared" si="14"/>
        <v>0.20484028343965122</v>
      </c>
      <c r="CT16" s="147">
        <f t="shared" si="14"/>
        <v>0.19504960338296939</v>
      </c>
      <c r="CU16" s="147">
        <f t="shared" si="14"/>
        <v>0.18571613872549619</v>
      </c>
      <c r="CV16" s="147">
        <f t="shared" si="14"/>
        <v>0.17681957638855295</v>
      </c>
      <c r="CW16" s="147">
        <f t="shared" si="14"/>
        <v>0.16834040353722912</v>
      </c>
      <c r="CX16" s="147">
        <f t="shared" si="14"/>
        <v>0.1602598865626419</v>
      </c>
      <c r="CY16" s="147">
        <f t="shared" si="14"/>
        <v>0.15256004940857792</v>
      </c>
      <c r="CZ16" s="147">
        <f t="shared" si="14"/>
        <v>0.14522365142684635</v>
      </c>
      <c r="DA16" s="147">
        <f t="shared" si="14"/>
        <v>0.13823416492714102</v>
      </c>
      <c r="DB16" s="147">
        <f t="shared" si="14"/>
        <v>0.13157575256344956</v>
      </c>
      <c r="DC16" s="147">
        <f t="shared" si="14"/>
        <v>0.12523324468048713</v>
      </c>
      <c r="DD16" s="147">
        <f t="shared" si="14"/>
        <v>0.1191921167300336</v>
      </c>
      <c r="DE16" s="147">
        <f t="shared" si="14"/>
        <v>0.11343846684805214</v>
      </c>
      <c r="DF16" s="147">
        <f t="shared" si="14"/>
        <v>0.10795899367309403</v>
      </c>
      <c r="DG16" s="147">
        <f t="shared" si="14"/>
        <v>0.10274097447357633</v>
      </c>
      <c r="DH16" s="147">
        <f t="shared" si="14"/>
        <v>9.7772243641017553E-2</v>
      </c>
      <c r="DI16" s="147">
        <f t="shared" si="14"/>
        <v>9.3041171596183858E-2</v>
      </c>
      <c r="DJ16" s="147">
        <f t="shared" si="14"/>
        <v>8.8536644149257882E-2</v>
      </c>
      <c r="DK16" s="147">
        <f t="shared" si="14"/>
        <v>8.4248042343375573E-2</v>
      </c>
      <c r="DL16" s="147">
        <f t="shared" si="14"/>
        <v>8.0165222809128522E-2</v>
      </c>
      <c r="DM16" s="147">
        <f t="shared" si="14"/>
        <v>7.6278498648662207E-2</v>
      </c>
      <c r="DN16" s="147">
        <f t="shared" si="14"/>
        <v>7.2578620863112064E-2</v>
      </c>
      <c r="DO16" s="147">
        <f t="shared" si="14"/>
        <v>6.9056760335385547E-2</v>
      </c>
      <c r="DP16" s="147">
        <f t="shared" si="14"/>
        <v>6.5704490372141322E-2</v>
      </c>
      <c r="DQ16" s="147">
        <f t="shared" si="14"/>
        <v>6.251376980961254E-2</v>
      </c>
      <c r="DR16" s="147">
        <f t="shared" si="14"/>
        <v>5.9476926681469422E-2</v>
      </c>
      <c r="DS16" s="147">
        <f t="shared" si="14"/>
        <v>5.6586642447769009E-2</v>
      </c>
      <c r="DT16" s="147">
        <f t="shared" si="14"/>
        <v>5.3835936777815618E-2</v>
      </c>
      <c r="DU16" s="147">
        <f t="shared" si="14"/>
        <v>5.1218152882668733E-2</v>
      </c>
      <c r="DV16" s="147">
        <f t="shared" si="14"/>
        <v>4.8726943386640187E-2</v>
      </c>
      <c r="DW16" s="147">
        <f t="shared" si="14"/>
        <v>4.6356256729922052E-2</v>
      </c>
      <c r="DX16" s="147">
        <f t="shared" si="14"/>
        <v>4.410032408983966E-2</v>
      </c>
    </row>
    <row r="17" spans="2:128" ht="12.95" customHeight="1" x14ac:dyDescent="0.2">
      <c r="B17" s="152"/>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c r="BM17" s="147"/>
      <c r="BN17" s="147"/>
      <c r="BO17" s="147"/>
      <c r="BP17" s="147"/>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DE17" s="147"/>
      <c r="DF17" s="147"/>
      <c r="DG17" s="147"/>
      <c r="DH17" s="147"/>
      <c r="DI17" s="147"/>
      <c r="DJ17" s="147"/>
      <c r="DK17" s="147"/>
      <c r="DL17" s="147"/>
      <c r="DM17" s="147"/>
      <c r="DN17" s="147"/>
      <c r="DO17" s="147"/>
      <c r="DP17" s="147"/>
      <c r="DQ17" s="147"/>
      <c r="DR17" s="147"/>
      <c r="DS17" s="147"/>
      <c r="DT17" s="147"/>
      <c r="DU17" s="147"/>
      <c r="DV17" s="147"/>
      <c r="DW17" s="147"/>
      <c r="DX17" s="147"/>
    </row>
    <row r="18" spans="2:128" ht="12.95" customHeight="1" x14ac:dyDescent="0.2">
      <c r="B18" s="121" t="s">
        <v>1006</v>
      </c>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row>
    <row r="19" spans="2:128" ht="12.95" customHeight="1" x14ac:dyDescent="0.2">
      <c r="B19" s="21" t="s">
        <v>614</v>
      </c>
      <c r="F19" s="54" t="s">
        <v>492</v>
      </c>
      <c r="G19" s="54" t="s">
        <v>4</v>
      </c>
      <c r="H19" s="93">
        <f>H13</f>
        <v>0</v>
      </c>
      <c r="I19" s="93">
        <f t="shared" ref="I19:AG19" si="15">I13</f>
        <v>1</v>
      </c>
      <c r="J19" s="93">
        <f t="shared" si="15"/>
        <v>2</v>
      </c>
      <c r="K19" s="93">
        <f t="shared" si="15"/>
        <v>3</v>
      </c>
      <c r="L19" s="93">
        <f t="shared" si="15"/>
        <v>4</v>
      </c>
      <c r="M19" s="93">
        <f t="shared" si="15"/>
        <v>5</v>
      </c>
      <c r="N19" s="93">
        <f t="shared" si="15"/>
        <v>6</v>
      </c>
      <c r="O19" s="93">
        <f t="shared" si="15"/>
        <v>7</v>
      </c>
      <c r="P19" s="93">
        <f t="shared" si="15"/>
        <v>8</v>
      </c>
      <c r="Q19" s="93">
        <f t="shared" si="15"/>
        <v>9</v>
      </c>
      <c r="R19" s="93">
        <f t="shared" si="15"/>
        <v>10</v>
      </c>
      <c r="S19" s="93">
        <f t="shared" si="15"/>
        <v>11</v>
      </c>
      <c r="T19" s="93">
        <f t="shared" si="15"/>
        <v>12</v>
      </c>
      <c r="U19" s="93">
        <f t="shared" si="15"/>
        <v>13</v>
      </c>
      <c r="V19" s="93">
        <f t="shared" si="15"/>
        <v>14</v>
      </c>
      <c r="W19" s="93">
        <f t="shared" si="15"/>
        <v>15</v>
      </c>
      <c r="X19" s="93">
        <f t="shared" si="15"/>
        <v>16</v>
      </c>
      <c r="Y19" s="93">
        <f t="shared" si="15"/>
        <v>17</v>
      </c>
      <c r="Z19" s="93">
        <f t="shared" si="15"/>
        <v>18</v>
      </c>
      <c r="AA19" s="93">
        <f t="shared" si="15"/>
        <v>19</v>
      </c>
      <c r="AB19" s="93">
        <f t="shared" si="15"/>
        <v>20</v>
      </c>
      <c r="AC19" s="93">
        <f t="shared" si="15"/>
        <v>21</v>
      </c>
      <c r="AD19" s="93">
        <f t="shared" si="15"/>
        <v>22</v>
      </c>
      <c r="AE19" s="93">
        <f t="shared" si="15"/>
        <v>23</v>
      </c>
      <c r="AF19" s="93">
        <f t="shared" si="15"/>
        <v>24</v>
      </c>
      <c r="AG19" s="93">
        <f t="shared" si="15"/>
        <v>25</v>
      </c>
      <c r="AH19" s="93">
        <f>AH13-25</f>
        <v>1</v>
      </c>
      <c r="AI19" s="93">
        <f t="shared" ref="AI19:CT19" si="16">AI13-25</f>
        <v>2</v>
      </c>
      <c r="AJ19" s="93">
        <f t="shared" si="16"/>
        <v>3</v>
      </c>
      <c r="AK19" s="93">
        <f t="shared" si="16"/>
        <v>4</v>
      </c>
      <c r="AL19" s="93">
        <f t="shared" si="16"/>
        <v>5</v>
      </c>
      <c r="AM19" s="93">
        <f t="shared" si="16"/>
        <v>6</v>
      </c>
      <c r="AN19" s="93">
        <f t="shared" si="16"/>
        <v>7</v>
      </c>
      <c r="AO19" s="93">
        <f t="shared" si="16"/>
        <v>8</v>
      </c>
      <c r="AP19" s="93">
        <f t="shared" si="16"/>
        <v>9</v>
      </c>
      <c r="AQ19" s="93">
        <f t="shared" si="16"/>
        <v>10</v>
      </c>
      <c r="AR19" s="93">
        <f t="shared" si="16"/>
        <v>11</v>
      </c>
      <c r="AS19" s="93">
        <f t="shared" si="16"/>
        <v>12</v>
      </c>
      <c r="AT19" s="93">
        <f t="shared" si="16"/>
        <v>13</v>
      </c>
      <c r="AU19" s="93">
        <f t="shared" si="16"/>
        <v>14</v>
      </c>
      <c r="AV19" s="93">
        <f t="shared" si="16"/>
        <v>15</v>
      </c>
      <c r="AW19" s="93">
        <f t="shared" si="16"/>
        <v>16</v>
      </c>
      <c r="AX19" s="93">
        <f t="shared" si="16"/>
        <v>17</v>
      </c>
      <c r="AY19" s="93">
        <f t="shared" si="16"/>
        <v>18</v>
      </c>
      <c r="AZ19" s="93">
        <f t="shared" si="16"/>
        <v>19</v>
      </c>
      <c r="BA19" s="93">
        <f t="shared" si="16"/>
        <v>20</v>
      </c>
      <c r="BB19" s="93">
        <f t="shared" si="16"/>
        <v>21</v>
      </c>
      <c r="BC19" s="93">
        <f t="shared" si="16"/>
        <v>22</v>
      </c>
      <c r="BD19" s="93">
        <f t="shared" si="16"/>
        <v>23</v>
      </c>
      <c r="BE19" s="93">
        <f t="shared" si="16"/>
        <v>24</v>
      </c>
      <c r="BF19" s="93">
        <f t="shared" si="16"/>
        <v>25</v>
      </c>
      <c r="BG19" s="93">
        <f t="shared" si="16"/>
        <v>26</v>
      </c>
      <c r="BH19" s="93">
        <f t="shared" si="16"/>
        <v>27</v>
      </c>
      <c r="BI19" s="93">
        <f t="shared" si="16"/>
        <v>28</v>
      </c>
      <c r="BJ19" s="93">
        <f t="shared" si="16"/>
        <v>29</v>
      </c>
      <c r="BK19" s="93">
        <f t="shared" si="16"/>
        <v>30</v>
      </c>
      <c r="BL19" s="93">
        <f t="shared" si="16"/>
        <v>31</v>
      </c>
      <c r="BM19" s="93">
        <f t="shared" si="16"/>
        <v>32</v>
      </c>
      <c r="BN19" s="93">
        <f t="shared" si="16"/>
        <v>33</v>
      </c>
      <c r="BO19" s="93">
        <f t="shared" si="16"/>
        <v>34</v>
      </c>
      <c r="BP19" s="93">
        <f t="shared" si="16"/>
        <v>35</v>
      </c>
      <c r="BQ19" s="93">
        <f t="shared" si="16"/>
        <v>36</v>
      </c>
      <c r="BR19" s="93">
        <f t="shared" si="16"/>
        <v>37</v>
      </c>
      <c r="BS19" s="93">
        <f t="shared" si="16"/>
        <v>38</v>
      </c>
      <c r="BT19" s="93">
        <f t="shared" si="16"/>
        <v>39</v>
      </c>
      <c r="BU19" s="93">
        <f t="shared" si="16"/>
        <v>40</v>
      </c>
      <c r="BV19" s="93">
        <f t="shared" si="16"/>
        <v>41</v>
      </c>
      <c r="BW19" s="93">
        <f t="shared" si="16"/>
        <v>42</v>
      </c>
      <c r="BX19" s="93">
        <f t="shared" si="16"/>
        <v>43</v>
      </c>
      <c r="BY19" s="93">
        <f t="shared" si="16"/>
        <v>44</v>
      </c>
      <c r="BZ19" s="93">
        <f t="shared" si="16"/>
        <v>45</v>
      </c>
      <c r="CA19" s="93">
        <f t="shared" si="16"/>
        <v>46</v>
      </c>
      <c r="CB19" s="93">
        <f t="shared" si="16"/>
        <v>47</v>
      </c>
      <c r="CC19" s="93">
        <f t="shared" si="16"/>
        <v>48</v>
      </c>
      <c r="CD19" s="93">
        <f t="shared" si="16"/>
        <v>49</v>
      </c>
      <c r="CE19" s="93">
        <f t="shared" si="16"/>
        <v>50</v>
      </c>
      <c r="CF19" s="93">
        <f t="shared" si="16"/>
        <v>51</v>
      </c>
      <c r="CG19" s="93">
        <f t="shared" si="16"/>
        <v>52</v>
      </c>
      <c r="CH19" s="93">
        <f t="shared" si="16"/>
        <v>53</v>
      </c>
      <c r="CI19" s="93">
        <f t="shared" si="16"/>
        <v>54</v>
      </c>
      <c r="CJ19" s="93">
        <f t="shared" si="16"/>
        <v>55</v>
      </c>
      <c r="CK19" s="93">
        <f t="shared" si="16"/>
        <v>56</v>
      </c>
      <c r="CL19" s="93">
        <f t="shared" si="16"/>
        <v>57</v>
      </c>
      <c r="CM19" s="93">
        <f t="shared" si="16"/>
        <v>58</v>
      </c>
      <c r="CN19" s="93">
        <f t="shared" si="16"/>
        <v>59</v>
      </c>
      <c r="CO19" s="93">
        <f t="shared" si="16"/>
        <v>60</v>
      </c>
      <c r="CP19" s="93">
        <f t="shared" si="16"/>
        <v>61</v>
      </c>
      <c r="CQ19" s="93">
        <f t="shared" si="16"/>
        <v>62</v>
      </c>
      <c r="CR19" s="93">
        <f t="shared" si="16"/>
        <v>63</v>
      </c>
      <c r="CS19" s="93">
        <f t="shared" si="16"/>
        <v>64</v>
      </c>
      <c r="CT19" s="93">
        <f t="shared" si="16"/>
        <v>65</v>
      </c>
      <c r="CU19" s="93">
        <f t="shared" ref="CU19:DX19" si="17">CU13-25</f>
        <v>66</v>
      </c>
      <c r="CV19" s="93">
        <f t="shared" si="17"/>
        <v>67</v>
      </c>
      <c r="CW19" s="93">
        <f t="shared" si="17"/>
        <v>68</v>
      </c>
      <c r="CX19" s="93">
        <f t="shared" si="17"/>
        <v>69</v>
      </c>
      <c r="CY19" s="93">
        <f t="shared" si="17"/>
        <v>70</v>
      </c>
      <c r="CZ19" s="93">
        <f t="shared" si="17"/>
        <v>71</v>
      </c>
      <c r="DA19" s="93">
        <f t="shared" si="17"/>
        <v>72</v>
      </c>
      <c r="DB19" s="93">
        <f t="shared" si="17"/>
        <v>73</v>
      </c>
      <c r="DC19" s="93">
        <f t="shared" si="17"/>
        <v>74</v>
      </c>
      <c r="DD19" s="93">
        <f t="shared" si="17"/>
        <v>75</v>
      </c>
      <c r="DE19" s="93">
        <f t="shared" si="17"/>
        <v>76</v>
      </c>
      <c r="DF19" s="93">
        <f t="shared" si="17"/>
        <v>77</v>
      </c>
      <c r="DG19" s="93">
        <f t="shared" si="17"/>
        <v>78</v>
      </c>
      <c r="DH19" s="93">
        <f t="shared" si="17"/>
        <v>79</v>
      </c>
      <c r="DI19" s="93">
        <f t="shared" si="17"/>
        <v>80</v>
      </c>
      <c r="DJ19" s="93">
        <f t="shared" si="17"/>
        <v>81</v>
      </c>
      <c r="DK19" s="93">
        <f t="shared" si="17"/>
        <v>82</v>
      </c>
      <c r="DL19" s="93">
        <f t="shared" si="17"/>
        <v>83</v>
      </c>
      <c r="DM19" s="93">
        <f t="shared" si="17"/>
        <v>84</v>
      </c>
      <c r="DN19" s="93">
        <f t="shared" si="17"/>
        <v>85</v>
      </c>
      <c r="DO19" s="93">
        <f t="shared" si="17"/>
        <v>86</v>
      </c>
      <c r="DP19" s="93">
        <f t="shared" si="17"/>
        <v>87</v>
      </c>
      <c r="DQ19" s="93">
        <f t="shared" si="17"/>
        <v>88</v>
      </c>
      <c r="DR19" s="93">
        <f t="shared" si="17"/>
        <v>89</v>
      </c>
      <c r="DS19" s="93">
        <f t="shared" si="17"/>
        <v>90</v>
      </c>
      <c r="DT19" s="93">
        <f t="shared" si="17"/>
        <v>91</v>
      </c>
      <c r="DU19" s="93">
        <f t="shared" si="17"/>
        <v>92</v>
      </c>
      <c r="DV19" s="93">
        <f t="shared" si="17"/>
        <v>93</v>
      </c>
      <c r="DW19" s="93">
        <f t="shared" si="17"/>
        <v>94</v>
      </c>
      <c r="DX19" s="93">
        <f t="shared" si="17"/>
        <v>95</v>
      </c>
    </row>
    <row r="20" spans="2:128" ht="12.95" customHeight="1" x14ac:dyDescent="0.2">
      <c r="B20" s="21" t="s">
        <v>490</v>
      </c>
      <c r="F20" s="54" t="s">
        <v>492</v>
      </c>
      <c r="G20" s="54" t="s">
        <v>395</v>
      </c>
      <c r="H20" s="188">
        <f t="shared" ref="H20:AM20" si="18">HLOOKUP(H19,t_growth,3)</f>
        <v>0</v>
      </c>
      <c r="I20" s="188">
        <f t="shared" si="18"/>
        <v>1.3801503036642727E-2</v>
      </c>
      <c r="J20" s="188">
        <f t="shared" si="18"/>
        <v>0.10250810373022921</v>
      </c>
      <c r="K20" s="188">
        <f t="shared" si="18"/>
        <v>0.32140060564134304</v>
      </c>
      <c r="L20" s="188">
        <f t="shared" si="18"/>
        <v>0.70819088008020181</v>
      </c>
      <c r="M20" s="188">
        <f t="shared" si="18"/>
        <v>1.2865903014343147</v>
      </c>
      <c r="N20" s="188">
        <f t="shared" si="18"/>
        <v>2.0692648651289542</v>
      </c>
      <c r="O20" s="188">
        <f t="shared" si="18"/>
        <v>3.0602740346849182</v>
      </c>
      <c r="P20" s="188">
        <f t="shared" si="18"/>
        <v>4.2570757029793187</v>
      </c>
      <c r="Q20" s="188">
        <f t="shared" si="18"/>
        <v>5.6521671458405169</v>
      </c>
      <c r="R20" s="188">
        <f t="shared" si="18"/>
        <v>7.2344211823897746</v>
      </c>
      <c r="S20" s="188">
        <f t="shared" si="18"/>
        <v>8.9901676693851371</v>
      </c>
      <c r="T20" s="188">
        <f t="shared" si="18"/>
        <v>10.904062717666822</v>
      </c>
      <c r="U20" s="188">
        <f t="shared" si="18"/>
        <v>12.959781431811036</v>
      </c>
      <c r="V20" s="188">
        <f t="shared" si="18"/>
        <v>15.140564371508987</v>
      </c>
      <c r="W20" s="188">
        <f t="shared" si="18"/>
        <v>17.4296431713258</v>
      </c>
      <c r="X20" s="188">
        <f t="shared" si="18"/>
        <v>19.810566711342741</v>
      </c>
      <c r="Y20" s="188">
        <f t="shared" si="18"/>
        <v>22.267445799447479</v>
      </c>
      <c r="Z20" s="188">
        <f t="shared" si="18"/>
        <v>24.785131416603353</v>
      </c>
      <c r="AA20" s="188">
        <f t="shared" si="18"/>
        <v>27.349339112214277</v>
      </c>
      <c r="AB20" s="188">
        <f t="shared" si="18"/>
        <v>29.946730051786854</v>
      </c>
      <c r="AC20" s="188">
        <f t="shared" si="18"/>
        <v>32.564957457117195</v>
      </c>
      <c r="AD20" s="188">
        <f t="shared" si="18"/>
        <v>35.192685692036868</v>
      </c>
      <c r="AE20" s="188">
        <f t="shared" si="18"/>
        <v>37.819587993197999</v>
      </c>
      <c r="AF20" s="188">
        <f t="shared" si="18"/>
        <v>40.436327790332221</v>
      </c>
      <c r="AG20" s="188">
        <f t="shared" si="18"/>
        <v>43.034527673896086</v>
      </c>
      <c r="AH20" s="188">
        <f t="shared" si="18"/>
        <v>1.3801503036642727E-2</v>
      </c>
      <c r="AI20" s="188">
        <f t="shared" si="18"/>
        <v>0.10250810373022921</v>
      </c>
      <c r="AJ20" s="188">
        <f t="shared" si="18"/>
        <v>0.32140060564134304</v>
      </c>
      <c r="AK20" s="188">
        <f t="shared" si="18"/>
        <v>0.70819088008020181</v>
      </c>
      <c r="AL20" s="188">
        <f t="shared" si="18"/>
        <v>1.2865903014343147</v>
      </c>
      <c r="AM20" s="188">
        <f t="shared" si="18"/>
        <v>2.0692648651289542</v>
      </c>
      <c r="AN20" s="188">
        <f t="shared" ref="AN20:BS20" si="19">HLOOKUP(AN19,t_growth,3)</f>
        <v>3.0602740346849182</v>
      </c>
      <c r="AO20" s="188">
        <f t="shared" si="19"/>
        <v>4.2570757029793187</v>
      </c>
      <c r="AP20" s="188">
        <f t="shared" si="19"/>
        <v>5.6521671458405169</v>
      </c>
      <c r="AQ20" s="188">
        <f t="shared" si="19"/>
        <v>7.2344211823897746</v>
      </c>
      <c r="AR20" s="188">
        <f t="shared" si="19"/>
        <v>8.9901676693851371</v>
      </c>
      <c r="AS20" s="188">
        <f t="shared" si="19"/>
        <v>10.904062717666822</v>
      </c>
      <c r="AT20" s="188">
        <f t="shared" si="19"/>
        <v>12.959781431811036</v>
      </c>
      <c r="AU20" s="188">
        <f t="shared" si="19"/>
        <v>15.140564371508987</v>
      </c>
      <c r="AV20" s="188">
        <f t="shared" si="19"/>
        <v>17.4296431713258</v>
      </c>
      <c r="AW20" s="188">
        <f t="shared" si="19"/>
        <v>19.810566711342741</v>
      </c>
      <c r="AX20" s="188">
        <f t="shared" si="19"/>
        <v>22.267445799447479</v>
      </c>
      <c r="AY20" s="188">
        <f t="shared" si="19"/>
        <v>24.785131416603353</v>
      </c>
      <c r="AZ20" s="188">
        <f t="shared" si="19"/>
        <v>27.349339112214277</v>
      </c>
      <c r="BA20" s="188">
        <f t="shared" si="19"/>
        <v>29.946730051786854</v>
      </c>
      <c r="BB20" s="188">
        <f t="shared" si="19"/>
        <v>32.564957457117195</v>
      </c>
      <c r="BC20" s="188">
        <f t="shared" si="19"/>
        <v>35.192685692036868</v>
      </c>
      <c r="BD20" s="188">
        <f t="shared" si="19"/>
        <v>37.819587993197999</v>
      </c>
      <c r="BE20" s="188">
        <f t="shared" si="19"/>
        <v>40.436327790332221</v>
      </c>
      <c r="BF20" s="188">
        <f t="shared" si="19"/>
        <v>43.034527673896086</v>
      </c>
      <c r="BG20" s="188">
        <f t="shared" si="19"/>
        <v>45.606729324439719</v>
      </c>
      <c r="BH20" s="188">
        <f t="shared" si="19"/>
        <v>48.146347095592041</v>
      </c>
      <c r="BI20" s="188">
        <f t="shared" si="19"/>
        <v>50.647617422659295</v>
      </c>
      <c r="BJ20" s="188">
        <f t="shared" si="19"/>
        <v>53.105545795652432</v>
      </c>
      <c r="BK20" s="188">
        <f t="shared" si="19"/>
        <v>55.515852675616792</v>
      </c>
      <c r="BL20" s="188">
        <f t="shared" si="19"/>
        <v>57.874919434974622</v>
      </c>
      <c r="BM20" s="188">
        <f t="shared" si="19"/>
        <v>60.179735156461923</v>
      </c>
      <c r="BN20" s="188">
        <f t="shared" si="19"/>
        <v>62.427844922873923</v>
      </c>
      <c r="BO20" s="188">
        <f t="shared" si="19"/>
        <v>64.617300064203548</v>
      </c>
      <c r="BP20" s="188">
        <f t="shared" si="19"/>
        <v>66.746610693912174</v>
      </c>
      <c r="BQ20" s="188">
        <f t="shared" si="19"/>
        <v>68.814700756968321</v>
      </c>
      <c r="BR20" s="188">
        <f t="shared" si="19"/>
        <v>70.820865724660678</v>
      </c>
      <c r="BS20" s="188">
        <f t="shared" si="19"/>
        <v>72.764733001429349</v>
      </c>
      <c r="BT20" s="188">
        <f t="shared" ref="BT20:CJ20" si="20">HLOOKUP(BT19,t_growth,3)</f>
        <v>74.646225054022594</v>
      </c>
      <c r="BU20" s="188">
        <f t="shared" si="20"/>
        <v>76.465525230604669</v>
      </c>
      <c r="BV20" s="188">
        <f t="shared" si="20"/>
        <v>78.22304620485869</v>
      </c>
      <c r="BW20" s="188">
        <f t="shared" si="20"/>
        <v>79.919400955828209</v>
      </c>
      <c r="BX20" s="188">
        <f t="shared" si="20"/>
        <v>81.555376176702282</v>
      </c>
      <c r="BY20" s="188">
        <f t="shared" si="20"/>
        <v>83.131907993694981</v>
      </c>
      <c r="BZ20" s="188">
        <f t="shared" si="20"/>
        <v>84.650059868539287</v>
      </c>
      <c r="CA20" s="188">
        <f t="shared" si="20"/>
        <v>86.111002554017915</v>
      </c>
      <c r="CB20" s="188">
        <f t="shared" si="20"/>
        <v>87.515995970655169</v>
      </c>
      <c r="CC20" s="188">
        <f t="shared" si="20"/>
        <v>88.866372873580801</v>
      </c>
      <c r="CD20" s="188">
        <f t="shared" si="20"/>
        <v>90.163524181150464</v>
      </c>
      <c r="CE20" s="188">
        <f t="shared" si="20"/>
        <v>91.408885840746265</v>
      </c>
      <c r="CF20" s="188">
        <f t="shared" si="20"/>
        <v>92.603927111953922</v>
      </c>
      <c r="CG20" s="188">
        <f t="shared" si="20"/>
        <v>93.750140152737799</v>
      </c>
      <c r="CH20" s="188">
        <f t="shared" si="20"/>
        <v>94.849030800092564</v>
      </c>
      <c r="CI20" s="188">
        <f t="shared" si="20"/>
        <v>95.902110442760019</v>
      </c>
      <c r="CJ20" s="188">
        <f t="shared" si="20"/>
        <v>96.910888889817528</v>
      </c>
      <c r="CK20" s="188">
        <f t="shared" ref="CK20:DX20" si="21">HLOOKUP(CK19,t_growth,3)</f>
        <v>97.876868145162788</v>
      </c>
      <c r="CL20" s="188">
        <f t="shared" si="21"/>
        <v>98.801537004046068</v>
      </c>
      <c r="CM20" s="188">
        <f t="shared" si="21"/>
        <v>99.686366393772815</v>
      </c>
      <c r="CN20" s="188">
        <f t="shared" si="21"/>
        <v>100.5328053864676</v>
      </c>
      <c r="CO20" s="188">
        <f t="shared" si="21"/>
        <v>101.34227781731518</v>
      </c>
      <c r="CP20" s="188">
        <f t="shared" si="21"/>
        <v>102.11617944695877</v>
      </c>
      <c r="CQ20" s="188">
        <f t="shared" si="21"/>
        <v>102.85587561171667</v>
      </c>
      <c r="CR20" s="188">
        <f t="shared" si="21"/>
        <v>103.56269930997377</v>
      </c>
      <c r="CS20" s="188">
        <f t="shared" si="21"/>
        <v>104.23794967751182</v>
      </c>
      <c r="CT20" s="188">
        <f t="shared" si="21"/>
        <v>104.88289080865843</v>
      </c>
      <c r="CU20" s="188">
        <f t="shared" si="21"/>
        <v>105.49875088397421</v>
      </c>
      <c r="CV20" s="188">
        <f t="shared" si="21"/>
        <v>106.08672156876112</v>
      </c>
      <c r="CW20" s="188">
        <f t="shared" si="21"/>
        <v>106.6479576499766</v>
      </c>
      <c r="CX20" s="188">
        <f t="shared" si="21"/>
        <v>107.18357688218988</v>
      </c>
      <c r="CY20" s="188">
        <f t="shared" si="21"/>
        <v>107.69466001602949</v>
      </c>
      <c r="CZ20" s="188">
        <f t="shared" si="21"/>
        <v>108.18225098515779</v>
      </c>
      <c r="DA20" s="188">
        <f t="shared" si="21"/>
        <v>108.64735723018511</v>
      </c>
      <c r="DB20" s="188">
        <f t="shared" si="21"/>
        <v>109.0909501401116</v>
      </c>
      <c r="DC20" s="188">
        <f t="shared" si="21"/>
        <v>109.51396559387747</v>
      </c>
      <c r="DD20" s="188">
        <f t="shared" si="21"/>
        <v>109.91730458641989</v>
      </c>
      <c r="DE20" s="188">
        <f t="shared" si="21"/>
        <v>110.3018339252922</v>
      </c>
      <c r="DF20" s="188">
        <f t="shared" si="21"/>
        <v>110.6683869854116</v>
      </c>
      <c r="DG20" s="188">
        <f t="shared" si="21"/>
        <v>111.01776451087146</v>
      </c>
      <c r="DH20" s="188">
        <f t="shared" si="21"/>
        <v>111.35073545400006</v>
      </c>
      <c r="DI20" s="188">
        <f t="shared" si="21"/>
        <v>111.66803784297581</v>
      </c>
      <c r="DJ20" s="188">
        <f t="shared" si="21"/>
        <v>111.97037967032826</v>
      </c>
      <c r="DK20" s="188">
        <f t="shared" si="21"/>
        <v>112.25843979557877</v>
      </c>
      <c r="DL20" s="188">
        <f t="shared" si="21"/>
        <v>112.53286885610451</v>
      </c>
      <c r="DM20" s="188">
        <f t="shared" si="21"/>
        <v>112.79429018106121</v>
      </c>
      <c r="DN20" s="188">
        <f t="shared" si="21"/>
        <v>113.04330070387277</v>
      </c>
      <c r="DO20" s="188">
        <f t="shared" si="21"/>
        <v>113.2804718694035</v>
      </c>
      <c r="DP20" s="188">
        <f t="shared" si="21"/>
        <v>113.50635053246974</v>
      </c>
      <c r="DQ20" s="188">
        <f t="shared" si="21"/>
        <v>113.72145984483637</v>
      </c>
      <c r="DR20" s="188">
        <f t="shared" si="21"/>
        <v>113.92630012827603</v>
      </c>
      <c r="DS20" s="188">
        <f t="shared" si="21"/>
        <v>114.121349731659</v>
      </c>
      <c r="DT20" s="188">
        <f t="shared" si="21"/>
        <v>114.30706587038449</v>
      </c>
      <c r="DU20" s="188">
        <f t="shared" si="21"/>
        <v>114.48388544677304</v>
      </c>
      <c r="DV20" s="188">
        <f t="shared" si="21"/>
        <v>114.65222585031027</v>
      </c>
      <c r="DW20" s="188">
        <f t="shared" si="21"/>
        <v>114.81248573687292</v>
      </c>
      <c r="DX20" s="188">
        <f t="shared" si="21"/>
        <v>114.96504578628149</v>
      </c>
    </row>
    <row r="21" spans="2:128" ht="12.95" customHeight="1" x14ac:dyDescent="0.2">
      <c r="B21" s="152" t="s">
        <v>617</v>
      </c>
      <c r="F21" s="54" t="s">
        <v>493</v>
      </c>
      <c r="G21" s="54" t="s">
        <v>395</v>
      </c>
      <c r="H21" s="146">
        <v>0</v>
      </c>
      <c r="I21" s="146">
        <v>0</v>
      </c>
      <c r="J21" s="146">
        <v>0</v>
      </c>
      <c r="K21" s="146">
        <v>0</v>
      </c>
      <c r="L21" s="146">
        <v>0</v>
      </c>
      <c r="M21" s="146">
        <v>0</v>
      </c>
      <c r="N21" s="146">
        <v>0</v>
      </c>
      <c r="O21" s="146">
        <v>0</v>
      </c>
      <c r="P21" s="146">
        <v>0</v>
      </c>
      <c r="Q21" s="146">
        <v>0</v>
      </c>
      <c r="R21" s="146">
        <v>0</v>
      </c>
      <c r="S21" s="146">
        <v>0</v>
      </c>
      <c r="T21" s="146">
        <v>0</v>
      </c>
      <c r="U21" s="146">
        <v>0</v>
      </c>
      <c r="V21" s="146">
        <v>0</v>
      </c>
      <c r="W21" s="146">
        <v>0</v>
      </c>
      <c r="X21" s="146">
        <v>0</v>
      </c>
      <c r="Y21" s="146">
        <v>0</v>
      </c>
      <c r="Z21" s="146">
        <v>0</v>
      </c>
      <c r="AA21" s="146">
        <v>0</v>
      </c>
      <c r="AB21" s="146">
        <v>0</v>
      </c>
      <c r="AC21" s="146">
        <v>0</v>
      </c>
      <c r="AD21" s="146">
        <v>0</v>
      </c>
      <c r="AE21" s="146">
        <v>0</v>
      </c>
      <c r="AF21" s="146">
        <v>0</v>
      </c>
      <c r="AG21" s="146">
        <v>0</v>
      </c>
      <c r="AH21" s="146">
        <f t="shared" ref="AH21:AV21" si="22">AH20</f>
        <v>1.3801503036642727E-2</v>
      </c>
      <c r="AI21" s="146">
        <f t="shared" si="22"/>
        <v>0.10250810373022921</v>
      </c>
      <c r="AJ21" s="146">
        <f t="shared" si="22"/>
        <v>0.32140060564134304</v>
      </c>
      <c r="AK21" s="146">
        <f t="shared" si="22"/>
        <v>0.70819088008020181</v>
      </c>
      <c r="AL21" s="146">
        <f t="shared" si="22"/>
        <v>1.2865903014343147</v>
      </c>
      <c r="AM21" s="146">
        <f t="shared" si="22"/>
        <v>2.0692648651289542</v>
      </c>
      <c r="AN21" s="146">
        <f t="shared" si="22"/>
        <v>3.0602740346849182</v>
      </c>
      <c r="AO21" s="146">
        <f t="shared" si="22"/>
        <v>4.2570757029793187</v>
      </c>
      <c r="AP21" s="146">
        <f t="shared" si="22"/>
        <v>5.6521671458405169</v>
      </c>
      <c r="AQ21" s="146">
        <f t="shared" si="22"/>
        <v>7.2344211823897746</v>
      </c>
      <c r="AR21" s="146">
        <f t="shared" si="22"/>
        <v>8.9901676693851371</v>
      </c>
      <c r="AS21" s="146">
        <f t="shared" si="22"/>
        <v>10.904062717666822</v>
      </c>
      <c r="AT21" s="146">
        <f t="shared" si="22"/>
        <v>12.959781431811036</v>
      </c>
      <c r="AU21" s="146">
        <f t="shared" si="22"/>
        <v>15.140564371508987</v>
      </c>
      <c r="AV21" s="146">
        <f t="shared" si="22"/>
        <v>17.4296431713258</v>
      </c>
      <c r="AW21" s="146">
        <f>AW20</f>
        <v>19.810566711342741</v>
      </c>
      <c r="AX21" s="146">
        <f t="shared" ref="AX21:CJ21" si="23">AX20</f>
        <v>22.267445799447479</v>
      </c>
      <c r="AY21" s="146">
        <f t="shared" si="23"/>
        <v>24.785131416603353</v>
      </c>
      <c r="AZ21" s="146">
        <f t="shared" si="23"/>
        <v>27.349339112214277</v>
      </c>
      <c r="BA21" s="146">
        <f t="shared" si="23"/>
        <v>29.946730051786854</v>
      </c>
      <c r="BB21" s="146">
        <f t="shared" si="23"/>
        <v>32.564957457117195</v>
      </c>
      <c r="BC21" s="146">
        <f t="shared" si="23"/>
        <v>35.192685692036868</v>
      </c>
      <c r="BD21" s="146">
        <f t="shared" si="23"/>
        <v>37.819587993197999</v>
      </c>
      <c r="BE21" s="146">
        <f t="shared" si="23"/>
        <v>40.436327790332221</v>
      </c>
      <c r="BF21" s="146">
        <f t="shared" si="23"/>
        <v>43.034527673896086</v>
      </c>
      <c r="BG21" s="146">
        <f t="shared" si="23"/>
        <v>45.606729324439719</v>
      </c>
      <c r="BH21" s="146">
        <f t="shared" si="23"/>
        <v>48.146347095592041</v>
      </c>
      <c r="BI21" s="146">
        <f t="shared" si="23"/>
        <v>50.647617422659295</v>
      </c>
      <c r="BJ21" s="146">
        <f t="shared" si="23"/>
        <v>53.105545795652432</v>
      </c>
      <c r="BK21" s="146">
        <f t="shared" si="23"/>
        <v>55.515852675616792</v>
      </c>
      <c r="BL21" s="146">
        <f t="shared" si="23"/>
        <v>57.874919434974622</v>
      </c>
      <c r="BM21" s="146">
        <f t="shared" si="23"/>
        <v>60.179735156461923</v>
      </c>
      <c r="BN21" s="146">
        <f t="shared" si="23"/>
        <v>62.427844922873923</v>
      </c>
      <c r="BO21" s="146">
        <f t="shared" si="23"/>
        <v>64.617300064203548</v>
      </c>
      <c r="BP21" s="146">
        <f t="shared" si="23"/>
        <v>66.746610693912174</v>
      </c>
      <c r="BQ21" s="146">
        <f t="shared" si="23"/>
        <v>68.814700756968321</v>
      </c>
      <c r="BR21" s="146">
        <f t="shared" si="23"/>
        <v>70.820865724660678</v>
      </c>
      <c r="BS21" s="146">
        <f t="shared" si="23"/>
        <v>72.764733001429349</v>
      </c>
      <c r="BT21" s="146">
        <f t="shared" si="23"/>
        <v>74.646225054022594</v>
      </c>
      <c r="BU21" s="146">
        <f t="shared" si="23"/>
        <v>76.465525230604669</v>
      </c>
      <c r="BV21" s="146">
        <f t="shared" si="23"/>
        <v>78.22304620485869</v>
      </c>
      <c r="BW21" s="146">
        <f t="shared" si="23"/>
        <v>79.919400955828209</v>
      </c>
      <c r="BX21" s="146">
        <f t="shared" si="23"/>
        <v>81.555376176702282</v>
      </c>
      <c r="BY21" s="146">
        <f t="shared" si="23"/>
        <v>83.131907993694981</v>
      </c>
      <c r="BZ21" s="146">
        <f t="shared" si="23"/>
        <v>84.650059868539287</v>
      </c>
      <c r="CA21" s="146">
        <f t="shared" si="23"/>
        <v>86.111002554017915</v>
      </c>
      <c r="CB21" s="146">
        <f t="shared" si="23"/>
        <v>87.515995970655169</v>
      </c>
      <c r="CC21" s="146">
        <f t="shared" si="23"/>
        <v>88.866372873580801</v>
      </c>
      <c r="CD21" s="146">
        <f t="shared" si="23"/>
        <v>90.163524181150464</v>
      </c>
      <c r="CE21" s="146">
        <f t="shared" si="23"/>
        <v>91.408885840746265</v>
      </c>
      <c r="CF21" s="146">
        <f t="shared" si="23"/>
        <v>92.603927111953922</v>
      </c>
      <c r="CG21" s="146">
        <f t="shared" si="23"/>
        <v>93.750140152737799</v>
      </c>
      <c r="CH21" s="146">
        <f t="shared" si="23"/>
        <v>94.849030800092564</v>
      </c>
      <c r="CI21" s="146">
        <f t="shared" si="23"/>
        <v>95.902110442760019</v>
      </c>
      <c r="CJ21" s="146">
        <f t="shared" si="23"/>
        <v>96.910888889817528</v>
      </c>
      <c r="CK21" s="146">
        <f t="shared" ref="CK21:DX21" si="24">CK20</f>
        <v>97.876868145162788</v>
      </c>
      <c r="CL21" s="146">
        <f t="shared" si="24"/>
        <v>98.801537004046068</v>
      </c>
      <c r="CM21" s="146">
        <f t="shared" si="24"/>
        <v>99.686366393772815</v>
      </c>
      <c r="CN21" s="146">
        <f t="shared" si="24"/>
        <v>100.5328053864676</v>
      </c>
      <c r="CO21" s="146">
        <f t="shared" si="24"/>
        <v>101.34227781731518</v>
      </c>
      <c r="CP21" s="146">
        <f t="shared" si="24"/>
        <v>102.11617944695877</v>
      </c>
      <c r="CQ21" s="146">
        <f t="shared" si="24"/>
        <v>102.85587561171667</v>
      </c>
      <c r="CR21" s="146">
        <f t="shared" si="24"/>
        <v>103.56269930997377</v>
      </c>
      <c r="CS21" s="146">
        <f t="shared" si="24"/>
        <v>104.23794967751182</v>
      </c>
      <c r="CT21" s="146">
        <f t="shared" si="24"/>
        <v>104.88289080865843</v>
      </c>
      <c r="CU21" s="146">
        <f t="shared" si="24"/>
        <v>105.49875088397421</v>
      </c>
      <c r="CV21" s="146">
        <f t="shared" si="24"/>
        <v>106.08672156876112</v>
      </c>
      <c r="CW21" s="146">
        <f t="shared" si="24"/>
        <v>106.6479576499766</v>
      </c>
      <c r="CX21" s="146">
        <f t="shared" si="24"/>
        <v>107.18357688218988</v>
      </c>
      <c r="CY21" s="146">
        <f t="shared" si="24"/>
        <v>107.69466001602949</v>
      </c>
      <c r="CZ21" s="146">
        <f t="shared" si="24"/>
        <v>108.18225098515779</v>
      </c>
      <c r="DA21" s="146">
        <f t="shared" si="24"/>
        <v>108.64735723018511</v>
      </c>
      <c r="DB21" s="146">
        <f t="shared" si="24"/>
        <v>109.0909501401116</v>
      </c>
      <c r="DC21" s="146">
        <f t="shared" si="24"/>
        <v>109.51396559387747</v>
      </c>
      <c r="DD21" s="146">
        <f t="shared" si="24"/>
        <v>109.91730458641989</v>
      </c>
      <c r="DE21" s="146">
        <f t="shared" si="24"/>
        <v>110.3018339252922</v>
      </c>
      <c r="DF21" s="146">
        <f t="shared" si="24"/>
        <v>110.6683869854116</v>
      </c>
      <c r="DG21" s="146">
        <f t="shared" si="24"/>
        <v>111.01776451087146</v>
      </c>
      <c r="DH21" s="146">
        <f t="shared" si="24"/>
        <v>111.35073545400006</v>
      </c>
      <c r="DI21" s="146">
        <f t="shared" si="24"/>
        <v>111.66803784297581</v>
      </c>
      <c r="DJ21" s="146">
        <f t="shared" si="24"/>
        <v>111.97037967032826</v>
      </c>
      <c r="DK21" s="146">
        <f t="shared" si="24"/>
        <v>112.25843979557877</v>
      </c>
      <c r="DL21" s="146">
        <f t="shared" si="24"/>
        <v>112.53286885610451</v>
      </c>
      <c r="DM21" s="146">
        <f t="shared" si="24"/>
        <v>112.79429018106121</v>
      </c>
      <c r="DN21" s="146">
        <f t="shared" si="24"/>
        <v>113.04330070387277</v>
      </c>
      <c r="DO21" s="146">
        <f t="shared" si="24"/>
        <v>113.2804718694035</v>
      </c>
      <c r="DP21" s="146">
        <f t="shared" si="24"/>
        <v>113.50635053246974</v>
      </c>
      <c r="DQ21" s="146">
        <f t="shared" si="24"/>
        <v>113.72145984483637</v>
      </c>
      <c r="DR21" s="146">
        <f t="shared" si="24"/>
        <v>113.92630012827603</v>
      </c>
      <c r="DS21" s="146">
        <f t="shared" si="24"/>
        <v>114.121349731659</v>
      </c>
      <c r="DT21" s="146">
        <f t="shared" si="24"/>
        <v>114.30706587038449</v>
      </c>
      <c r="DU21" s="146">
        <f t="shared" si="24"/>
        <v>114.48388544677304</v>
      </c>
      <c r="DV21" s="146">
        <f t="shared" si="24"/>
        <v>114.65222585031027</v>
      </c>
      <c r="DW21" s="146">
        <f t="shared" si="24"/>
        <v>114.81248573687292</v>
      </c>
      <c r="DX21" s="146">
        <f t="shared" si="24"/>
        <v>114.96504578628149</v>
      </c>
    </row>
    <row r="22" spans="2:128" ht="12.95" customHeight="1" x14ac:dyDescent="0.2">
      <c r="B22" s="152" t="s">
        <v>481</v>
      </c>
      <c r="F22" s="54" t="s">
        <v>493</v>
      </c>
      <c r="G22" s="54" t="s">
        <v>395</v>
      </c>
      <c r="H22" s="147">
        <f>H20</f>
        <v>0</v>
      </c>
      <c r="I22" s="147">
        <f>MAX(0,I20-H20)</f>
        <v>1.3801503036642727E-2</v>
      </c>
      <c r="J22" s="147">
        <f t="shared" ref="J22:BU22" si="25">MAX(0,J20-I20)</f>
        <v>8.870660069358649E-2</v>
      </c>
      <c r="K22" s="147">
        <f t="shared" si="25"/>
        <v>0.21889250191111381</v>
      </c>
      <c r="L22" s="147">
        <f t="shared" si="25"/>
        <v>0.38679027443885877</v>
      </c>
      <c r="M22" s="147">
        <f t="shared" si="25"/>
        <v>0.57839942135411293</v>
      </c>
      <c r="N22" s="147">
        <f t="shared" si="25"/>
        <v>0.7826745636946395</v>
      </c>
      <c r="O22" s="147">
        <f t="shared" si="25"/>
        <v>0.99100916955596396</v>
      </c>
      <c r="P22" s="147">
        <f t="shared" si="25"/>
        <v>1.1968016682944005</v>
      </c>
      <c r="Q22" s="147">
        <f t="shared" si="25"/>
        <v>1.3950914428611982</v>
      </c>
      <c r="R22" s="147">
        <f t="shared" si="25"/>
        <v>1.5822540365492577</v>
      </c>
      <c r="S22" s="147">
        <f t="shared" si="25"/>
        <v>1.7557464869953625</v>
      </c>
      <c r="T22" s="147">
        <f t="shared" si="25"/>
        <v>1.9138950482816846</v>
      </c>
      <c r="U22" s="147">
        <f t="shared" si="25"/>
        <v>2.0557187141442146</v>
      </c>
      <c r="V22" s="147">
        <f t="shared" si="25"/>
        <v>2.1807829396979503</v>
      </c>
      <c r="W22" s="147">
        <f t="shared" si="25"/>
        <v>2.2890787998168136</v>
      </c>
      <c r="X22" s="147">
        <f t="shared" si="25"/>
        <v>2.3809235400169406</v>
      </c>
      <c r="Y22" s="147">
        <f t="shared" si="25"/>
        <v>2.4568790881047384</v>
      </c>
      <c r="Z22" s="147">
        <f t="shared" si="25"/>
        <v>2.5176856171558732</v>
      </c>
      <c r="AA22" s="147">
        <f t="shared" si="25"/>
        <v>2.564207695610925</v>
      </c>
      <c r="AB22" s="147">
        <f t="shared" si="25"/>
        <v>2.5973909395725769</v>
      </c>
      <c r="AC22" s="147">
        <f t="shared" si="25"/>
        <v>2.6182274053303409</v>
      </c>
      <c r="AD22" s="147">
        <f t="shared" si="25"/>
        <v>2.6277282349196724</v>
      </c>
      <c r="AE22" s="147">
        <f t="shared" si="25"/>
        <v>2.626902301161131</v>
      </c>
      <c r="AF22" s="147">
        <f t="shared" si="25"/>
        <v>2.6167397971342226</v>
      </c>
      <c r="AG22" s="147">
        <f t="shared" si="25"/>
        <v>2.5981998835638649</v>
      </c>
      <c r="AH22" s="147">
        <f t="shared" si="25"/>
        <v>0</v>
      </c>
      <c r="AI22" s="147">
        <f t="shared" si="25"/>
        <v>8.870660069358649E-2</v>
      </c>
      <c r="AJ22" s="147">
        <f t="shared" si="25"/>
        <v>0.21889250191111381</v>
      </c>
      <c r="AK22" s="147">
        <f t="shared" si="25"/>
        <v>0.38679027443885877</v>
      </c>
      <c r="AL22" s="147">
        <f t="shared" si="25"/>
        <v>0.57839942135411293</v>
      </c>
      <c r="AM22" s="147">
        <f t="shared" si="25"/>
        <v>0.7826745636946395</v>
      </c>
      <c r="AN22" s="147">
        <f t="shared" si="25"/>
        <v>0.99100916955596396</v>
      </c>
      <c r="AO22" s="147">
        <f t="shared" si="25"/>
        <v>1.1968016682944005</v>
      </c>
      <c r="AP22" s="147">
        <f t="shared" si="25"/>
        <v>1.3950914428611982</v>
      </c>
      <c r="AQ22" s="147">
        <f t="shared" si="25"/>
        <v>1.5822540365492577</v>
      </c>
      <c r="AR22" s="147">
        <f t="shared" si="25"/>
        <v>1.7557464869953625</v>
      </c>
      <c r="AS22" s="147">
        <f t="shared" si="25"/>
        <v>1.9138950482816846</v>
      </c>
      <c r="AT22" s="147">
        <f t="shared" si="25"/>
        <v>2.0557187141442146</v>
      </c>
      <c r="AU22" s="147">
        <f t="shared" si="25"/>
        <v>2.1807829396979503</v>
      </c>
      <c r="AV22" s="147">
        <f t="shared" si="25"/>
        <v>2.2890787998168136</v>
      </c>
      <c r="AW22" s="147">
        <f t="shared" si="25"/>
        <v>2.3809235400169406</v>
      </c>
      <c r="AX22" s="147">
        <f t="shared" si="25"/>
        <v>2.4568790881047384</v>
      </c>
      <c r="AY22" s="147">
        <f t="shared" si="25"/>
        <v>2.5176856171558732</v>
      </c>
      <c r="AZ22" s="147">
        <f t="shared" si="25"/>
        <v>2.564207695610925</v>
      </c>
      <c r="BA22" s="147">
        <f t="shared" si="25"/>
        <v>2.5973909395725769</v>
      </c>
      <c r="BB22" s="147">
        <f t="shared" si="25"/>
        <v>2.6182274053303409</v>
      </c>
      <c r="BC22" s="147">
        <f t="shared" si="25"/>
        <v>2.6277282349196724</v>
      </c>
      <c r="BD22" s="147">
        <f t="shared" si="25"/>
        <v>2.626902301161131</v>
      </c>
      <c r="BE22" s="147">
        <f t="shared" si="25"/>
        <v>2.6167397971342226</v>
      </c>
      <c r="BF22" s="147">
        <f t="shared" si="25"/>
        <v>2.5981998835638649</v>
      </c>
      <c r="BG22" s="147">
        <f t="shared" si="25"/>
        <v>2.5722016505436329</v>
      </c>
      <c r="BH22" s="147">
        <f t="shared" si="25"/>
        <v>2.5396177711523222</v>
      </c>
      <c r="BI22" s="147">
        <f t="shared" si="25"/>
        <v>2.5012703270672532</v>
      </c>
      <c r="BJ22" s="147">
        <f t="shared" si="25"/>
        <v>2.4579283729931376</v>
      </c>
      <c r="BK22" s="147">
        <f t="shared" si="25"/>
        <v>2.4103068799643594</v>
      </c>
      <c r="BL22" s="147">
        <f t="shared" si="25"/>
        <v>2.3590667593578303</v>
      </c>
      <c r="BM22" s="147">
        <f t="shared" si="25"/>
        <v>2.3048157214873015</v>
      </c>
      <c r="BN22" s="147">
        <f t="shared" si="25"/>
        <v>2.248109766412</v>
      </c>
      <c r="BO22" s="147">
        <f t="shared" si="25"/>
        <v>2.1894551413296242</v>
      </c>
      <c r="BP22" s="147">
        <f t="shared" si="25"/>
        <v>2.1293106297086268</v>
      </c>
      <c r="BQ22" s="147">
        <f t="shared" si="25"/>
        <v>2.0680900630561467</v>
      </c>
      <c r="BR22" s="147">
        <f t="shared" si="25"/>
        <v>2.0061649676923565</v>
      </c>
      <c r="BS22" s="147">
        <f t="shared" si="25"/>
        <v>1.9438672767686711</v>
      </c>
      <c r="BT22" s="147">
        <f t="shared" si="25"/>
        <v>1.881492052593245</v>
      </c>
      <c r="BU22" s="147">
        <f t="shared" si="25"/>
        <v>1.8193001765820753</v>
      </c>
      <c r="BV22" s="147">
        <f t="shared" ref="BV22:CJ22" si="26">MAX(0,BV20-BU20)</f>
        <v>1.757520974254021</v>
      </c>
      <c r="BW22" s="147">
        <f t="shared" si="26"/>
        <v>1.6963547509695189</v>
      </c>
      <c r="BX22" s="147">
        <f t="shared" si="26"/>
        <v>1.635975220874073</v>
      </c>
      <c r="BY22" s="147">
        <f t="shared" si="26"/>
        <v>1.5765318169926985</v>
      </c>
      <c r="BZ22" s="147">
        <f t="shared" si="26"/>
        <v>1.5181518748443068</v>
      </c>
      <c r="CA22" s="147">
        <f t="shared" si="26"/>
        <v>1.4609426854786278</v>
      </c>
      <c r="CB22" s="147">
        <f t="shared" si="26"/>
        <v>1.4049934166372537</v>
      </c>
      <c r="CC22" s="147">
        <f t="shared" si="26"/>
        <v>1.3503769029256318</v>
      </c>
      <c r="CD22" s="147">
        <f t="shared" si="26"/>
        <v>1.2971513075696635</v>
      </c>
      <c r="CE22" s="147">
        <f t="shared" si="26"/>
        <v>1.245361659595801</v>
      </c>
      <c r="CF22" s="147">
        <f t="shared" si="26"/>
        <v>1.195041271207657</v>
      </c>
      <c r="CG22" s="147">
        <f t="shared" si="26"/>
        <v>1.1462130407838771</v>
      </c>
      <c r="CH22" s="147">
        <f t="shared" si="26"/>
        <v>1.0988906473547644</v>
      </c>
      <c r="CI22" s="147">
        <f t="shared" si="26"/>
        <v>1.0530796426674556</v>
      </c>
      <c r="CJ22" s="147">
        <f t="shared" si="26"/>
        <v>1.0087784470575087</v>
      </c>
      <c r="CK22" s="147">
        <f t="shared" ref="CK22:DX22" si="27">MAX(0,CK20-CJ20)</f>
        <v>0.96597925534526041</v>
      </c>
      <c r="CL22" s="147">
        <f t="shared" si="27"/>
        <v>0.92466885888327965</v>
      </c>
      <c r="CM22" s="147">
        <f t="shared" si="27"/>
        <v>0.88482938972674674</v>
      </c>
      <c r="CN22" s="147">
        <f t="shared" si="27"/>
        <v>0.84643899269478595</v>
      </c>
      <c r="CO22" s="147">
        <f t="shared" si="27"/>
        <v>0.80947243084757758</v>
      </c>
      <c r="CP22" s="147">
        <f t="shared" si="27"/>
        <v>0.77390162964358922</v>
      </c>
      <c r="CQ22" s="147">
        <f t="shared" si="27"/>
        <v>0.7396961647579019</v>
      </c>
      <c r="CR22" s="147">
        <f t="shared" si="27"/>
        <v>0.70682369825709657</v>
      </c>
      <c r="CS22" s="147">
        <f t="shared" si="27"/>
        <v>0.67525036753805523</v>
      </c>
      <c r="CT22" s="147">
        <f t="shared" si="27"/>
        <v>0.64494113114660934</v>
      </c>
      <c r="CU22" s="147">
        <f t="shared" si="27"/>
        <v>0.61586007531577991</v>
      </c>
      <c r="CV22" s="147">
        <f t="shared" si="27"/>
        <v>0.58797068478691017</v>
      </c>
      <c r="CW22" s="147">
        <f t="shared" si="27"/>
        <v>0.5612360812154833</v>
      </c>
      <c r="CX22" s="147">
        <f t="shared" si="27"/>
        <v>0.53561923221327845</v>
      </c>
      <c r="CY22" s="147">
        <f t="shared" si="27"/>
        <v>0.51108313383960535</v>
      </c>
      <c r="CZ22" s="147">
        <f t="shared" si="27"/>
        <v>0.48759096912830557</v>
      </c>
      <c r="DA22" s="147">
        <f t="shared" si="27"/>
        <v>0.46510624502731446</v>
      </c>
      <c r="DB22" s="147">
        <f t="shared" si="27"/>
        <v>0.44359290992649392</v>
      </c>
      <c r="DC22" s="147">
        <f t="shared" si="27"/>
        <v>0.42301545376587057</v>
      </c>
      <c r="DD22" s="147">
        <f t="shared" si="27"/>
        <v>0.40333899254241601</v>
      </c>
      <c r="DE22" s="147">
        <f t="shared" si="27"/>
        <v>0.38452933887231211</v>
      </c>
      <c r="DF22" s="147">
        <f t="shared" si="27"/>
        <v>0.3665530601194007</v>
      </c>
      <c r="DG22" s="147">
        <f t="shared" si="27"/>
        <v>0.34937752545985745</v>
      </c>
      <c r="DH22" s="147">
        <f t="shared" si="27"/>
        <v>0.33297094312860054</v>
      </c>
      <c r="DI22" s="147">
        <f t="shared" si="27"/>
        <v>0.31730238897574736</v>
      </c>
      <c r="DJ22" s="147">
        <f t="shared" si="27"/>
        <v>0.30234182735244985</v>
      </c>
      <c r="DK22" s="147">
        <f t="shared" si="27"/>
        <v>0.28806012525051017</v>
      </c>
      <c r="DL22" s="147">
        <f t="shared" si="27"/>
        <v>0.27442906052574756</v>
      </c>
      <c r="DM22" s="147">
        <f t="shared" si="27"/>
        <v>0.26142132495670012</v>
      </c>
      <c r="DN22" s="147">
        <f t="shared" si="27"/>
        <v>0.24901052281155955</v>
      </c>
      <c r="DO22" s="147">
        <f t="shared" si="27"/>
        <v>0.23717116553072515</v>
      </c>
      <c r="DP22" s="147">
        <f t="shared" si="27"/>
        <v>0.22587866306623994</v>
      </c>
      <c r="DQ22" s="147">
        <f t="shared" si="27"/>
        <v>0.21510931236663566</v>
      </c>
      <c r="DR22" s="147">
        <f t="shared" si="27"/>
        <v>0.20484028343965122</v>
      </c>
      <c r="DS22" s="147">
        <f t="shared" si="27"/>
        <v>0.19504960338296939</v>
      </c>
      <c r="DT22" s="147">
        <f t="shared" si="27"/>
        <v>0.18571613872549619</v>
      </c>
      <c r="DU22" s="147">
        <f t="shared" si="27"/>
        <v>0.17681957638855295</v>
      </c>
      <c r="DV22" s="147">
        <f t="shared" si="27"/>
        <v>0.16834040353722912</v>
      </c>
      <c r="DW22" s="147">
        <f t="shared" si="27"/>
        <v>0.1602598865626419</v>
      </c>
      <c r="DX22" s="147">
        <f t="shared" si="27"/>
        <v>0.15256004940857792</v>
      </c>
    </row>
    <row r="23" spans="2:128" ht="12.95" customHeight="1" x14ac:dyDescent="0.2">
      <c r="B23" s="152"/>
      <c r="C23" s="152"/>
      <c r="D23" s="152"/>
      <c r="E23" s="152"/>
      <c r="F23" s="152"/>
      <c r="G23" s="152"/>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c r="BI23" s="147"/>
      <c r="BJ23" s="147"/>
      <c r="BK23" s="147"/>
      <c r="BL23" s="147"/>
      <c r="BM23" s="147"/>
      <c r="BN23" s="147"/>
      <c r="BO23" s="147"/>
      <c r="BP23" s="147"/>
      <c r="BQ23" s="147"/>
      <c r="BR23" s="147"/>
      <c r="BS23" s="147"/>
      <c r="BT23" s="147"/>
      <c r="BU23" s="147"/>
      <c r="BV23" s="147"/>
      <c r="BW23" s="147"/>
      <c r="BX23" s="147"/>
      <c r="BY23" s="147"/>
      <c r="BZ23" s="147"/>
      <c r="CA23" s="147"/>
      <c r="CB23" s="147"/>
      <c r="CC23" s="147"/>
      <c r="CD23" s="147"/>
      <c r="CE23" s="147"/>
      <c r="CF23" s="147"/>
      <c r="CG23" s="147"/>
      <c r="CH23" s="147"/>
      <c r="CI23" s="147"/>
      <c r="CJ23" s="147"/>
      <c r="CK23" s="147"/>
      <c r="CL23" s="147"/>
      <c r="CM23" s="147"/>
      <c r="CN23" s="147"/>
      <c r="CO23" s="147"/>
      <c r="CP23" s="147"/>
      <c r="CQ23" s="147"/>
      <c r="CR23" s="147"/>
      <c r="CS23" s="147"/>
      <c r="CT23" s="147"/>
      <c r="CU23" s="147"/>
      <c r="CV23" s="147"/>
      <c r="CW23" s="147"/>
      <c r="CX23" s="147"/>
      <c r="CY23" s="147"/>
      <c r="CZ23" s="147"/>
      <c r="DA23" s="147"/>
      <c r="DB23" s="147"/>
      <c r="DC23" s="147"/>
      <c r="DD23" s="147"/>
      <c r="DE23" s="147"/>
      <c r="DF23" s="147"/>
      <c r="DG23" s="147"/>
      <c r="DH23" s="147"/>
      <c r="DI23" s="147"/>
      <c r="DJ23"/>
      <c r="DK23"/>
      <c r="DL23"/>
      <c r="DM23"/>
      <c r="DN23"/>
      <c r="DO23"/>
      <c r="DP23"/>
      <c r="DQ23"/>
      <c r="DR23"/>
      <c r="DS23"/>
    </row>
    <row r="24" spans="2:128" ht="12.95" customHeight="1" x14ac:dyDescent="0.25">
      <c r="B24" s="105" t="s">
        <v>1173</v>
      </c>
      <c r="C24" s="106"/>
      <c r="D24" s="107"/>
      <c r="E24" s="107"/>
      <c r="F24" s="107"/>
      <c r="G24" s="105"/>
      <c r="H24" s="106"/>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7"/>
      <c r="CI24" s="107"/>
      <c r="CJ24" s="107"/>
      <c r="CK24" s="107"/>
      <c r="CL24" s="107"/>
      <c r="CM24" s="107"/>
      <c r="CN24" s="107"/>
      <c r="CO24" s="107"/>
      <c r="CP24" s="107"/>
      <c r="CQ24" s="107"/>
      <c r="CR24" s="107"/>
      <c r="CS24" s="107"/>
      <c r="CT24" s="107"/>
      <c r="CU24" s="107"/>
      <c r="CV24" s="107"/>
      <c r="CW24" s="107"/>
      <c r="CX24" s="107"/>
      <c r="CY24" s="107"/>
      <c r="CZ24" s="107"/>
      <c r="DA24" s="107"/>
      <c r="DB24" s="107"/>
      <c r="DC24" s="107"/>
      <c r="DD24" s="107"/>
      <c r="DE24" s="107"/>
      <c r="DF24" s="107"/>
      <c r="DG24" s="107"/>
      <c r="DH24" s="107"/>
      <c r="DI24" s="107"/>
      <c r="DJ24"/>
      <c r="DK24"/>
      <c r="DL24"/>
      <c r="DM24"/>
      <c r="DN24"/>
      <c r="DO24"/>
      <c r="DP24"/>
      <c r="DQ24"/>
      <c r="DR24"/>
      <c r="DS24"/>
    </row>
    <row r="25" spans="2:128" ht="12.95" customHeight="1" x14ac:dyDescent="0.2">
      <c r="B25"/>
      <c r="C25"/>
      <c r="D25"/>
      <c r="E25"/>
      <c r="F25"/>
      <c r="G25" s="159" t="s">
        <v>497</v>
      </c>
      <c r="H25" s="93">
        <f t="shared" ref="H25:AM25" si="28">H10</f>
        <v>-25</v>
      </c>
      <c r="I25" s="93">
        <f t="shared" si="28"/>
        <v>-24</v>
      </c>
      <c r="J25" s="93">
        <f t="shared" si="28"/>
        <v>-23</v>
      </c>
      <c r="K25" s="93">
        <f t="shared" si="28"/>
        <v>-22</v>
      </c>
      <c r="L25" s="93">
        <f t="shared" si="28"/>
        <v>-21</v>
      </c>
      <c r="M25" s="93">
        <f t="shared" si="28"/>
        <v>-20</v>
      </c>
      <c r="N25" s="93">
        <f t="shared" si="28"/>
        <v>-19</v>
      </c>
      <c r="O25" s="93">
        <f t="shared" si="28"/>
        <v>-18</v>
      </c>
      <c r="P25" s="93">
        <f t="shared" si="28"/>
        <v>-17</v>
      </c>
      <c r="Q25" s="93">
        <f t="shared" si="28"/>
        <v>-16</v>
      </c>
      <c r="R25" s="93">
        <f t="shared" si="28"/>
        <v>-15</v>
      </c>
      <c r="S25" s="93">
        <f t="shared" si="28"/>
        <v>-14</v>
      </c>
      <c r="T25" s="93">
        <f t="shared" si="28"/>
        <v>-13</v>
      </c>
      <c r="U25" s="93">
        <f t="shared" si="28"/>
        <v>-12</v>
      </c>
      <c r="V25" s="93">
        <f t="shared" si="28"/>
        <v>-11</v>
      </c>
      <c r="W25" s="93">
        <f t="shared" si="28"/>
        <v>-10</v>
      </c>
      <c r="X25" s="93">
        <f t="shared" si="28"/>
        <v>-9</v>
      </c>
      <c r="Y25" s="93">
        <f t="shared" si="28"/>
        <v>-8</v>
      </c>
      <c r="Z25" s="93">
        <f t="shared" si="28"/>
        <v>-7</v>
      </c>
      <c r="AA25" s="93">
        <f t="shared" si="28"/>
        <v>-6</v>
      </c>
      <c r="AB25" s="93">
        <f t="shared" si="28"/>
        <v>-5</v>
      </c>
      <c r="AC25" s="93">
        <f t="shared" si="28"/>
        <v>-4</v>
      </c>
      <c r="AD25" s="93">
        <f t="shared" si="28"/>
        <v>-3</v>
      </c>
      <c r="AE25" s="93">
        <f t="shared" si="28"/>
        <v>-2</v>
      </c>
      <c r="AF25" s="93">
        <f t="shared" si="28"/>
        <v>-1</v>
      </c>
      <c r="AG25" s="93">
        <f t="shared" si="28"/>
        <v>0</v>
      </c>
      <c r="AH25" s="93">
        <f t="shared" si="28"/>
        <v>1</v>
      </c>
      <c r="AI25" s="93">
        <f t="shared" si="28"/>
        <v>2</v>
      </c>
      <c r="AJ25" s="93">
        <f t="shared" si="28"/>
        <v>3</v>
      </c>
      <c r="AK25" s="93">
        <f t="shared" si="28"/>
        <v>4</v>
      </c>
      <c r="AL25" s="93">
        <f t="shared" si="28"/>
        <v>5</v>
      </c>
      <c r="AM25" s="93">
        <f t="shared" si="28"/>
        <v>6</v>
      </c>
      <c r="AN25" s="93">
        <f t="shared" ref="AN25:BS25" si="29">AN10</f>
        <v>7</v>
      </c>
      <c r="AO25" s="93">
        <f t="shared" si="29"/>
        <v>8</v>
      </c>
      <c r="AP25" s="93">
        <f t="shared" si="29"/>
        <v>9</v>
      </c>
      <c r="AQ25" s="93">
        <f t="shared" si="29"/>
        <v>10</v>
      </c>
      <c r="AR25" s="93">
        <f t="shared" si="29"/>
        <v>11</v>
      </c>
      <c r="AS25" s="93">
        <f t="shared" si="29"/>
        <v>12</v>
      </c>
      <c r="AT25" s="93">
        <f t="shared" si="29"/>
        <v>13</v>
      </c>
      <c r="AU25" s="93">
        <f t="shared" si="29"/>
        <v>14</v>
      </c>
      <c r="AV25" s="93">
        <f t="shared" si="29"/>
        <v>15</v>
      </c>
      <c r="AW25" s="93">
        <f t="shared" si="29"/>
        <v>16</v>
      </c>
      <c r="AX25" s="93">
        <f t="shared" si="29"/>
        <v>17</v>
      </c>
      <c r="AY25" s="93">
        <f t="shared" si="29"/>
        <v>18</v>
      </c>
      <c r="AZ25" s="93">
        <f t="shared" si="29"/>
        <v>19</v>
      </c>
      <c r="BA25" s="93">
        <f t="shared" si="29"/>
        <v>20</v>
      </c>
      <c r="BB25" s="93">
        <f t="shared" si="29"/>
        <v>21</v>
      </c>
      <c r="BC25" s="93">
        <f t="shared" si="29"/>
        <v>22</v>
      </c>
      <c r="BD25" s="93">
        <f t="shared" si="29"/>
        <v>23</v>
      </c>
      <c r="BE25" s="93">
        <f t="shared" si="29"/>
        <v>24</v>
      </c>
      <c r="BF25" s="93">
        <f t="shared" si="29"/>
        <v>25</v>
      </c>
      <c r="BG25" s="93">
        <f t="shared" si="29"/>
        <v>26</v>
      </c>
      <c r="BH25" s="93">
        <f t="shared" si="29"/>
        <v>27</v>
      </c>
      <c r="BI25" s="93">
        <f t="shared" si="29"/>
        <v>28</v>
      </c>
      <c r="BJ25" s="93">
        <f t="shared" si="29"/>
        <v>29</v>
      </c>
      <c r="BK25" s="93">
        <f t="shared" si="29"/>
        <v>30</v>
      </c>
      <c r="BL25" s="93">
        <f t="shared" si="29"/>
        <v>31</v>
      </c>
      <c r="BM25" s="93">
        <f t="shared" si="29"/>
        <v>32</v>
      </c>
      <c r="BN25" s="93">
        <f t="shared" si="29"/>
        <v>33</v>
      </c>
      <c r="BO25" s="93">
        <f t="shared" si="29"/>
        <v>34</v>
      </c>
      <c r="BP25" s="93">
        <f t="shared" si="29"/>
        <v>35</v>
      </c>
      <c r="BQ25" s="93">
        <f t="shared" si="29"/>
        <v>36</v>
      </c>
      <c r="BR25" s="93">
        <f t="shared" si="29"/>
        <v>37</v>
      </c>
      <c r="BS25" s="93">
        <f t="shared" si="29"/>
        <v>38</v>
      </c>
      <c r="BT25" s="93">
        <f t="shared" ref="BT25:CY25" si="30">BT10</f>
        <v>39</v>
      </c>
      <c r="BU25" s="93">
        <f t="shared" si="30"/>
        <v>40</v>
      </c>
      <c r="BV25" s="93">
        <f t="shared" si="30"/>
        <v>41</v>
      </c>
      <c r="BW25" s="93">
        <f t="shared" si="30"/>
        <v>42</v>
      </c>
      <c r="BX25" s="93">
        <f t="shared" si="30"/>
        <v>43</v>
      </c>
      <c r="BY25" s="93">
        <f t="shared" si="30"/>
        <v>44</v>
      </c>
      <c r="BZ25" s="93">
        <f t="shared" si="30"/>
        <v>45</v>
      </c>
      <c r="CA25" s="93">
        <f t="shared" si="30"/>
        <v>46</v>
      </c>
      <c r="CB25" s="93">
        <f t="shared" si="30"/>
        <v>47</v>
      </c>
      <c r="CC25" s="93">
        <f t="shared" si="30"/>
        <v>48</v>
      </c>
      <c r="CD25" s="93">
        <f t="shared" si="30"/>
        <v>49</v>
      </c>
      <c r="CE25" s="93">
        <f t="shared" si="30"/>
        <v>50</v>
      </c>
      <c r="CF25" s="93">
        <f t="shared" si="30"/>
        <v>51</v>
      </c>
      <c r="CG25" s="93">
        <f t="shared" si="30"/>
        <v>52</v>
      </c>
      <c r="CH25" s="93">
        <f t="shared" si="30"/>
        <v>53</v>
      </c>
      <c r="CI25" s="93">
        <f t="shared" si="30"/>
        <v>54</v>
      </c>
      <c r="CJ25" s="93">
        <f t="shared" si="30"/>
        <v>55</v>
      </c>
      <c r="CK25" s="93">
        <f t="shared" si="30"/>
        <v>56</v>
      </c>
      <c r="CL25" s="93">
        <f t="shared" si="30"/>
        <v>57</v>
      </c>
      <c r="CM25" s="93">
        <f t="shared" si="30"/>
        <v>58</v>
      </c>
      <c r="CN25" s="93">
        <f t="shared" si="30"/>
        <v>59</v>
      </c>
      <c r="CO25" s="93">
        <f t="shared" si="30"/>
        <v>60</v>
      </c>
      <c r="CP25" s="93">
        <f t="shared" si="30"/>
        <v>61</v>
      </c>
      <c r="CQ25" s="93">
        <f t="shared" si="30"/>
        <v>62</v>
      </c>
      <c r="CR25" s="93">
        <f t="shared" si="30"/>
        <v>63</v>
      </c>
      <c r="CS25" s="93">
        <f t="shared" si="30"/>
        <v>64</v>
      </c>
      <c r="CT25" s="93">
        <f t="shared" si="30"/>
        <v>65</v>
      </c>
      <c r="CU25" s="93">
        <f t="shared" si="30"/>
        <v>66</v>
      </c>
      <c r="CV25" s="93">
        <f t="shared" si="30"/>
        <v>67</v>
      </c>
      <c r="CW25" s="93">
        <f t="shared" si="30"/>
        <v>68</v>
      </c>
      <c r="CX25" s="93">
        <f t="shared" si="30"/>
        <v>69</v>
      </c>
      <c r="CY25" s="93">
        <f t="shared" si="30"/>
        <v>70</v>
      </c>
      <c r="CZ25" s="93">
        <f t="shared" ref="CZ25:DI25" si="31">CZ10</f>
        <v>71</v>
      </c>
      <c r="DA25" s="93">
        <f t="shared" si="31"/>
        <v>72</v>
      </c>
      <c r="DB25" s="93">
        <f t="shared" si="31"/>
        <v>73</v>
      </c>
      <c r="DC25" s="93">
        <f t="shared" si="31"/>
        <v>74</v>
      </c>
      <c r="DD25" s="93">
        <f t="shared" si="31"/>
        <v>75</v>
      </c>
      <c r="DE25" s="93">
        <f t="shared" si="31"/>
        <v>76</v>
      </c>
      <c r="DF25" s="93">
        <f t="shared" si="31"/>
        <v>77</v>
      </c>
      <c r="DG25" s="93">
        <f t="shared" si="31"/>
        <v>78</v>
      </c>
      <c r="DH25" s="93">
        <f t="shared" si="31"/>
        <v>79</v>
      </c>
      <c r="DI25" s="93">
        <f t="shared" si="31"/>
        <v>80</v>
      </c>
      <c r="DJ25"/>
      <c r="DK25"/>
      <c r="DL25"/>
      <c r="DM25"/>
      <c r="DN25"/>
      <c r="DO25"/>
      <c r="DP25"/>
      <c r="DQ25"/>
      <c r="DR25"/>
      <c r="DS25"/>
    </row>
    <row r="26" spans="2:128" ht="12.95" customHeight="1" x14ac:dyDescent="0.2">
      <c r="B26"/>
      <c r="C26"/>
      <c r="D26"/>
      <c r="E26"/>
      <c r="F26"/>
      <c r="G26" s="297" t="s">
        <v>484</v>
      </c>
      <c r="H26" s="146">
        <f t="shared" ref="H26:AM26" si="32">H14</f>
        <v>0</v>
      </c>
      <c r="I26" s="146">
        <f t="shared" si="32"/>
        <v>1.3801503036642727E-2</v>
      </c>
      <c r="J26" s="146">
        <f t="shared" si="32"/>
        <v>0.10250810373022921</v>
      </c>
      <c r="K26" s="146">
        <f t="shared" si="32"/>
        <v>0.32140060564134304</v>
      </c>
      <c r="L26" s="146">
        <f t="shared" si="32"/>
        <v>0.70819088008020181</v>
      </c>
      <c r="M26" s="146">
        <f t="shared" si="32"/>
        <v>1.2865903014343147</v>
      </c>
      <c r="N26" s="146">
        <f t="shared" si="32"/>
        <v>2.0692648651289542</v>
      </c>
      <c r="O26" s="146">
        <f t="shared" si="32"/>
        <v>3.0602740346849182</v>
      </c>
      <c r="P26" s="146">
        <f t="shared" si="32"/>
        <v>4.2570757029793187</v>
      </c>
      <c r="Q26" s="146">
        <f t="shared" si="32"/>
        <v>5.6521671458405169</v>
      </c>
      <c r="R26" s="146">
        <f t="shared" si="32"/>
        <v>7.2344211823897746</v>
      </c>
      <c r="S26" s="146">
        <f t="shared" si="32"/>
        <v>8.9901676693851371</v>
      </c>
      <c r="T26" s="146">
        <f t="shared" si="32"/>
        <v>10.904062717666822</v>
      </c>
      <c r="U26" s="146">
        <f t="shared" si="32"/>
        <v>12.959781431811036</v>
      </c>
      <c r="V26" s="146">
        <f t="shared" si="32"/>
        <v>15.140564371508987</v>
      </c>
      <c r="W26" s="146">
        <f t="shared" si="32"/>
        <v>17.4296431713258</v>
      </c>
      <c r="X26" s="146">
        <f t="shared" si="32"/>
        <v>19.810566711342741</v>
      </c>
      <c r="Y26" s="146">
        <f t="shared" si="32"/>
        <v>22.267445799447479</v>
      </c>
      <c r="Z26" s="146">
        <f t="shared" si="32"/>
        <v>24.785131416603353</v>
      </c>
      <c r="AA26" s="146">
        <f t="shared" si="32"/>
        <v>27.349339112214277</v>
      </c>
      <c r="AB26" s="146">
        <f t="shared" si="32"/>
        <v>29.946730051786854</v>
      </c>
      <c r="AC26" s="146">
        <f t="shared" si="32"/>
        <v>32.564957457117195</v>
      </c>
      <c r="AD26" s="146">
        <f t="shared" si="32"/>
        <v>35.192685692036868</v>
      </c>
      <c r="AE26" s="146">
        <f t="shared" si="32"/>
        <v>37.819587993197999</v>
      </c>
      <c r="AF26" s="146">
        <f t="shared" si="32"/>
        <v>40.436327790332221</v>
      </c>
      <c r="AG26" s="146">
        <f t="shared" si="32"/>
        <v>43.034527673896086</v>
      </c>
      <c r="AH26" s="146">
        <f t="shared" si="32"/>
        <v>45.606729324439719</v>
      </c>
      <c r="AI26" s="146">
        <f t="shared" si="32"/>
        <v>48.146347095592041</v>
      </c>
      <c r="AJ26" s="146">
        <f t="shared" si="32"/>
        <v>50.647617422659295</v>
      </c>
      <c r="AK26" s="146">
        <f t="shared" si="32"/>
        <v>53.105545795652432</v>
      </c>
      <c r="AL26" s="146">
        <f t="shared" si="32"/>
        <v>55.515852675616792</v>
      </c>
      <c r="AM26" s="146">
        <f t="shared" si="32"/>
        <v>57.874919434974622</v>
      </c>
      <c r="AN26" s="146">
        <f t="shared" ref="AN26:BS26" si="33">AN14</f>
        <v>60.179735156461923</v>
      </c>
      <c r="AO26" s="146">
        <f t="shared" si="33"/>
        <v>62.427844922873923</v>
      </c>
      <c r="AP26" s="146">
        <f t="shared" si="33"/>
        <v>64.617300064203548</v>
      </c>
      <c r="AQ26" s="146">
        <f t="shared" si="33"/>
        <v>66.746610693912174</v>
      </c>
      <c r="AR26" s="146">
        <f t="shared" si="33"/>
        <v>68.814700756968321</v>
      </c>
      <c r="AS26" s="146">
        <f t="shared" si="33"/>
        <v>70.820865724660678</v>
      </c>
      <c r="AT26" s="146">
        <f t="shared" si="33"/>
        <v>72.764733001429349</v>
      </c>
      <c r="AU26" s="146">
        <f t="shared" si="33"/>
        <v>74.646225054022594</v>
      </c>
      <c r="AV26" s="146">
        <f t="shared" si="33"/>
        <v>76.465525230604669</v>
      </c>
      <c r="AW26" s="146">
        <f t="shared" si="33"/>
        <v>78.22304620485869</v>
      </c>
      <c r="AX26" s="146">
        <f t="shared" si="33"/>
        <v>79.919400955828209</v>
      </c>
      <c r="AY26" s="146">
        <f t="shared" si="33"/>
        <v>81.555376176702282</v>
      </c>
      <c r="AZ26" s="146">
        <f t="shared" si="33"/>
        <v>83.131907993694981</v>
      </c>
      <c r="BA26" s="146">
        <f t="shared" si="33"/>
        <v>84.650059868539287</v>
      </c>
      <c r="BB26" s="146">
        <f t="shared" si="33"/>
        <v>86.111002554017915</v>
      </c>
      <c r="BC26" s="146">
        <f t="shared" si="33"/>
        <v>87.515995970655169</v>
      </c>
      <c r="BD26" s="146">
        <f t="shared" si="33"/>
        <v>88.866372873580801</v>
      </c>
      <c r="BE26" s="146">
        <f t="shared" si="33"/>
        <v>90.163524181150464</v>
      </c>
      <c r="BF26" s="146">
        <f t="shared" si="33"/>
        <v>91.408885840746265</v>
      </c>
      <c r="BG26" s="146">
        <f t="shared" si="33"/>
        <v>92.603927111953922</v>
      </c>
      <c r="BH26" s="146">
        <f t="shared" si="33"/>
        <v>93.750140152737799</v>
      </c>
      <c r="BI26" s="146">
        <f t="shared" si="33"/>
        <v>94.849030800092564</v>
      </c>
      <c r="BJ26" s="146">
        <f t="shared" si="33"/>
        <v>95.902110442760019</v>
      </c>
      <c r="BK26" s="146">
        <f t="shared" si="33"/>
        <v>96.910888889817528</v>
      </c>
      <c r="BL26" s="146">
        <f t="shared" si="33"/>
        <v>97.876868145162788</v>
      </c>
      <c r="BM26" s="146">
        <f t="shared" si="33"/>
        <v>98.801537004046068</v>
      </c>
      <c r="BN26" s="146">
        <f t="shared" si="33"/>
        <v>99.686366393772815</v>
      </c>
      <c r="BO26" s="146">
        <f t="shared" si="33"/>
        <v>100.5328053864676</v>
      </c>
      <c r="BP26" s="146">
        <f t="shared" si="33"/>
        <v>101.34227781731518</v>
      </c>
      <c r="BQ26" s="146">
        <f t="shared" si="33"/>
        <v>102.11617944695877</v>
      </c>
      <c r="BR26" s="146">
        <f t="shared" si="33"/>
        <v>102.85587561171667</v>
      </c>
      <c r="BS26" s="146">
        <f t="shared" si="33"/>
        <v>103.56269930997377</v>
      </c>
      <c r="BT26" s="146">
        <f t="shared" ref="BT26:CY26" si="34">BT14</f>
        <v>104.23794967751182</v>
      </c>
      <c r="BU26" s="146">
        <f t="shared" si="34"/>
        <v>104.88289080865843</v>
      </c>
      <c r="BV26" s="146">
        <f t="shared" si="34"/>
        <v>105.49875088397421</v>
      </c>
      <c r="BW26" s="146">
        <f t="shared" si="34"/>
        <v>106.08672156876112</v>
      </c>
      <c r="BX26" s="146">
        <f t="shared" si="34"/>
        <v>106.6479576499766</v>
      </c>
      <c r="BY26" s="146">
        <f t="shared" si="34"/>
        <v>107.18357688218988</v>
      </c>
      <c r="BZ26" s="146">
        <f t="shared" si="34"/>
        <v>107.69466001602949</v>
      </c>
      <c r="CA26" s="146">
        <f t="shared" si="34"/>
        <v>108.18225098515779</v>
      </c>
      <c r="CB26" s="146">
        <f t="shared" si="34"/>
        <v>108.64735723018511</v>
      </c>
      <c r="CC26" s="146">
        <f t="shared" si="34"/>
        <v>109.0909501401116</v>
      </c>
      <c r="CD26" s="146">
        <f t="shared" si="34"/>
        <v>109.51396559387747</v>
      </c>
      <c r="CE26" s="146">
        <f t="shared" si="34"/>
        <v>109.91730458641989</v>
      </c>
      <c r="CF26" s="146">
        <f t="shared" si="34"/>
        <v>110.3018339252922</v>
      </c>
      <c r="CG26" s="146">
        <f t="shared" si="34"/>
        <v>110.6683869854116</v>
      </c>
      <c r="CH26" s="146">
        <f t="shared" si="34"/>
        <v>111.01776451087146</v>
      </c>
      <c r="CI26" s="146">
        <f t="shared" si="34"/>
        <v>111.35073545400006</v>
      </c>
      <c r="CJ26" s="146">
        <f t="shared" si="34"/>
        <v>111.66803784297581</v>
      </c>
      <c r="CK26" s="146">
        <f t="shared" si="34"/>
        <v>111.97037967032826</v>
      </c>
      <c r="CL26" s="146">
        <f t="shared" si="34"/>
        <v>112.25843979557877</v>
      </c>
      <c r="CM26" s="146">
        <f t="shared" si="34"/>
        <v>112.53286885610451</v>
      </c>
      <c r="CN26" s="146">
        <f t="shared" si="34"/>
        <v>112.79429018106121</v>
      </c>
      <c r="CO26" s="146">
        <f t="shared" si="34"/>
        <v>113.04330070387277</v>
      </c>
      <c r="CP26" s="146">
        <f t="shared" si="34"/>
        <v>113.2804718694035</v>
      </c>
      <c r="CQ26" s="146">
        <f t="shared" si="34"/>
        <v>113.50635053246974</v>
      </c>
      <c r="CR26" s="146">
        <f t="shared" si="34"/>
        <v>113.72145984483637</v>
      </c>
      <c r="CS26" s="146">
        <f t="shared" si="34"/>
        <v>113.92630012827603</v>
      </c>
      <c r="CT26" s="146">
        <f t="shared" si="34"/>
        <v>114.121349731659</v>
      </c>
      <c r="CU26" s="146">
        <f t="shared" si="34"/>
        <v>114.30706587038449</v>
      </c>
      <c r="CV26" s="146">
        <f t="shared" si="34"/>
        <v>114.48388544677304</v>
      </c>
      <c r="CW26" s="146">
        <f t="shared" si="34"/>
        <v>114.65222585031027</v>
      </c>
      <c r="CX26" s="146">
        <f t="shared" si="34"/>
        <v>114.81248573687292</v>
      </c>
      <c r="CY26" s="146">
        <f t="shared" si="34"/>
        <v>114.96504578628149</v>
      </c>
      <c r="CZ26" s="146">
        <f t="shared" ref="CZ26:DI26" si="35">CZ14</f>
        <v>115.11026943770834</v>
      </c>
      <c r="DA26" s="146">
        <f t="shared" si="35"/>
        <v>115.24850360263548</v>
      </c>
      <c r="DB26" s="146">
        <f t="shared" si="35"/>
        <v>115.38007935519893</v>
      </c>
      <c r="DC26" s="146">
        <f t="shared" si="35"/>
        <v>115.50531259987942</v>
      </c>
      <c r="DD26" s="146">
        <f t="shared" si="35"/>
        <v>115.62450471660945</v>
      </c>
      <c r="DE26" s="146">
        <f t="shared" si="35"/>
        <v>115.7379431834575</v>
      </c>
      <c r="DF26" s="146">
        <f t="shared" si="35"/>
        <v>115.8459021771306</v>
      </c>
      <c r="DG26" s="146">
        <f t="shared" si="35"/>
        <v>115.94864315160417</v>
      </c>
      <c r="DH26" s="146">
        <f t="shared" si="35"/>
        <v>116.04641539524519</v>
      </c>
      <c r="DI26" s="146">
        <f t="shared" si="35"/>
        <v>116.13945656684137</v>
      </c>
      <c r="DJ26"/>
      <c r="DK26"/>
      <c r="DL26"/>
      <c r="DM26"/>
      <c r="DN26"/>
      <c r="DO26"/>
      <c r="DP26"/>
      <c r="DQ26"/>
      <c r="DR26"/>
      <c r="DS26"/>
    </row>
    <row r="27" spans="2:128" ht="12.95" customHeight="1" x14ac:dyDescent="0.2">
      <c r="B27"/>
      <c r="C27"/>
      <c r="D27"/>
      <c r="E27"/>
      <c r="F27"/>
      <c r="G27" s="298" t="s">
        <v>1006</v>
      </c>
      <c r="H27" s="146">
        <f t="shared" ref="H27:AM27" si="36">H20</f>
        <v>0</v>
      </c>
      <c r="I27" s="146">
        <f t="shared" si="36"/>
        <v>1.3801503036642727E-2</v>
      </c>
      <c r="J27" s="146">
        <f t="shared" si="36"/>
        <v>0.10250810373022921</v>
      </c>
      <c r="K27" s="146">
        <f t="shared" si="36"/>
        <v>0.32140060564134304</v>
      </c>
      <c r="L27" s="146">
        <f t="shared" si="36"/>
        <v>0.70819088008020181</v>
      </c>
      <c r="M27" s="146">
        <f t="shared" si="36"/>
        <v>1.2865903014343147</v>
      </c>
      <c r="N27" s="146">
        <f t="shared" si="36"/>
        <v>2.0692648651289542</v>
      </c>
      <c r="O27" s="146">
        <f t="shared" si="36"/>
        <v>3.0602740346849182</v>
      </c>
      <c r="P27" s="146">
        <f t="shared" si="36"/>
        <v>4.2570757029793187</v>
      </c>
      <c r="Q27" s="146">
        <f t="shared" si="36"/>
        <v>5.6521671458405169</v>
      </c>
      <c r="R27" s="146">
        <f t="shared" si="36"/>
        <v>7.2344211823897746</v>
      </c>
      <c r="S27" s="146">
        <f t="shared" si="36"/>
        <v>8.9901676693851371</v>
      </c>
      <c r="T27" s="146">
        <f t="shared" si="36"/>
        <v>10.904062717666822</v>
      </c>
      <c r="U27" s="146">
        <f t="shared" si="36"/>
        <v>12.959781431811036</v>
      </c>
      <c r="V27" s="146">
        <f t="shared" si="36"/>
        <v>15.140564371508987</v>
      </c>
      <c r="W27" s="146">
        <f t="shared" si="36"/>
        <v>17.4296431713258</v>
      </c>
      <c r="X27" s="146">
        <f t="shared" si="36"/>
        <v>19.810566711342741</v>
      </c>
      <c r="Y27" s="146">
        <f t="shared" si="36"/>
        <v>22.267445799447479</v>
      </c>
      <c r="Z27" s="146">
        <f t="shared" si="36"/>
        <v>24.785131416603353</v>
      </c>
      <c r="AA27" s="146">
        <f t="shared" si="36"/>
        <v>27.349339112214277</v>
      </c>
      <c r="AB27" s="146">
        <f t="shared" si="36"/>
        <v>29.946730051786854</v>
      </c>
      <c r="AC27" s="146">
        <f t="shared" si="36"/>
        <v>32.564957457117195</v>
      </c>
      <c r="AD27" s="146">
        <f t="shared" si="36"/>
        <v>35.192685692036868</v>
      </c>
      <c r="AE27" s="146">
        <f t="shared" si="36"/>
        <v>37.819587993197999</v>
      </c>
      <c r="AF27" s="146">
        <f t="shared" si="36"/>
        <v>40.436327790332221</v>
      </c>
      <c r="AG27" s="146">
        <f t="shared" si="36"/>
        <v>43.034527673896086</v>
      </c>
      <c r="AH27" s="146">
        <f t="shared" si="36"/>
        <v>1.3801503036642727E-2</v>
      </c>
      <c r="AI27" s="146">
        <f t="shared" si="36"/>
        <v>0.10250810373022921</v>
      </c>
      <c r="AJ27" s="146">
        <f t="shared" si="36"/>
        <v>0.32140060564134304</v>
      </c>
      <c r="AK27" s="146">
        <f t="shared" si="36"/>
        <v>0.70819088008020181</v>
      </c>
      <c r="AL27" s="146">
        <f t="shared" si="36"/>
        <v>1.2865903014343147</v>
      </c>
      <c r="AM27" s="146">
        <f t="shared" si="36"/>
        <v>2.0692648651289542</v>
      </c>
      <c r="AN27" s="146">
        <f t="shared" ref="AN27:BS27" si="37">AN20</f>
        <v>3.0602740346849182</v>
      </c>
      <c r="AO27" s="146">
        <f t="shared" si="37"/>
        <v>4.2570757029793187</v>
      </c>
      <c r="AP27" s="146">
        <f t="shared" si="37"/>
        <v>5.6521671458405169</v>
      </c>
      <c r="AQ27" s="146">
        <f t="shared" si="37"/>
        <v>7.2344211823897746</v>
      </c>
      <c r="AR27" s="146">
        <f t="shared" si="37"/>
        <v>8.9901676693851371</v>
      </c>
      <c r="AS27" s="146">
        <f t="shared" si="37"/>
        <v>10.904062717666822</v>
      </c>
      <c r="AT27" s="146">
        <f t="shared" si="37"/>
        <v>12.959781431811036</v>
      </c>
      <c r="AU27" s="146">
        <f t="shared" si="37"/>
        <v>15.140564371508987</v>
      </c>
      <c r="AV27" s="146">
        <f t="shared" si="37"/>
        <v>17.4296431713258</v>
      </c>
      <c r="AW27" s="146">
        <f t="shared" si="37"/>
        <v>19.810566711342741</v>
      </c>
      <c r="AX27" s="146">
        <f t="shared" si="37"/>
        <v>22.267445799447479</v>
      </c>
      <c r="AY27" s="146">
        <f t="shared" si="37"/>
        <v>24.785131416603353</v>
      </c>
      <c r="AZ27" s="146">
        <f t="shared" si="37"/>
        <v>27.349339112214277</v>
      </c>
      <c r="BA27" s="146">
        <f t="shared" si="37"/>
        <v>29.946730051786854</v>
      </c>
      <c r="BB27" s="146">
        <f t="shared" si="37"/>
        <v>32.564957457117195</v>
      </c>
      <c r="BC27" s="146">
        <f t="shared" si="37"/>
        <v>35.192685692036868</v>
      </c>
      <c r="BD27" s="146">
        <f t="shared" si="37"/>
        <v>37.819587993197999</v>
      </c>
      <c r="BE27" s="146">
        <f t="shared" si="37"/>
        <v>40.436327790332221</v>
      </c>
      <c r="BF27" s="146">
        <f t="shared" si="37"/>
        <v>43.034527673896086</v>
      </c>
      <c r="BG27" s="146">
        <f t="shared" si="37"/>
        <v>45.606729324439719</v>
      </c>
      <c r="BH27" s="146">
        <f t="shared" si="37"/>
        <v>48.146347095592041</v>
      </c>
      <c r="BI27" s="146">
        <f t="shared" si="37"/>
        <v>50.647617422659295</v>
      </c>
      <c r="BJ27" s="146">
        <f t="shared" si="37"/>
        <v>53.105545795652432</v>
      </c>
      <c r="BK27" s="146">
        <f t="shared" si="37"/>
        <v>55.515852675616792</v>
      </c>
      <c r="BL27" s="146">
        <f t="shared" si="37"/>
        <v>57.874919434974622</v>
      </c>
      <c r="BM27" s="146">
        <f t="shared" si="37"/>
        <v>60.179735156461923</v>
      </c>
      <c r="BN27" s="146">
        <f t="shared" si="37"/>
        <v>62.427844922873923</v>
      </c>
      <c r="BO27" s="146">
        <f t="shared" si="37"/>
        <v>64.617300064203548</v>
      </c>
      <c r="BP27" s="146">
        <f t="shared" si="37"/>
        <v>66.746610693912174</v>
      </c>
      <c r="BQ27" s="146">
        <f t="shared" si="37"/>
        <v>68.814700756968321</v>
      </c>
      <c r="BR27" s="146">
        <f t="shared" si="37"/>
        <v>70.820865724660678</v>
      </c>
      <c r="BS27" s="146">
        <f t="shared" si="37"/>
        <v>72.764733001429349</v>
      </c>
      <c r="BT27" s="146">
        <f t="shared" ref="BT27:CY27" si="38">BT20</f>
        <v>74.646225054022594</v>
      </c>
      <c r="BU27" s="146">
        <f t="shared" si="38"/>
        <v>76.465525230604669</v>
      </c>
      <c r="BV27" s="146">
        <f t="shared" si="38"/>
        <v>78.22304620485869</v>
      </c>
      <c r="BW27" s="146">
        <f t="shared" si="38"/>
        <v>79.919400955828209</v>
      </c>
      <c r="BX27" s="146">
        <f t="shared" si="38"/>
        <v>81.555376176702282</v>
      </c>
      <c r="BY27" s="146">
        <f t="shared" si="38"/>
        <v>83.131907993694981</v>
      </c>
      <c r="BZ27" s="146">
        <f t="shared" si="38"/>
        <v>84.650059868539287</v>
      </c>
      <c r="CA27" s="146">
        <f t="shared" si="38"/>
        <v>86.111002554017915</v>
      </c>
      <c r="CB27" s="146">
        <f t="shared" si="38"/>
        <v>87.515995970655169</v>
      </c>
      <c r="CC27" s="146">
        <f t="shared" si="38"/>
        <v>88.866372873580801</v>
      </c>
      <c r="CD27" s="146">
        <f t="shared" si="38"/>
        <v>90.163524181150464</v>
      </c>
      <c r="CE27" s="146">
        <f t="shared" si="38"/>
        <v>91.408885840746265</v>
      </c>
      <c r="CF27" s="146">
        <f t="shared" si="38"/>
        <v>92.603927111953922</v>
      </c>
      <c r="CG27" s="146">
        <f t="shared" si="38"/>
        <v>93.750140152737799</v>
      </c>
      <c r="CH27" s="146">
        <f t="shared" si="38"/>
        <v>94.849030800092564</v>
      </c>
      <c r="CI27" s="146">
        <f t="shared" si="38"/>
        <v>95.902110442760019</v>
      </c>
      <c r="CJ27" s="146">
        <f t="shared" si="38"/>
        <v>96.910888889817528</v>
      </c>
      <c r="CK27" s="146">
        <f t="shared" si="38"/>
        <v>97.876868145162788</v>
      </c>
      <c r="CL27" s="146">
        <f t="shared" si="38"/>
        <v>98.801537004046068</v>
      </c>
      <c r="CM27" s="146">
        <f t="shared" si="38"/>
        <v>99.686366393772815</v>
      </c>
      <c r="CN27" s="146">
        <f t="shared" si="38"/>
        <v>100.5328053864676</v>
      </c>
      <c r="CO27" s="146">
        <f t="shared" si="38"/>
        <v>101.34227781731518</v>
      </c>
      <c r="CP27" s="146">
        <f t="shared" si="38"/>
        <v>102.11617944695877</v>
      </c>
      <c r="CQ27" s="146">
        <f t="shared" si="38"/>
        <v>102.85587561171667</v>
      </c>
      <c r="CR27" s="146">
        <f t="shared" si="38"/>
        <v>103.56269930997377</v>
      </c>
      <c r="CS27" s="146">
        <f t="shared" si="38"/>
        <v>104.23794967751182</v>
      </c>
      <c r="CT27" s="146">
        <f t="shared" si="38"/>
        <v>104.88289080865843</v>
      </c>
      <c r="CU27" s="146">
        <f t="shared" si="38"/>
        <v>105.49875088397421</v>
      </c>
      <c r="CV27" s="146">
        <f t="shared" si="38"/>
        <v>106.08672156876112</v>
      </c>
      <c r="CW27" s="146">
        <f t="shared" si="38"/>
        <v>106.6479576499766</v>
      </c>
      <c r="CX27" s="146">
        <f t="shared" si="38"/>
        <v>107.18357688218988</v>
      </c>
      <c r="CY27" s="146">
        <f t="shared" si="38"/>
        <v>107.69466001602949</v>
      </c>
      <c r="CZ27" s="146">
        <f t="shared" ref="CZ27:DI27" si="39">CZ20</f>
        <v>108.18225098515779</v>
      </c>
      <c r="DA27" s="146">
        <f t="shared" si="39"/>
        <v>108.64735723018511</v>
      </c>
      <c r="DB27" s="146">
        <f t="shared" si="39"/>
        <v>109.0909501401116</v>
      </c>
      <c r="DC27" s="146">
        <f t="shared" si="39"/>
        <v>109.51396559387747</v>
      </c>
      <c r="DD27" s="146">
        <f t="shared" si="39"/>
        <v>109.91730458641989</v>
      </c>
      <c r="DE27" s="146">
        <f t="shared" si="39"/>
        <v>110.3018339252922</v>
      </c>
      <c r="DF27" s="146">
        <f t="shared" si="39"/>
        <v>110.6683869854116</v>
      </c>
      <c r="DG27" s="146">
        <f t="shared" si="39"/>
        <v>111.01776451087146</v>
      </c>
      <c r="DH27" s="146">
        <f t="shared" si="39"/>
        <v>111.35073545400006</v>
      </c>
      <c r="DI27" s="146">
        <f t="shared" si="39"/>
        <v>111.66803784297581</v>
      </c>
      <c r="DJ27"/>
      <c r="DK27"/>
      <c r="DL27"/>
      <c r="DM27"/>
      <c r="DN27"/>
      <c r="DO27"/>
      <c r="DP27"/>
      <c r="DQ27"/>
      <c r="DR27"/>
      <c r="DS27"/>
    </row>
    <row r="28" spans="2:128" ht="12.95" customHeight="1" x14ac:dyDescent="0.2">
      <c r="B28"/>
      <c r="C28"/>
      <c r="D28"/>
      <c r="E28"/>
      <c r="F28"/>
      <c r="G28" s="297" t="s">
        <v>1159</v>
      </c>
      <c r="H28" s="146"/>
      <c r="I28" s="146"/>
      <c r="J28" s="146"/>
      <c r="K28" s="146"/>
      <c r="L28" s="146"/>
      <c r="M28" s="146"/>
      <c r="N28" s="146"/>
      <c r="O28" s="146"/>
      <c r="P28" s="146"/>
      <c r="Q28" s="146"/>
      <c r="R28" s="146"/>
      <c r="S28" s="146"/>
      <c r="T28" s="146"/>
      <c r="U28" s="146"/>
      <c r="V28" s="146"/>
      <c r="W28" s="146"/>
      <c r="X28" s="146"/>
      <c r="Y28" s="146"/>
      <c r="Z28" s="146"/>
      <c r="AA28" s="146"/>
      <c r="AB28" s="146"/>
      <c r="AC28" s="146"/>
      <c r="AD28" s="146"/>
      <c r="AE28" s="146"/>
      <c r="AF28" s="146"/>
      <c r="AG28" s="146"/>
      <c r="AH28" s="146">
        <f t="shared" ref="AH28:BM28" si="40">AH27-AH26</f>
        <v>-45.592927821403073</v>
      </c>
      <c r="AI28" s="146">
        <f t="shared" si="40"/>
        <v>-48.043838991861811</v>
      </c>
      <c r="AJ28" s="146">
        <f t="shared" si="40"/>
        <v>-50.326216817017951</v>
      </c>
      <c r="AK28" s="146">
        <f t="shared" si="40"/>
        <v>-52.39735491557223</v>
      </c>
      <c r="AL28" s="146">
        <f t="shared" si="40"/>
        <v>-54.229262374182476</v>
      </c>
      <c r="AM28" s="146">
        <f t="shared" si="40"/>
        <v>-55.805654569845665</v>
      </c>
      <c r="AN28" s="146">
        <f t="shared" si="40"/>
        <v>-57.119461121777007</v>
      </c>
      <c r="AO28" s="146">
        <f t="shared" si="40"/>
        <v>-58.170769219894602</v>
      </c>
      <c r="AP28" s="146">
        <f t="shared" si="40"/>
        <v>-58.965132918363032</v>
      </c>
      <c r="AQ28" s="146">
        <f t="shared" si="40"/>
        <v>-59.512189511522401</v>
      </c>
      <c r="AR28" s="146">
        <f t="shared" si="40"/>
        <v>-59.824533087583184</v>
      </c>
      <c r="AS28" s="146">
        <f t="shared" si="40"/>
        <v>-59.91680300699386</v>
      </c>
      <c r="AT28" s="146">
        <f t="shared" si="40"/>
        <v>-59.804951569618311</v>
      </c>
      <c r="AU28" s="146">
        <f t="shared" si="40"/>
        <v>-59.505660682513607</v>
      </c>
      <c r="AV28" s="146">
        <f t="shared" si="40"/>
        <v>-59.035882059278869</v>
      </c>
      <c r="AW28" s="146">
        <f t="shared" si="40"/>
        <v>-58.412479493515946</v>
      </c>
      <c r="AX28" s="146">
        <f t="shared" si="40"/>
        <v>-57.65195515638073</v>
      </c>
      <c r="AY28" s="146">
        <f t="shared" si="40"/>
        <v>-56.770244760098933</v>
      </c>
      <c r="AZ28" s="146">
        <f t="shared" si="40"/>
        <v>-55.782568881480699</v>
      </c>
      <c r="BA28" s="146">
        <f t="shared" si="40"/>
        <v>-54.703329816752429</v>
      </c>
      <c r="BB28" s="146">
        <f t="shared" si="40"/>
        <v>-53.54604509690072</v>
      </c>
      <c r="BC28" s="146">
        <f t="shared" si="40"/>
        <v>-52.323310278618301</v>
      </c>
      <c r="BD28" s="146">
        <f t="shared" si="40"/>
        <v>-51.046784880382802</v>
      </c>
      <c r="BE28" s="146">
        <f t="shared" si="40"/>
        <v>-49.727196390818243</v>
      </c>
      <c r="BF28" s="146">
        <f t="shared" si="40"/>
        <v>-48.374358166850179</v>
      </c>
      <c r="BG28" s="146">
        <f t="shared" si="40"/>
        <v>-46.997197787514203</v>
      </c>
      <c r="BH28" s="146">
        <f t="shared" si="40"/>
        <v>-45.603793057145758</v>
      </c>
      <c r="BI28" s="146">
        <f t="shared" si="40"/>
        <v>-44.201413377433269</v>
      </c>
      <c r="BJ28" s="146">
        <f t="shared" si="40"/>
        <v>-42.796564647107587</v>
      </c>
      <c r="BK28" s="146">
        <f t="shared" si="40"/>
        <v>-41.395036214200736</v>
      </c>
      <c r="BL28" s="146">
        <f t="shared" si="40"/>
        <v>-40.001948710188167</v>
      </c>
      <c r="BM28" s="146">
        <f t="shared" si="40"/>
        <v>-38.621801847584145</v>
      </c>
      <c r="BN28" s="146">
        <f t="shared" ref="BN28:CS28" si="41">BN27-BN26</f>
        <v>-37.258521470898891</v>
      </c>
      <c r="BO28" s="146">
        <f t="shared" si="41"/>
        <v>-35.915505322264053</v>
      </c>
      <c r="BP28" s="146">
        <f t="shared" si="41"/>
        <v>-34.595667123403004</v>
      </c>
      <c r="BQ28" s="146">
        <f t="shared" si="41"/>
        <v>-33.301478689990446</v>
      </c>
      <c r="BR28" s="146">
        <f t="shared" si="41"/>
        <v>-32.035009887055992</v>
      </c>
      <c r="BS28" s="146">
        <f t="shared" si="41"/>
        <v>-30.797966308544417</v>
      </c>
      <c r="BT28" s="146">
        <f t="shared" si="41"/>
        <v>-29.591724623489227</v>
      </c>
      <c r="BU28" s="146">
        <f t="shared" si="41"/>
        <v>-28.417365578053762</v>
      </c>
      <c r="BV28" s="146">
        <f t="shared" si="41"/>
        <v>-27.27570467911552</v>
      </c>
      <c r="BW28" s="146">
        <f t="shared" si="41"/>
        <v>-26.167320612932912</v>
      </c>
      <c r="BX28" s="146">
        <f t="shared" si="41"/>
        <v>-25.092581473274322</v>
      </c>
      <c r="BY28" s="146">
        <f t="shared" si="41"/>
        <v>-24.051668888494902</v>
      </c>
      <c r="BZ28" s="146">
        <f t="shared" si="41"/>
        <v>-23.0446001474902</v>
      </c>
      <c r="CA28" s="146">
        <f t="shared" si="41"/>
        <v>-22.071248431139878</v>
      </c>
      <c r="CB28" s="146">
        <f t="shared" si="41"/>
        <v>-21.131361259529939</v>
      </c>
      <c r="CC28" s="146">
        <f t="shared" si="41"/>
        <v>-20.224577266530801</v>
      </c>
      <c r="CD28" s="146">
        <f t="shared" si="41"/>
        <v>-19.350441412727008</v>
      </c>
      <c r="CE28" s="146">
        <f t="shared" si="41"/>
        <v>-18.508418745673623</v>
      </c>
      <c r="CF28" s="146">
        <f t="shared" si="41"/>
        <v>-17.697906813338278</v>
      </c>
      <c r="CG28" s="146">
        <f t="shared" si="41"/>
        <v>-16.918246832673802</v>
      </c>
      <c r="CH28" s="146">
        <f t="shared" si="41"/>
        <v>-16.168733710778895</v>
      </c>
      <c r="CI28" s="146">
        <f t="shared" si="41"/>
        <v>-15.44862501124004</v>
      </c>
      <c r="CJ28" s="146">
        <f t="shared" si="41"/>
        <v>-14.757148953158278</v>
      </c>
      <c r="CK28" s="146">
        <f t="shared" si="41"/>
        <v>-14.093511525165468</v>
      </c>
      <c r="CL28" s="146">
        <f t="shared" si="41"/>
        <v>-13.456902791532698</v>
      </c>
      <c r="CM28" s="146">
        <f t="shared" si="41"/>
        <v>-12.846502462331699</v>
      </c>
      <c r="CN28" s="146">
        <f t="shared" si="41"/>
        <v>-12.261484794593613</v>
      </c>
      <c r="CO28" s="146">
        <f t="shared" si="41"/>
        <v>-11.701022886557595</v>
      </c>
      <c r="CP28" s="146">
        <f t="shared" si="41"/>
        <v>-11.164292422444731</v>
      </c>
      <c r="CQ28" s="146">
        <f t="shared" si="41"/>
        <v>-10.650474920753069</v>
      </c>
      <c r="CR28" s="146">
        <f t="shared" si="41"/>
        <v>-10.158760534862608</v>
      </c>
      <c r="CS28" s="146">
        <f t="shared" si="41"/>
        <v>-9.6883504507642044</v>
      </c>
      <c r="CT28" s="146">
        <f t="shared" ref="CT28:DI28" si="42">CT27-CT26</f>
        <v>-9.2384589230005645</v>
      </c>
      <c r="CU28" s="146">
        <f t="shared" si="42"/>
        <v>-8.8083149864102808</v>
      </c>
      <c r="CV28" s="146">
        <f t="shared" si="42"/>
        <v>-8.3971638780119235</v>
      </c>
      <c r="CW28" s="146">
        <f t="shared" si="42"/>
        <v>-8.0042682003336694</v>
      </c>
      <c r="CX28" s="146">
        <f t="shared" si="42"/>
        <v>-7.6289088546830328</v>
      </c>
      <c r="CY28" s="146">
        <f t="shared" si="42"/>
        <v>-7.2703857702520054</v>
      </c>
      <c r="CZ28" s="146">
        <f t="shared" si="42"/>
        <v>-6.9280184525505462</v>
      </c>
      <c r="DA28" s="146">
        <f t="shared" si="42"/>
        <v>-6.6011463724503727</v>
      </c>
      <c r="DB28" s="146">
        <f t="shared" si="42"/>
        <v>-6.2891292150873284</v>
      </c>
      <c r="DC28" s="146">
        <f t="shared" si="42"/>
        <v>-5.9913470060019449</v>
      </c>
      <c r="DD28" s="146">
        <f t="shared" si="42"/>
        <v>-5.7072001301895625</v>
      </c>
      <c r="DE28" s="146">
        <f t="shared" si="42"/>
        <v>-5.4361092581653025</v>
      </c>
      <c r="DF28" s="146">
        <f t="shared" si="42"/>
        <v>-5.1775151917189959</v>
      </c>
      <c r="DG28" s="146">
        <f t="shared" si="42"/>
        <v>-4.9308786407327148</v>
      </c>
      <c r="DH28" s="146">
        <f t="shared" si="42"/>
        <v>-4.6956799412451318</v>
      </c>
      <c r="DI28" s="146">
        <f t="shared" si="42"/>
        <v>-4.4714187238655683</v>
      </c>
      <c r="DJ28"/>
      <c r="DK28"/>
      <c r="DL28"/>
      <c r="DM28"/>
      <c r="DN28"/>
      <c r="DO28"/>
      <c r="DP28"/>
      <c r="DQ28"/>
      <c r="DR28"/>
      <c r="DS28"/>
    </row>
    <row r="29" spans="2:128" ht="12.95" customHeight="1" x14ac:dyDescent="0.2">
      <c r="H29" s="54"/>
      <c r="I29" s="54"/>
    </row>
    <row r="30" spans="2:128" customFormat="1" ht="12.95" customHeight="1" x14ac:dyDescent="0.2">
      <c r="H30" s="54"/>
    </row>
    <row r="31" spans="2:128" customFormat="1" ht="12.95" customHeight="1" x14ac:dyDescent="0.2">
      <c r="H31" s="54"/>
    </row>
    <row r="32" spans="2:128" customFormat="1" ht="12.95" customHeight="1" x14ac:dyDescent="0.2">
      <c r="H32" s="54"/>
    </row>
    <row r="33" spans="2:123" customFormat="1" ht="12.95" customHeight="1" x14ac:dyDescent="0.2">
      <c r="H33" s="54"/>
    </row>
    <row r="34" spans="2:123" customFormat="1" ht="12.95" customHeight="1" x14ac:dyDescent="0.2">
      <c r="H34" s="54"/>
    </row>
    <row r="35" spans="2:123" customFormat="1" ht="12.95" customHeight="1" x14ac:dyDescent="0.2">
      <c r="H35" s="54"/>
    </row>
    <row r="36" spans="2:123" customFormat="1" ht="12.95" customHeight="1" x14ac:dyDescent="0.2">
      <c r="H36" s="54"/>
    </row>
    <row r="37" spans="2:123" customFormat="1" ht="12.95" customHeight="1" x14ac:dyDescent="0.2">
      <c r="H37" s="54"/>
    </row>
    <row r="38" spans="2:123" customFormat="1" ht="12.95" customHeight="1" x14ac:dyDescent="0.2">
      <c r="H38" s="54"/>
    </row>
    <row r="39" spans="2:123" customFormat="1" ht="12.95" customHeight="1" x14ac:dyDescent="0.2">
      <c r="H39" s="54"/>
    </row>
    <row r="40" spans="2:123" customFormat="1" ht="12.95" customHeight="1" x14ac:dyDescent="0.2">
      <c r="H40" s="54"/>
    </row>
    <row r="41" spans="2:123" customFormat="1" ht="12.95" customHeight="1" x14ac:dyDescent="0.2">
      <c r="H41" s="54"/>
    </row>
    <row r="42" spans="2:123" customFormat="1" ht="12.95" customHeight="1" x14ac:dyDescent="0.2">
      <c r="H42" s="54"/>
    </row>
    <row r="43" spans="2:123" customFormat="1" ht="12.95" customHeight="1" x14ac:dyDescent="0.2">
      <c r="H43" s="54"/>
    </row>
    <row r="44" spans="2:123" customFormat="1" ht="12.95" customHeight="1" x14ac:dyDescent="0.2">
      <c r="H44" s="54"/>
    </row>
    <row r="45" spans="2:123" customFormat="1" ht="12.95" customHeight="1" x14ac:dyDescent="0.2">
      <c r="H45" s="54"/>
    </row>
    <row r="46" spans="2:123" s="253" customFormat="1" ht="12.95" customHeight="1" x14ac:dyDescent="0.2"/>
    <row r="47" spans="2:123" ht="12.95" customHeight="1" x14ac:dyDescent="0.2">
      <c r="B47" s="152"/>
      <c r="C47" s="152"/>
      <c r="D47" s="152"/>
      <c r="E47" s="152"/>
      <c r="F47" s="152"/>
      <c r="G47" s="152"/>
      <c r="H47" s="147"/>
      <c r="I47" s="147"/>
      <c r="J47" s="147"/>
      <c r="K47" s="147"/>
      <c r="L47" s="147"/>
      <c r="M47" s="147"/>
      <c r="N47" s="147"/>
      <c r="O47" s="147"/>
      <c r="P47" s="147"/>
      <c r="Q47" s="147"/>
      <c r="R47" s="147"/>
      <c r="S47" s="147"/>
      <c r="T47" s="147"/>
      <c r="U47" s="147"/>
      <c r="V47" s="147"/>
      <c r="W47" s="147"/>
      <c r="X47" s="147"/>
      <c r="Y47" s="147"/>
      <c r="Z47" s="147"/>
      <c r="AA47" s="147"/>
      <c r="AB47" s="147"/>
      <c r="AC47" s="147"/>
      <c r="AD47" s="147"/>
      <c r="AE47" s="147"/>
      <c r="AF47" s="147"/>
      <c r="AG47" s="147"/>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c r="BI47" s="147"/>
      <c r="BJ47" s="147"/>
      <c r="BK47" s="147"/>
      <c r="BL47" s="147"/>
      <c r="BM47" s="147"/>
      <c r="BN47" s="147"/>
      <c r="BO47" s="147"/>
      <c r="BP47" s="147"/>
      <c r="BQ47" s="147"/>
      <c r="BR47" s="147"/>
      <c r="BS47" s="147"/>
      <c r="BT47" s="147"/>
      <c r="BU47" s="147"/>
      <c r="BV47" s="147"/>
      <c r="BW47" s="147"/>
      <c r="BX47" s="147"/>
      <c r="BY47" s="147"/>
      <c r="BZ47" s="147"/>
      <c r="CA47" s="147"/>
      <c r="CB47" s="147"/>
      <c r="CC47" s="147"/>
      <c r="CD47" s="147"/>
      <c r="CE47" s="147"/>
      <c r="CF47" s="147"/>
      <c r="CG47" s="147"/>
      <c r="CH47" s="147"/>
      <c r="CI47" s="147"/>
      <c r="CJ47" s="147"/>
      <c r="CK47" s="147"/>
      <c r="CL47" s="147"/>
      <c r="CM47" s="147"/>
      <c r="CN47" s="147"/>
      <c r="CO47" s="147"/>
      <c r="CP47" s="147"/>
      <c r="CQ47" s="147"/>
      <c r="CR47" s="147"/>
      <c r="CS47" s="147"/>
      <c r="CT47" s="147"/>
      <c r="CU47" s="147"/>
      <c r="CV47" s="147"/>
      <c r="CW47" s="147"/>
      <c r="CX47" s="147"/>
      <c r="CY47" s="147"/>
      <c r="CZ47" s="147"/>
      <c r="DA47" s="147"/>
      <c r="DB47" s="147"/>
      <c r="DC47" s="147"/>
      <c r="DD47" s="147"/>
      <c r="DE47" s="147"/>
      <c r="DF47" s="147"/>
      <c r="DG47" s="147"/>
      <c r="DH47" s="147"/>
      <c r="DI47" s="147"/>
      <c r="DJ47"/>
      <c r="DK47"/>
      <c r="DL47"/>
      <c r="DM47"/>
      <c r="DN47"/>
      <c r="DO47"/>
      <c r="DP47"/>
      <c r="DQ47"/>
      <c r="DR47"/>
      <c r="DS47"/>
    </row>
    <row r="48" spans="2:123" ht="12.95" customHeight="1" x14ac:dyDescent="0.25">
      <c r="B48" s="105" t="s">
        <v>1174</v>
      </c>
      <c r="C48" s="105"/>
      <c r="D48" s="105"/>
      <c r="E48" s="105"/>
      <c r="F48" s="105"/>
      <c r="G48" s="105"/>
      <c r="H48" s="106"/>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7"/>
      <c r="CI48" s="107"/>
      <c r="CJ48" s="107"/>
      <c r="CK48" s="107"/>
      <c r="CL48" s="107"/>
      <c r="CM48" s="107"/>
      <c r="CN48" s="107"/>
      <c r="CO48" s="107"/>
      <c r="CP48" s="107"/>
      <c r="CQ48" s="107"/>
      <c r="CR48" s="107"/>
      <c r="CS48" s="107"/>
      <c r="CT48" s="107"/>
      <c r="CU48" s="107"/>
      <c r="CV48" s="107"/>
      <c r="CW48" s="107"/>
      <c r="CX48" s="107"/>
      <c r="CY48" s="107"/>
      <c r="CZ48" s="107"/>
      <c r="DA48" s="107"/>
      <c r="DB48" s="107"/>
      <c r="DC48" s="107"/>
      <c r="DD48" s="107"/>
      <c r="DE48" s="107"/>
      <c r="DF48" s="107"/>
      <c r="DG48" s="107"/>
      <c r="DH48" s="107"/>
      <c r="DI48" s="107"/>
      <c r="DJ48"/>
      <c r="DK48"/>
      <c r="DL48"/>
      <c r="DM48"/>
      <c r="DN48"/>
      <c r="DO48"/>
      <c r="DP48"/>
      <c r="DQ48"/>
      <c r="DR48"/>
      <c r="DS48"/>
    </row>
    <row r="49" spans="2:123" ht="12.95" customHeight="1" x14ac:dyDescent="0.2">
      <c r="B49" s="253"/>
      <c r="C49" s="253"/>
      <c r="D49" s="253"/>
      <c r="E49" s="253"/>
      <c r="F49" s="253"/>
      <c r="G49" s="159" t="s">
        <v>497</v>
      </c>
      <c r="H49" s="93">
        <f t="shared" ref="H49:AM49" si="43">H10</f>
        <v>-25</v>
      </c>
      <c r="I49" s="93">
        <f t="shared" si="43"/>
        <v>-24</v>
      </c>
      <c r="J49" s="93">
        <f t="shared" si="43"/>
        <v>-23</v>
      </c>
      <c r="K49" s="93">
        <f t="shared" si="43"/>
        <v>-22</v>
      </c>
      <c r="L49" s="93">
        <f t="shared" si="43"/>
        <v>-21</v>
      </c>
      <c r="M49" s="93">
        <f t="shared" si="43"/>
        <v>-20</v>
      </c>
      <c r="N49" s="93">
        <f t="shared" si="43"/>
        <v>-19</v>
      </c>
      <c r="O49" s="93">
        <f t="shared" si="43"/>
        <v>-18</v>
      </c>
      <c r="P49" s="93">
        <f t="shared" si="43"/>
        <v>-17</v>
      </c>
      <c r="Q49" s="93">
        <f t="shared" si="43"/>
        <v>-16</v>
      </c>
      <c r="R49" s="93">
        <f t="shared" si="43"/>
        <v>-15</v>
      </c>
      <c r="S49" s="93">
        <f t="shared" si="43"/>
        <v>-14</v>
      </c>
      <c r="T49" s="93">
        <f t="shared" si="43"/>
        <v>-13</v>
      </c>
      <c r="U49" s="93">
        <f t="shared" si="43"/>
        <v>-12</v>
      </c>
      <c r="V49" s="93">
        <f t="shared" si="43"/>
        <v>-11</v>
      </c>
      <c r="W49" s="93">
        <f t="shared" si="43"/>
        <v>-10</v>
      </c>
      <c r="X49" s="93">
        <f t="shared" si="43"/>
        <v>-9</v>
      </c>
      <c r="Y49" s="93">
        <f t="shared" si="43"/>
        <v>-8</v>
      </c>
      <c r="Z49" s="93">
        <f t="shared" si="43"/>
        <v>-7</v>
      </c>
      <c r="AA49" s="93">
        <f t="shared" si="43"/>
        <v>-6</v>
      </c>
      <c r="AB49" s="93">
        <f t="shared" si="43"/>
        <v>-5</v>
      </c>
      <c r="AC49" s="93">
        <f t="shared" si="43"/>
        <v>-4</v>
      </c>
      <c r="AD49" s="93">
        <f t="shared" si="43"/>
        <v>-3</v>
      </c>
      <c r="AE49" s="93">
        <f t="shared" si="43"/>
        <v>-2</v>
      </c>
      <c r="AF49" s="93">
        <f t="shared" si="43"/>
        <v>-1</v>
      </c>
      <c r="AG49" s="93">
        <f t="shared" si="43"/>
        <v>0</v>
      </c>
      <c r="AH49" s="93">
        <f t="shared" si="43"/>
        <v>1</v>
      </c>
      <c r="AI49" s="93">
        <f t="shared" si="43"/>
        <v>2</v>
      </c>
      <c r="AJ49" s="93">
        <f t="shared" si="43"/>
        <v>3</v>
      </c>
      <c r="AK49" s="93">
        <f t="shared" si="43"/>
        <v>4</v>
      </c>
      <c r="AL49" s="93">
        <f t="shared" si="43"/>
        <v>5</v>
      </c>
      <c r="AM49" s="93">
        <f t="shared" si="43"/>
        <v>6</v>
      </c>
      <c r="AN49" s="93">
        <f t="shared" ref="AN49:BS49" si="44">AN10</f>
        <v>7</v>
      </c>
      <c r="AO49" s="93">
        <f t="shared" si="44"/>
        <v>8</v>
      </c>
      <c r="AP49" s="93">
        <f t="shared" si="44"/>
        <v>9</v>
      </c>
      <c r="AQ49" s="93">
        <f t="shared" si="44"/>
        <v>10</v>
      </c>
      <c r="AR49" s="93">
        <f t="shared" si="44"/>
        <v>11</v>
      </c>
      <c r="AS49" s="93">
        <f t="shared" si="44"/>
        <v>12</v>
      </c>
      <c r="AT49" s="93">
        <f t="shared" si="44"/>
        <v>13</v>
      </c>
      <c r="AU49" s="93">
        <f t="shared" si="44"/>
        <v>14</v>
      </c>
      <c r="AV49" s="93">
        <f t="shared" si="44"/>
        <v>15</v>
      </c>
      <c r="AW49" s="93">
        <f t="shared" si="44"/>
        <v>16</v>
      </c>
      <c r="AX49" s="93">
        <f t="shared" si="44"/>
        <v>17</v>
      </c>
      <c r="AY49" s="93">
        <f t="shared" si="44"/>
        <v>18</v>
      </c>
      <c r="AZ49" s="93">
        <f t="shared" si="44"/>
        <v>19</v>
      </c>
      <c r="BA49" s="93">
        <f t="shared" si="44"/>
        <v>20</v>
      </c>
      <c r="BB49" s="93">
        <f t="shared" si="44"/>
        <v>21</v>
      </c>
      <c r="BC49" s="93">
        <f t="shared" si="44"/>
        <v>22</v>
      </c>
      <c r="BD49" s="93">
        <f t="shared" si="44"/>
        <v>23</v>
      </c>
      <c r="BE49" s="93">
        <f t="shared" si="44"/>
        <v>24</v>
      </c>
      <c r="BF49" s="93">
        <f t="shared" si="44"/>
        <v>25</v>
      </c>
      <c r="BG49" s="93">
        <f t="shared" si="44"/>
        <v>26</v>
      </c>
      <c r="BH49" s="93">
        <f t="shared" si="44"/>
        <v>27</v>
      </c>
      <c r="BI49" s="93">
        <f t="shared" si="44"/>
        <v>28</v>
      </c>
      <c r="BJ49" s="93">
        <f t="shared" si="44"/>
        <v>29</v>
      </c>
      <c r="BK49" s="93">
        <f t="shared" si="44"/>
        <v>30</v>
      </c>
      <c r="BL49" s="93">
        <f t="shared" si="44"/>
        <v>31</v>
      </c>
      <c r="BM49" s="93">
        <f t="shared" si="44"/>
        <v>32</v>
      </c>
      <c r="BN49" s="93">
        <f t="shared" si="44"/>
        <v>33</v>
      </c>
      <c r="BO49" s="93">
        <f t="shared" si="44"/>
        <v>34</v>
      </c>
      <c r="BP49" s="93">
        <f t="shared" si="44"/>
        <v>35</v>
      </c>
      <c r="BQ49" s="93">
        <f t="shared" si="44"/>
        <v>36</v>
      </c>
      <c r="BR49" s="93">
        <f t="shared" si="44"/>
        <v>37</v>
      </c>
      <c r="BS49" s="93">
        <f t="shared" si="44"/>
        <v>38</v>
      </c>
      <c r="BT49" s="93">
        <f t="shared" ref="BT49:CY49" si="45">BT10</f>
        <v>39</v>
      </c>
      <c r="BU49" s="93">
        <f t="shared" si="45"/>
        <v>40</v>
      </c>
      <c r="BV49" s="93">
        <f t="shared" si="45"/>
        <v>41</v>
      </c>
      <c r="BW49" s="93">
        <f t="shared" si="45"/>
        <v>42</v>
      </c>
      <c r="BX49" s="93">
        <f t="shared" si="45"/>
        <v>43</v>
      </c>
      <c r="BY49" s="93">
        <f t="shared" si="45"/>
        <v>44</v>
      </c>
      <c r="BZ49" s="93">
        <f t="shared" si="45"/>
        <v>45</v>
      </c>
      <c r="CA49" s="93">
        <f t="shared" si="45"/>
        <v>46</v>
      </c>
      <c r="CB49" s="93">
        <f t="shared" si="45"/>
        <v>47</v>
      </c>
      <c r="CC49" s="93">
        <f t="shared" si="45"/>
        <v>48</v>
      </c>
      <c r="CD49" s="93">
        <f t="shared" si="45"/>
        <v>49</v>
      </c>
      <c r="CE49" s="93">
        <f t="shared" si="45"/>
        <v>50</v>
      </c>
      <c r="CF49" s="93">
        <f t="shared" si="45"/>
        <v>51</v>
      </c>
      <c r="CG49" s="93">
        <f t="shared" si="45"/>
        <v>52</v>
      </c>
      <c r="CH49" s="93">
        <f t="shared" si="45"/>
        <v>53</v>
      </c>
      <c r="CI49" s="93">
        <f t="shared" si="45"/>
        <v>54</v>
      </c>
      <c r="CJ49" s="93">
        <f t="shared" si="45"/>
        <v>55</v>
      </c>
      <c r="CK49" s="93">
        <f t="shared" si="45"/>
        <v>56</v>
      </c>
      <c r="CL49" s="93">
        <f t="shared" si="45"/>
        <v>57</v>
      </c>
      <c r="CM49" s="93">
        <f t="shared" si="45"/>
        <v>58</v>
      </c>
      <c r="CN49" s="93">
        <f t="shared" si="45"/>
        <v>59</v>
      </c>
      <c r="CO49" s="93">
        <f t="shared" si="45"/>
        <v>60</v>
      </c>
      <c r="CP49" s="93">
        <f t="shared" si="45"/>
        <v>61</v>
      </c>
      <c r="CQ49" s="93">
        <f t="shared" si="45"/>
        <v>62</v>
      </c>
      <c r="CR49" s="93">
        <f t="shared" si="45"/>
        <v>63</v>
      </c>
      <c r="CS49" s="93">
        <f t="shared" si="45"/>
        <v>64</v>
      </c>
      <c r="CT49" s="93">
        <f t="shared" si="45"/>
        <v>65</v>
      </c>
      <c r="CU49" s="93">
        <f t="shared" si="45"/>
        <v>66</v>
      </c>
      <c r="CV49" s="93">
        <f t="shared" si="45"/>
        <v>67</v>
      </c>
      <c r="CW49" s="93">
        <f t="shared" si="45"/>
        <v>68</v>
      </c>
      <c r="CX49" s="93">
        <f t="shared" si="45"/>
        <v>69</v>
      </c>
      <c r="CY49" s="93">
        <f t="shared" si="45"/>
        <v>70</v>
      </c>
      <c r="CZ49" s="93">
        <f t="shared" ref="CZ49:DI49" si="46">CZ10</f>
        <v>71</v>
      </c>
      <c r="DA49" s="93">
        <f t="shared" si="46"/>
        <v>72</v>
      </c>
      <c r="DB49" s="93">
        <f t="shared" si="46"/>
        <v>73</v>
      </c>
      <c r="DC49" s="93">
        <f t="shared" si="46"/>
        <v>74</v>
      </c>
      <c r="DD49" s="93">
        <f t="shared" si="46"/>
        <v>75</v>
      </c>
      <c r="DE49" s="93">
        <f t="shared" si="46"/>
        <v>76</v>
      </c>
      <c r="DF49" s="93">
        <f t="shared" si="46"/>
        <v>77</v>
      </c>
      <c r="DG49" s="93">
        <f t="shared" si="46"/>
        <v>78</v>
      </c>
      <c r="DH49" s="93">
        <f t="shared" si="46"/>
        <v>79</v>
      </c>
      <c r="DI49" s="93">
        <f t="shared" si="46"/>
        <v>80</v>
      </c>
      <c r="DJ49"/>
      <c r="DK49"/>
      <c r="DL49"/>
      <c r="DM49"/>
      <c r="DN49"/>
      <c r="DO49"/>
      <c r="DP49"/>
      <c r="DQ49"/>
      <c r="DR49"/>
      <c r="DS49"/>
    </row>
    <row r="50" spans="2:123" ht="12.95" customHeight="1" x14ac:dyDescent="0.2">
      <c r="B50" s="21"/>
      <c r="C50" s="21"/>
      <c r="D50" s="21"/>
      <c r="E50" s="21"/>
      <c r="F50" s="21"/>
      <c r="G50" s="297" t="s">
        <v>484</v>
      </c>
      <c r="H50" s="146"/>
      <c r="I50" s="146"/>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c r="AG50" s="146"/>
      <c r="AH50" s="146">
        <f t="shared" ref="AH50:BM50" si="47">AH15</f>
        <v>2.5722016505436329</v>
      </c>
      <c r="AI50" s="146">
        <f t="shared" si="47"/>
        <v>5.1118194216959552</v>
      </c>
      <c r="AJ50" s="146">
        <f t="shared" si="47"/>
        <v>7.6130897487632083</v>
      </c>
      <c r="AK50" s="146">
        <f t="shared" si="47"/>
        <v>10.071018121756346</v>
      </c>
      <c r="AL50" s="146">
        <f t="shared" si="47"/>
        <v>12.481325001720705</v>
      </c>
      <c r="AM50" s="146">
        <f t="shared" si="47"/>
        <v>14.840391761078536</v>
      </c>
      <c r="AN50" s="146">
        <f t="shared" si="47"/>
        <v>17.145207482565837</v>
      </c>
      <c r="AO50" s="146">
        <f t="shared" si="47"/>
        <v>19.393317248977837</v>
      </c>
      <c r="AP50" s="146">
        <f t="shared" si="47"/>
        <v>21.582772390307461</v>
      </c>
      <c r="AQ50" s="146">
        <f t="shared" si="47"/>
        <v>23.712083020016088</v>
      </c>
      <c r="AR50" s="146">
        <f t="shared" si="47"/>
        <v>25.780173083072235</v>
      </c>
      <c r="AS50" s="146">
        <f t="shared" si="47"/>
        <v>27.786338050764591</v>
      </c>
      <c r="AT50" s="146">
        <f t="shared" si="47"/>
        <v>29.730205327533263</v>
      </c>
      <c r="AU50" s="146">
        <f t="shared" si="47"/>
        <v>31.611697380126508</v>
      </c>
      <c r="AV50" s="146">
        <f t="shared" si="47"/>
        <v>33.430997556708583</v>
      </c>
      <c r="AW50" s="146">
        <f t="shared" si="47"/>
        <v>35.188518530962604</v>
      </c>
      <c r="AX50" s="146">
        <f t="shared" si="47"/>
        <v>36.884873281932123</v>
      </c>
      <c r="AY50" s="146">
        <f t="shared" si="47"/>
        <v>38.520848502806196</v>
      </c>
      <c r="AZ50" s="146">
        <f t="shared" si="47"/>
        <v>40.097380319798894</v>
      </c>
      <c r="BA50" s="146">
        <f t="shared" si="47"/>
        <v>41.615532194643201</v>
      </c>
      <c r="BB50" s="146">
        <f t="shared" si="47"/>
        <v>43.076474880121829</v>
      </c>
      <c r="BC50" s="146">
        <f t="shared" si="47"/>
        <v>44.481468296759083</v>
      </c>
      <c r="BD50" s="146">
        <f t="shared" si="47"/>
        <v>45.831845199684714</v>
      </c>
      <c r="BE50" s="146">
        <f t="shared" si="47"/>
        <v>47.128996507254378</v>
      </c>
      <c r="BF50" s="146">
        <f t="shared" si="47"/>
        <v>48.374358166850179</v>
      </c>
      <c r="BG50" s="146">
        <f t="shared" si="47"/>
        <v>49.569399438057836</v>
      </c>
      <c r="BH50" s="146">
        <f t="shared" si="47"/>
        <v>50.715612478841713</v>
      </c>
      <c r="BI50" s="146">
        <f t="shared" si="47"/>
        <v>51.814503126196477</v>
      </c>
      <c r="BJ50" s="146">
        <f t="shared" si="47"/>
        <v>52.867582768863933</v>
      </c>
      <c r="BK50" s="146">
        <f t="shared" si="47"/>
        <v>53.876361215921442</v>
      </c>
      <c r="BL50" s="146">
        <f t="shared" si="47"/>
        <v>54.842340471266702</v>
      </c>
      <c r="BM50" s="146">
        <f t="shared" si="47"/>
        <v>55.767009330149982</v>
      </c>
      <c r="BN50" s="146">
        <f t="shared" ref="BN50:CS50" si="48">BN15</f>
        <v>56.651838719876729</v>
      </c>
      <c r="BO50" s="146">
        <f t="shared" si="48"/>
        <v>57.498277712571515</v>
      </c>
      <c r="BP50" s="146">
        <f t="shared" si="48"/>
        <v>58.307750143419092</v>
      </c>
      <c r="BQ50" s="146">
        <f t="shared" si="48"/>
        <v>59.081651773062681</v>
      </c>
      <c r="BR50" s="146">
        <f t="shared" si="48"/>
        <v>59.821347937820583</v>
      </c>
      <c r="BS50" s="146">
        <f t="shared" si="48"/>
        <v>60.52817163607768</v>
      </c>
      <c r="BT50" s="146">
        <f t="shared" si="48"/>
        <v>61.203422003615735</v>
      </c>
      <c r="BU50" s="146">
        <f t="shared" si="48"/>
        <v>61.848363134762344</v>
      </c>
      <c r="BV50" s="146">
        <f t="shared" si="48"/>
        <v>62.464223210078124</v>
      </c>
      <c r="BW50" s="146">
        <f t="shared" si="48"/>
        <v>63.052193894865034</v>
      </c>
      <c r="BX50" s="146">
        <f t="shared" si="48"/>
        <v>63.613429976080518</v>
      </c>
      <c r="BY50" s="146">
        <f t="shared" si="48"/>
        <v>64.149049208293803</v>
      </c>
      <c r="BZ50" s="146">
        <f t="shared" si="48"/>
        <v>64.660132342133409</v>
      </c>
      <c r="CA50" s="146">
        <f t="shared" si="48"/>
        <v>65.1477233112617</v>
      </c>
      <c r="CB50" s="146">
        <f t="shared" si="48"/>
        <v>65.612829556289029</v>
      </c>
      <c r="CC50" s="146">
        <f t="shared" si="48"/>
        <v>66.056422466215508</v>
      </c>
      <c r="CD50" s="146">
        <f t="shared" si="48"/>
        <v>66.479437919981393</v>
      </c>
      <c r="CE50" s="146">
        <f t="shared" si="48"/>
        <v>66.882776912523809</v>
      </c>
      <c r="CF50" s="146">
        <f t="shared" si="48"/>
        <v>67.267306251396121</v>
      </c>
      <c r="CG50" s="146">
        <f t="shared" si="48"/>
        <v>67.633859311515522</v>
      </c>
      <c r="CH50" s="146">
        <f t="shared" si="48"/>
        <v>67.983236836975379</v>
      </c>
      <c r="CI50" s="146">
        <f t="shared" si="48"/>
        <v>68.31620778010398</v>
      </c>
      <c r="CJ50" s="146">
        <f t="shared" si="48"/>
        <v>68.633510169079727</v>
      </c>
      <c r="CK50" s="146">
        <f t="shared" si="48"/>
        <v>68.935851996432177</v>
      </c>
      <c r="CL50" s="146">
        <f t="shared" si="48"/>
        <v>69.223912121682673</v>
      </c>
      <c r="CM50" s="146">
        <f t="shared" si="48"/>
        <v>69.498341182208435</v>
      </c>
      <c r="CN50" s="146">
        <f t="shared" si="48"/>
        <v>69.759762507165135</v>
      </c>
      <c r="CO50" s="146">
        <f t="shared" si="48"/>
        <v>70.00877302997668</v>
      </c>
      <c r="CP50" s="146">
        <f t="shared" si="48"/>
        <v>70.245944195507406</v>
      </c>
      <c r="CQ50" s="146">
        <f t="shared" si="48"/>
        <v>70.47182285857366</v>
      </c>
      <c r="CR50" s="146">
        <f t="shared" si="48"/>
        <v>70.686932170940281</v>
      </c>
      <c r="CS50" s="146">
        <f t="shared" si="48"/>
        <v>70.891772454379947</v>
      </c>
      <c r="CT50" s="146">
        <f t="shared" ref="CT50:DI50" si="49">CT15</f>
        <v>71.086822057762902</v>
      </c>
      <c r="CU50" s="146">
        <f t="shared" si="49"/>
        <v>71.272538196488398</v>
      </c>
      <c r="CV50" s="146">
        <f t="shared" si="49"/>
        <v>71.449357772876965</v>
      </c>
      <c r="CW50" s="146">
        <f t="shared" si="49"/>
        <v>71.617698176414194</v>
      </c>
      <c r="CX50" s="146">
        <f t="shared" si="49"/>
        <v>71.777958062976836</v>
      </c>
      <c r="CY50" s="146">
        <f t="shared" si="49"/>
        <v>71.930518112385414</v>
      </c>
      <c r="CZ50" s="146">
        <f t="shared" si="49"/>
        <v>72.07574176381226</v>
      </c>
      <c r="DA50" s="146">
        <f t="shared" si="49"/>
        <v>72.213975928739387</v>
      </c>
      <c r="DB50" s="146">
        <f t="shared" si="49"/>
        <v>72.345551681302851</v>
      </c>
      <c r="DC50" s="146">
        <f t="shared" si="49"/>
        <v>72.470784925983338</v>
      </c>
      <c r="DD50" s="146">
        <f t="shared" si="49"/>
        <v>72.589977042713372</v>
      </c>
      <c r="DE50" s="146">
        <f t="shared" si="49"/>
        <v>72.70341550956141</v>
      </c>
      <c r="DF50" s="146">
        <f t="shared" si="49"/>
        <v>72.811374503234504</v>
      </c>
      <c r="DG50" s="146">
        <f t="shared" si="49"/>
        <v>72.914115477708094</v>
      </c>
      <c r="DH50" s="146">
        <f t="shared" si="49"/>
        <v>73.011887721349098</v>
      </c>
      <c r="DI50" s="146">
        <f t="shared" si="49"/>
        <v>73.104928892945281</v>
      </c>
      <c r="DJ50"/>
      <c r="DK50"/>
      <c r="DL50"/>
      <c r="DM50"/>
      <c r="DN50"/>
      <c r="DO50"/>
      <c r="DP50"/>
      <c r="DQ50"/>
      <c r="DR50"/>
      <c r="DS50"/>
    </row>
    <row r="51" spans="2:123" ht="12.95" customHeight="1" x14ac:dyDescent="0.2">
      <c r="B51" s="152"/>
      <c r="C51" s="152"/>
      <c r="D51" s="152"/>
      <c r="E51" s="152"/>
      <c r="F51" s="152"/>
      <c r="G51" s="298" t="s">
        <v>1006</v>
      </c>
      <c r="H51" s="146"/>
      <c r="I51" s="146"/>
      <c r="J51" s="146"/>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f t="shared" ref="AH51:BM51" si="50">AH21</f>
        <v>1.3801503036642727E-2</v>
      </c>
      <c r="AI51" s="146">
        <f t="shared" si="50"/>
        <v>0.10250810373022921</v>
      </c>
      <c r="AJ51" s="146">
        <f t="shared" si="50"/>
        <v>0.32140060564134304</v>
      </c>
      <c r="AK51" s="146">
        <f t="shared" si="50"/>
        <v>0.70819088008020181</v>
      </c>
      <c r="AL51" s="146">
        <f t="shared" si="50"/>
        <v>1.2865903014343147</v>
      </c>
      <c r="AM51" s="146">
        <f t="shared" si="50"/>
        <v>2.0692648651289542</v>
      </c>
      <c r="AN51" s="146">
        <f t="shared" si="50"/>
        <v>3.0602740346849182</v>
      </c>
      <c r="AO51" s="146">
        <f t="shared" si="50"/>
        <v>4.2570757029793187</v>
      </c>
      <c r="AP51" s="146">
        <f t="shared" si="50"/>
        <v>5.6521671458405169</v>
      </c>
      <c r="AQ51" s="146">
        <f t="shared" si="50"/>
        <v>7.2344211823897746</v>
      </c>
      <c r="AR51" s="146">
        <f t="shared" si="50"/>
        <v>8.9901676693851371</v>
      </c>
      <c r="AS51" s="146">
        <f t="shared" si="50"/>
        <v>10.904062717666822</v>
      </c>
      <c r="AT51" s="146">
        <f t="shared" si="50"/>
        <v>12.959781431811036</v>
      </c>
      <c r="AU51" s="146">
        <f t="shared" si="50"/>
        <v>15.140564371508987</v>
      </c>
      <c r="AV51" s="146">
        <f t="shared" si="50"/>
        <v>17.4296431713258</v>
      </c>
      <c r="AW51" s="146">
        <f t="shared" si="50"/>
        <v>19.810566711342741</v>
      </c>
      <c r="AX51" s="146">
        <f t="shared" si="50"/>
        <v>22.267445799447479</v>
      </c>
      <c r="AY51" s="146">
        <f t="shared" si="50"/>
        <v>24.785131416603353</v>
      </c>
      <c r="AZ51" s="146">
        <f t="shared" si="50"/>
        <v>27.349339112214277</v>
      </c>
      <c r="BA51" s="146">
        <f t="shared" si="50"/>
        <v>29.946730051786854</v>
      </c>
      <c r="BB51" s="146">
        <f t="shared" si="50"/>
        <v>32.564957457117195</v>
      </c>
      <c r="BC51" s="146">
        <f t="shared" si="50"/>
        <v>35.192685692036868</v>
      </c>
      <c r="BD51" s="146">
        <f t="shared" si="50"/>
        <v>37.819587993197999</v>
      </c>
      <c r="BE51" s="146">
        <f t="shared" si="50"/>
        <v>40.436327790332221</v>
      </c>
      <c r="BF51" s="146">
        <f t="shared" si="50"/>
        <v>43.034527673896086</v>
      </c>
      <c r="BG51" s="146">
        <f t="shared" si="50"/>
        <v>45.606729324439719</v>
      </c>
      <c r="BH51" s="146">
        <f t="shared" si="50"/>
        <v>48.146347095592041</v>
      </c>
      <c r="BI51" s="146">
        <f t="shared" si="50"/>
        <v>50.647617422659295</v>
      </c>
      <c r="BJ51" s="146">
        <f t="shared" si="50"/>
        <v>53.105545795652432</v>
      </c>
      <c r="BK51" s="146">
        <f t="shared" si="50"/>
        <v>55.515852675616792</v>
      </c>
      <c r="BL51" s="146">
        <f t="shared" si="50"/>
        <v>57.874919434974622</v>
      </c>
      <c r="BM51" s="146">
        <f t="shared" si="50"/>
        <v>60.179735156461923</v>
      </c>
      <c r="BN51" s="146">
        <f t="shared" ref="BN51:CS51" si="51">BN21</f>
        <v>62.427844922873923</v>
      </c>
      <c r="BO51" s="146">
        <f t="shared" si="51"/>
        <v>64.617300064203548</v>
      </c>
      <c r="BP51" s="146">
        <f t="shared" si="51"/>
        <v>66.746610693912174</v>
      </c>
      <c r="BQ51" s="146">
        <f t="shared" si="51"/>
        <v>68.814700756968321</v>
      </c>
      <c r="BR51" s="146">
        <f t="shared" si="51"/>
        <v>70.820865724660678</v>
      </c>
      <c r="BS51" s="146">
        <f t="shared" si="51"/>
        <v>72.764733001429349</v>
      </c>
      <c r="BT51" s="146">
        <f t="shared" si="51"/>
        <v>74.646225054022594</v>
      </c>
      <c r="BU51" s="146">
        <f t="shared" si="51"/>
        <v>76.465525230604669</v>
      </c>
      <c r="BV51" s="146">
        <f t="shared" si="51"/>
        <v>78.22304620485869</v>
      </c>
      <c r="BW51" s="146">
        <f t="shared" si="51"/>
        <v>79.919400955828209</v>
      </c>
      <c r="BX51" s="146">
        <f t="shared" si="51"/>
        <v>81.555376176702282</v>
      </c>
      <c r="BY51" s="146">
        <f t="shared" si="51"/>
        <v>83.131907993694981</v>
      </c>
      <c r="BZ51" s="146">
        <f t="shared" si="51"/>
        <v>84.650059868539287</v>
      </c>
      <c r="CA51" s="146">
        <f t="shared" si="51"/>
        <v>86.111002554017915</v>
      </c>
      <c r="CB51" s="146">
        <f t="shared" si="51"/>
        <v>87.515995970655169</v>
      </c>
      <c r="CC51" s="146">
        <f t="shared" si="51"/>
        <v>88.866372873580801</v>
      </c>
      <c r="CD51" s="146">
        <f t="shared" si="51"/>
        <v>90.163524181150464</v>
      </c>
      <c r="CE51" s="146">
        <f t="shared" si="51"/>
        <v>91.408885840746265</v>
      </c>
      <c r="CF51" s="146">
        <f t="shared" si="51"/>
        <v>92.603927111953922</v>
      </c>
      <c r="CG51" s="146">
        <f t="shared" si="51"/>
        <v>93.750140152737799</v>
      </c>
      <c r="CH51" s="146">
        <f t="shared" si="51"/>
        <v>94.849030800092564</v>
      </c>
      <c r="CI51" s="146">
        <f t="shared" si="51"/>
        <v>95.902110442760019</v>
      </c>
      <c r="CJ51" s="146">
        <f t="shared" si="51"/>
        <v>96.910888889817528</v>
      </c>
      <c r="CK51" s="146">
        <f t="shared" si="51"/>
        <v>97.876868145162788</v>
      </c>
      <c r="CL51" s="146">
        <f t="shared" si="51"/>
        <v>98.801537004046068</v>
      </c>
      <c r="CM51" s="146">
        <f t="shared" si="51"/>
        <v>99.686366393772815</v>
      </c>
      <c r="CN51" s="146">
        <f t="shared" si="51"/>
        <v>100.5328053864676</v>
      </c>
      <c r="CO51" s="146">
        <f t="shared" si="51"/>
        <v>101.34227781731518</v>
      </c>
      <c r="CP51" s="146">
        <f t="shared" si="51"/>
        <v>102.11617944695877</v>
      </c>
      <c r="CQ51" s="146">
        <f t="shared" si="51"/>
        <v>102.85587561171667</v>
      </c>
      <c r="CR51" s="146">
        <f t="shared" si="51"/>
        <v>103.56269930997377</v>
      </c>
      <c r="CS51" s="146">
        <f t="shared" si="51"/>
        <v>104.23794967751182</v>
      </c>
      <c r="CT51" s="146">
        <f t="shared" ref="CT51:DI51" si="52">CT21</f>
        <v>104.88289080865843</v>
      </c>
      <c r="CU51" s="146">
        <f t="shared" si="52"/>
        <v>105.49875088397421</v>
      </c>
      <c r="CV51" s="146">
        <f t="shared" si="52"/>
        <v>106.08672156876112</v>
      </c>
      <c r="CW51" s="146">
        <f t="shared" si="52"/>
        <v>106.6479576499766</v>
      </c>
      <c r="CX51" s="146">
        <f t="shared" si="52"/>
        <v>107.18357688218988</v>
      </c>
      <c r="CY51" s="146">
        <f t="shared" si="52"/>
        <v>107.69466001602949</v>
      </c>
      <c r="CZ51" s="146">
        <f t="shared" si="52"/>
        <v>108.18225098515779</v>
      </c>
      <c r="DA51" s="146">
        <f t="shared" si="52"/>
        <v>108.64735723018511</v>
      </c>
      <c r="DB51" s="146">
        <f t="shared" si="52"/>
        <v>109.0909501401116</v>
      </c>
      <c r="DC51" s="146">
        <f t="shared" si="52"/>
        <v>109.51396559387747</v>
      </c>
      <c r="DD51" s="146">
        <f t="shared" si="52"/>
        <v>109.91730458641989</v>
      </c>
      <c r="DE51" s="146">
        <f t="shared" si="52"/>
        <v>110.3018339252922</v>
      </c>
      <c r="DF51" s="146">
        <f t="shared" si="52"/>
        <v>110.6683869854116</v>
      </c>
      <c r="DG51" s="146">
        <f t="shared" si="52"/>
        <v>111.01776451087146</v>
      </c>
      <c r="DH51" s="146">
        <f t="shared" si="52"/>
        <v>111.35073545400006</v>
      </c>
      <c r="DI51" s="146">
        <f t="shared" si="52"/>
        <v>111.66803784297581</v>
      </c>
      <c r="DJ51"/>
      <c r="DK51"/>
      <c r="DL51"/>
      <c r="DM51"/>
      <c r="DN51"/>
      <c r="DO51"/>
      <c r="DP51"/>
      <c r="DQ51"/>
      <c r="DR51"/>
      <c r="DS51"/>
    </row>
    <row r="52" spans="2:123" ht="12.95" customHeight="1" x14ac:dyDescent="0.2">
      <c r="B52" s="21"/>
      <c r="C52" s="21"/>
      <c r="D52" s="21"/>
      <c r="E52" s="21"/>
      <c r="F52" s="21"/>
      <c r="G52" s="297" t="s">
        <v>1159</v>
      </c>
      <c r="H52" s="146"/>
      <c r="I52" s="146"/>
      <c r="J52" s="146"/>
      <c r="K52" s="146"/>
      <c r="L52" s="146"/>
      <c r="M52" s="146"/>
      <c r="N52" s="146"/>
      <c r="O52" s="146"/>
      <c r="P52" s="146"/>
      <c r="Q52" s="146"/>
      <c r="R52" s="146"/>
      <c r="S52" s="146"/>
      <c r="T52" s="146"/>
      <c r="U52" s="146"/>
      <c r="V52" s="146"/>
      <c r="W52" s="146"/>
      <c r="X52" s="146"/>
      <c r="Y52" s="146"/>
      <c r="Z52" s="146"/>
      <c r="AA52" s="146"/>
      <c r="AB52" s="146"/>
      <c r="AC52" s="146"/>
      <c r="AD52" s="146"/>
      <c r="AE52" s="146"/>
      <c r="AF52" s="146"/>
      <c r="AG52" s="146"/>
      <c r="AH52" s="146">
        <f t="shared" ref="AH52:BM52" si="53">AH51-AH50</f>
        <v>-2.5584001475069904</v>
      </c>
      <c r="AI52" s="146">
        <f t="shared" si="53"/>
        <v>-5.009311317965726</v>
      </c>
      <c r="AJ52" s="146">
        <f t="shared" si="53"/>
        <v>-7.2916891431218653</v>
      </c>
      <c r="AK52" s="146">
        <f t="shared" si="53"/>
        <v>-9.3628272416761433</v>
      </c>
      <c r="AL52" s="146">
        <f t="shared" si="53"/>
        <v>-11.194734700286391</v>
      </c>
      <c r="AM52" s="146">
        <f t="shared" si="53"/>
        <v>-12.771126895949582</v>
      </c>
      <c r="AN52" s="146">
        <f t="shared" si="53"/>
        <v>-14.084933447880919</v>
      </c>
      <c r="AO52" s="146">
        <f t="shared" si="53"/>
        <v>-15.136241545998519</v>
      </c>
      <c r="AP52" s="146">
        <f t="shared" si="53"/>
        <v>-15.930605244466944</v>
      </c>
      <c r="AQ52" s="146">
        <f t="shared" si="53"/>
        <v>-16.477661837626314</v>
      </c>
      <c r="AR52" s="146">
        <f t="shared" si="53"/>
        <v>-16.790005413687098</v>
      </c>
      <c r="AS52" s="146">
        <f t="shared" si="53"/>
        <v>-16.88227533309777</v>
      </c>
      <c r="AT52" s="146">
        <f t="shared" si="53"/>
        <v>-16.770423895722224</v>
      </c>
      <c r="AU52" s="146">
        <f t="shared" si="53"/>
        <v>-16.471133008617521</v>
      </c>
      <c r="AV52" s="146">
        <f t="shared" si="53"/>
        <v>-16.001354385382783</v>
      </c>
      <c r="AW52" s="146">
        <f t="shared" si="53"/>
        <v>-15.377951819619863</v>
      </c>
      <c r="AX52" s="146">
        <f t="shared" si="53"/>
        <v>-14.617427482484644</v>
      </c>
      <c r="AY52" s="146">
        <f t="shared" si="53"/>
        <v>-13.735717086202843</v>
      </c>
      <c r="AZ52" s="146">
        <f t="shared" si="53"/>
        <v>-12.748041207584617</v>
      </c>
      <c r="BA52" s="146">
        <f t="shared" si="53"/>
        <v>-11.668802142856347</v>
      </c>
      <c r="BB52" s="146">
        <f t="shared" si="53"/>
        <v>-10.511517423004634</v>
      </c>
      <c r="BC52" s="146">
        <f t="shared" si="53"/>
        <v>-9.2887826047222148</v>
      </c>
      <c r="BD52" s="146">
        <f t="shared" si="53"/>
        <v>-8.0122572064867157</v>
      </c>
      <c r="BE52" s="146">
        <f t="shared" si="53"/>
        <v>-6.6926687169221566</v>
      </c>
      <c r="BF52" s="146">
        <f t="shared" si="53"/>
        <v>-5.3398304929540927</v>
      </c>
      <c r="BG52" s="146">
        <f t="shared" si="53"/>
        <v>-3.9626701136181168</v>
      </c>
      <c r="BH52" s="146">
        <f t="shared" si="53"/>
        <v>-2.5692653832496717</v>
      </c>
      <c r="BI52" s="146">
        <f t="shared" si="53"/>
        <v>-1.1668857035371829</v>
      </c>
      <c r="BJ52" s="146">
        <f t="shared" si="53"/>
        <v>0.23796302678849912</v>
      </c>
      <c r="BK52" s="146">
        <f t="shared" si="53"/>
        <v>1.6394914596953498</v>
      </c>
      <c r="BL52" s="146">
        <f t="shared" si="53"/>
        <v>3.0325789637079197</v>
      </c>
      <c r="BM52" s="146">
        <f t="shared" si="53"/>
        <v>4.4127258263119415</v>
      </c>
      <c r="BN52" s="146">
        <f t="shared" ref="BN52:CS52" si="54">BN51-BN50</f>
        <v>5.7760062029971948</v>
      </c>
      <c r="BO52" s="146">
        <f t="shared" si="54"/>
        <v>7.119022351632033</v>
      </c>
      <c r="BP52" s="146">
        <f t="shared" si="54"/>
        <v>8.4388605504930823</v>
      </c>
      <c r="BQ52" s="146">
        <f t="shared" si="54"/>
        <v>9.7330489839056398</v>
      </c>
      <c r="BR52" s="146">
        <f t="shared" si="54"/>
        <v>10.999517786840094</v>
      </c>
      <c r="BS52" s="146">
        <f t="shared" si="54"/>
        <v>12.236561365351669</v>
      </c>
      <c r="BT52" s="146">
        <f t="shared" si="54"/>
        <v>13.442803050406859</v>
      </c>
      <c r="BU52" s="146">
        <f t="shared" si="54"/>
        <v>14.617162095842325</v>
      </c>
      <c r="BV52" s="146">
        <f t="shared" si="54"/>
        <v>15.758822994780566</v>
      </c>
      <c r="BW52" s="146">
        <f t="shared" si="54"/>
        <v>16.867207060963175</v>
      </c>
      <c r="BX52" s="146">
        <f t="shared" si="54"/>
        <v>17.941946200621764</v>
      </c>
      <c r="BY52" s="146">
        <f t="shared" si="54"/>
        <v>18.982858785401177</v>
      </c>
      <c r="BZ52" s="146">
        <f t="shared" si="54"/>
        <v>19.989927526405879</v>
      </c>
      <c r="CA52" s="146">
        <f t="shared" si="54"/>
        <v>20.963279242756215</v>
      </c>
      <c r="CB52" s="146">
        <f t="shared" si="54"/>
        <v>21.90316641436614</v>
      </c>
      <c r="CC52" s="146">
        <f t="shared" si="54"/>
        <v>22.809950407365292</v>
      </c>
      <c r="CD52" s="146">
        <f t="shared" si="54"/>
        <v>23.684086261169071</v>
      </c>
      <c r="CE52" s="146">
        <f t="shared" si="54"/>
        <v>24.526108928222456</v>
      </c>
      <c r="CF52" s="146">
        <f t="shared" si="54"/>
        <v>25.336620860557801</v>
      </c>
      <c r="CG52" s="146">
        <f t="shared" si="54"/>
        <v>26.116280841222277</v>
      </c>
      <c r="CH52" s="146">
        <f t="shared" si="54"/>
        <v>26.865793963117184</v>
      </c>
      <c r="CI52" s="146">
        <f t="shared" si="54"/>
        <v>27.585902662656039</v>
      </c>
      <c r="CJ52" s="146">
        <f t="shared" si="54"/>
        <v>28.277378720737801</v>
      </c>
      <c r="CK52" s="146">
        <f t="shared" si="54"/>
        <v>28.941016148730611</v>
      </c>
      <c r="CL52" s="146">
        <f t="shared" si="54"/>
        <v>29.577624882363395</v>
      </c>
      <c r="CM52" s="146">
        <f t="shared" si="54"/>
        <v>30.18802521156438</v>
      </c>
      <c r="CN52" s="146">
        <f t="shared" si="54"/>
        <v>30.773042879302466</v>
      </c>
      <c r="CO52" s="146">
        <f t="shared" si="54"/>
        <v>31.333504787338498</v>
      </c>
      <c r="CP52" s="146">
        <f t="shared" si="54"/>
        <v>31.870235251451362</v>
      </c>
      <c r="CQ52" s="146">
        <f t="shared" si="54"/>
        <v>32.38405275314301</v>
      </c>
      <c r="CR52" s="146">
        <f t="shared" si="54"/>
        <v>32.875767139033485</v>
      </c>
      <c r="CS52" s="146">
        <f t="shared" si="54"/>
        <v>33.346177223131875</v>
      </c>
      <c r="CT52" s="146">
        <f t="shared" ref="CT52:DI52" si="55">CT51-CT50</f>
        <v>33.796068750895529</v>
      </c>
      <c r="CU52" s="146">
        <f t="shared" si="55"/>
        <v>34.226212687485813</v>
      </c>
      <c r="CV52" s="146">
        <f t="shared" si="55"/>
        <v>34.637363795884156</v>
      </c>
      <c r="CW52" s="146">
        <f t="shared" si="55"/>
        <v>35.03025947356241</v>
      </c>
      <c r="CX52" s="146">
        <f t="shared" si="55"/>
        <v>35.405618819213046</v>
      </c>
      <c r="CY52" s="146">
        <f t="shared" si="55"/>
        <v>35.764141903644074</v>
      </c>
      <c r="CZ52" s="146">
        <f t="shared" si="55"/>
        <v>36.106509221345533</v>
      </c>
      <c r="DA52" s="146">
        <f t="shared" si="55"/>
        <v>36.433381301445721</v>
      </c>
      <c r="DB52" s="146">
        <f t="shared" si="55"/>
        <v>36.745398458808751</v>
      </c>
      <c r="DC52" s="146">
        <f t="shared" si="55"/>
        <v>37.043180667894134</v>
      </c>
      <c r="DD52" s="146">
        <f t="shared" si="55"/>
        <v>37.327327543706517</v>
      </c>
      <c r="DE52" s="146">
        <f t="shared" si="55"/>
        <v>37.598418415730791</v>
      </c>
      <c r="DF52" s="146">
        <f t="shared" si="55"/>
        <v>37.857012482177097</v>
      </c>
      <c r="DG52" s="146">
        <f t="shared" si="55"/>
        <v>38.103649033163364</v>
      </c>
      <c r="DH52" s="146">
        <f t="shared" si="55"/>
        <v>38.338847732650962</v>
      </c>
      <c r="DI52" s="146">
        <f t="shared" si="55"/>
        <v>38.563108950030525</v>
      </c>
      <c r="DJ52"/>
      <c r="DK52"/>
      <c r="DL52"/>
      <c r="DM52"/>
      <c r="DN52"/>
      <c r="DO52"/>
      <c r="DP52"/>
      <c r="DQ52"/>
      <c r="DR52"/>
      <c r="DS52"/>
    </row>
    <row r="53" spans="2:123" s="253" customFormat="1" ht="12.95" customHeight="1" x14ac:dyDescent="0.2"/>
    <row r="54" spans="2:123" customFormat="1" ht="12.95" customHeight="1" x14ac:dyDescent="0.2">
      <c r="H54" s="54"/>
    </row>
    <row r="55" spans="2:123" customFormat="1" ht="12.95" customHeight="1" x14ac:dyDescent="0.2">
      <c r="H55" s="54"/>
    </row>
    <row r="56" spans="2:123" customFormat="1" ht="12.95" customHeight="1" x14ac:dyDescent="0.2">
      <c r="H56" s="54"/>
    </row>
    <row r="57" spans="2:123" customFormat="1" ht="12.95" customHeight="1" x14ac:dyDescent="0.2">
      <c r="H57" s="54"/>
    </row>
    <row r="58" spans="2:123" customFormat="1" ht="12.95" customHeight="1" x14ac:dyDescent="0.2">
      <c r="H58" s="54"/>
    </row>
    <row r="59" spans="2:123" customFormat="1" ht="12.95" customHeight="1" x14ac:dyDescent="0.2">
      <c r="H59" s="54"/>
    </row>
    <row r="60" spans="2:123" customFormat="1" ht="12.95" customHeight="1" x14ac:dyDescent="0.2">
      <c r="H60" s="54"/>
    </row>
    <row r="61" spans="2:123" customFormat="1" ht="12.95" customHeight="1" x14ac:dyDescent="0.2">
      <c r="H61" s="54"/>
    </row>
    <row r="62" spans="2:123" customFormat="1" ht="12.95" customHeight="1" x14ac:dyDescent="0.2">
      <c r="H62" s="54"/>
    </row>
    <row r="63" spans="2:123" customFormat="1" ht="12.95" customHeight="1" x14ac:dyDescent="0.2">
      <c r="H63" s="54"/>
    </row>
    <row r="64" spans="2:123" customFormat="1" ht="12.95" customHeight="1" x14ac:dyDescent="0.2">
      <c r="H64" s="54"/>
    </row>
    <row r="65" spans="2:113" customFormat="1" ht="12.95" customHeight="1" x14ac:dyDescent="0.2">
      <c r="H65" s="54"/>
    </row>
    <row r="66" spans="2:113" customFormat="1" ht="12.95" customHeight="1" x14ac:dyDescent="0.2">
      <c r="H66" s="54"/>
    </row>
    <row r="67" spans="2:113" customFormat="1" ht="12.95" customHeight="1" x14ac:dyDescent="0.2">
      <c r="H67" s="54"/>
    </row>
    <row r="68" spans="2:113" customFormat="1" ht="12.95" customHeight="1" x14ac:dyDescent="0.2">
      <c r="H68" s="54"/>
    </row>
    <row r="69" spans="2:113" customFormat="1" ht="12.95" customHeight="1" x14ac:dyDescent="0.2">
      <c r="H69" s="54"/>
    </row>
    <row r="70" spans="2:113" s="253" customFormat="1" ht="12.95" customHeight="1" x14ac:dyDescent="0.25">
      <c r="B70" s="105" t="s">
        <v>1175</v>
      </c>
      <c r="C70" s="106"/>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row>
    <row r="71" spans="2:113" s="253" customFormat="1" ht="12.95" customHeight="1" x14ac:dyDescent="0.2">
      <c r="G71" s="159" t="s">
        <v>497</v>
      </c>
      <c r="H71" s="93">
        <f>H32</f>
        <v>0</v>
      </c>
      <c r="I71" s="93">
        <v>1</v>
      </c>
      <c r="J71" s="93">
        <v>2</v>
      </c>
      <c r="K71" s="93">
        <v>3</v>
      </c>
      <c r="L71" s="93">
        <v>4</v>
      </c>
      <c r="M71" s="93">
        <v>5</v>
      </c>
      <c r="N71" s="93">
        <v>6</v>
      </c>
      <c r="O71" s="93">
        <v>7</v>
      </c>
      <c r="P71" s="93">
        <v>8</v>
      </c>
      <c r="Q71" s="93">
        <v>9</v>
      </c>
      <c r="R71" s="93">
        <v>10</v>
      </c>
      <c r="S71" s="93">
        <v>11</v>
      </c>
      <c r="T71" s="93">
        <v>12</v>
      </c>
      <c r="U71" s="93">
        <v>13</v>
      </c>
      <c r="V71" s="93">
        <v>14</v>
      </c>
      <c r="W71" s="93">
        <v>15</v>
      </c>
      <c r="X71" s="93">
        <v>16</v>
      </c>
      <c r="Y71" s="93">
        <v>17</v>
      </c>
      <c r="Z71" s="93">
        <v>18</v>
      </c>
      <c r="AA71" s="93">
        <v>19</v>
      </c>
      <c r="AB71" s="93">
        <v>20</v>
      </c>
      <c r="AC71" s="93">
        <v>21</v>
      </c>
      <c r="AD71" s="93">
        <v>22</v>
      </c>
      <c r="AE71" s="93">
        <v>23</v>
      </c>
      <c r="AF71" s="93">
        <v>24</v>
      </c>
      <c r="AG71" s="93">
        <v>25</v>
      </c>
      <c r="AH71" s="93">
        <v>26</v>
      </c>
      <c r="AI71" s="93">
        <v>27</v>
      </c>
      <c r="AJ71" s="93">
        <v>28</v>
      </c>
      <c r="AK71" s="93">
        <v>29</v>
      </c>
      <c r="AL71" s="93">
        <v>30</v>
      </c>
      <c r="AM71" s="93">
        <v>31</v>
      </c>
      <c r="AN71" s="93">
        <v>32</v>
      </c>
      <c r="AO71" s="93">
        <v>33</v>
      </c>
      <c r="AP71" s="93">
        <v>34</v>
      </c>
      <c r="AQ71" s="93">
        <v>35</v>
      </c>
      <c r="AR71" s="93">
        <v>36</v>
      </c>
      <c r="AS71" s="93">
        <v>37</v>
      </c>
      <c r="AT71" s="93">
        <v>38</v>
      </c>
      <c r="AU71" s="93">
        <v>39</v>
      </c>
      <c r="AV71" s="93">
        <v>40</v>
      </c>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row>
    <row r="72" spans="2:113" s="253" customFormat="1" ht="12.95" customHeight="1" x14ac:dyDescent="0.2">
      <c r="C72" s="21"/>
      <c r="D72" s="21"/>
      <c r="E72" s="21"/>
      <c r="F72" s="21"/>
      <c r="G72" s="297" t="s">
        <v>484</v>
      </c>
      <c r="H72" s="146"/>
      <c r="I72" s="146">
        <f t="shared" ref="I72:R74" si="56">-AH50*c_CO2.C</f>
        <v>-9.4247816429186848</v>
      </c>
      <c r="J72" s="146">
        <f t="shared" si="56"/>
        <v>-18.730172977430797</v>
      </c>
      <c r="K72" s="146">
        <f t="shared" si="56"/>
        <v>-27.895055776389551</v>
      </c>
      <c r="L72" s="146">
        <f t="shared" si="56"/>
        <v>-36.901129699286969</v>
      </c>
      <c r="M72" s="146">
        <f t="shared" si="56"/>
        <v>-45.732714124748938</v>
      </c>
      <c r="N72" s="146">
        <f t="shared" si="56"/>
        <v>-54.376550071015544</v>
      </c>
      <c r="O72" s="146">
        <f t="shared" si="56"/>
        <v>-62.821605262389397</v>
      </c>
      <c r="P72" s="146">
        <f t="shared" si="56"/>
        <v>-71.05888465814283</v>
      </c>
      <c r="Q72" s="146">
        <f t="shared" si="56"/>
        <v>-79.0812481534917</v>
      </c>
      <c r="R72" s="146">
        <f t="shared" si="56"/>
        <v>-86.883236668158929</v>
      </c>
      <c r="S72" s="146">
        <f t="shared" ref="S72:AB74" si="57">-AR50*c_CO2.C</f>
        <v>-94.460907438284835</v>
      </c>
      <c r="T72" s="146">
        <f t="shared" si="57"/>
        <v>-101.81167900636052</v>
      </c>
      <c r="U72" s="146">
        <f t="shared" si="57"/>
        <v>-108.9341861482433</v>
      </c>
      <c r="V72" s="146">
        <f t="shared" si="57"/>
        <v>-115.82814477502143</v>
      </c>
      <c r="W72" s="146">
        <f t="shared" si="57"/>
        <v>-122.4942266911051</v>
      </c>
      <c r="X72" s="146">
        <f t="shared" si="57"/>
        <v>-128.93394397053885</v>
      </c>
      <c r="Y72" s="146">
        <f t="shared" si="57"/>
        <v>-135.14954262449214</v>
      </c>
      <c r="Z72" s="146">
        <f t="shared" si="57"/>
        <v>-141.14390516862045</v>
      </c>
      <c r="AA72" s="146">
        <f t="shared" si="57"/>
        <v>-146.9204616548235</v>
      </c>
      <c r="AB72" s="146">
        <f t="shared" si="57"/>
        <v>-152.48310870396571</v>
      </c>
      <c r="AC72" s="146">
        <f t="shared" ref="AC72:AL74" si="58">-BB50*c_CO2.C</f>
        <v>-157.83613606111138</v>
      </c>
      <c r="AD72" s="146">
        <f t="shared" si="58"/>
        <v>-162.98416019006945</v>
      </c>
      <c r="AE72" s="146">
        <f t="shared" si="58"/>
        <v>-167.93206442729166</v>
      </c>
      <c r="AF72" s="146">
        <f t="shared" si="58"/>
        <v>-172.68494522459881</v>
      </c>
      <c r="AG72" s="146">
        <f t="shared" si="58"/>
        <v>-177.24806402427478</v>
      </c>
      <c r="AH72" s="146">
        <f t="shared" si="58"/>
        <v>-181.62680432755843</v>
      </c>
      <c r="AI72" s="146">
        <f t="shared" si="58"/>
        <v>-185.82663353743811</v>
      </c>
      <c r="AJ72" s="146">
        <f t="shared" si="58"/>
        <v>-189.85306917811789</v>
      </c>
      <c r="AK72" s="146">
        <f t="shared" si="58"/>
        <v>-193.71164911591009</v>
      </c>
      <c r="AL72" s="146">
        <f t="shared" si="58"/>
        <v>-197.4079054290923</v>
      </c>
      <c r="AM72" s="146">
        <f t="shared" ref="AM72:AV74" si="59">-BL50*c_CO2.C</f>
        <v>-200.94734159705141</v>
      </c>
      <c r="AN72" s="146">
        <f t="shared" si="59"/>
        <v>-204.33541270148439</v>
      </c>
      <c r="AO72" s="146">
        <f t="shared" si="59"/>
        <v>-207.57750835430735</v>
      </c>
      <c r="AP72" s="146">
        <f t="shared" si="59"/>
        <v>-210.67893808805874</v>
      </c>
      <c r="AQ72" s="146">
        <f t="shared" si="59"/>
        <v>-213.64491896482579</v>
      </c>
      <c r="AR72" s="146">
        <f t="shared" si="59"/>
        <v>-216.48056517901284</v>
      </c>
      <c r="AS72" s="146">
        <f t="shared" si="59"/>
        <v>-219.19087944752062</v>
      </c>
      <c r="AT72" s="146">
        <f t="shared" si="59"/>
        <v>-221.78074599810984</v>
      </c>
      <c r="AU72" s="146">
        <f t="shared" si="59"/>
        <v>-224.25492498287244</v>
      </c>
      <c r="AV72" s="146">
        <f t="shared" si="59"/>
        <v>-226.61804815881362</v>
      </c>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row>
    <row r="73" spans="2:113" s="253" customFormat="1" ht="12.95" customHeight="1" x14ac:dyDescent="0.2">
      <c r="C73" s="152"/>
      <c r="D73" s="152"/>
      <c r="E73" s="152"/>
      <c r="F73" s="152"/>
      <c r="G73" s="298" t="s">
        <v>1006</v>
      </c>
      <c r="H73" s="146"/>
      <c r="I73" s="146">
        <f t="shared" si="56"/>
        <v>-5.056996695299739E-2</v>
      </c>
      <c r="J73" s="146">
        <f t="shared" si="56"/>
        <v>-0.37559904919697124</v>
      </c>
      <c r="K73" s="146">
        <f t="shared" si="56"/>
        <v>-1.1776411571119523</v>
      </c>
      <c r="L73" s="146">
        <f t="shared" si="56"/>
        <v>-2.5948760295879811</v>
      </c>
      <c r="M73" s="146">
        <f t="shared" si="56"/>
        <v>-4.7141843067990257</v>
      </c>
      <c r="N73" s="146">
        <f t="shared" si="56"/>
        <v>-7.5819753521587874</v>
      </c>
      <c r="O73" s="146">
        <f t="shared" si="56"/>
        <v>-11.213123410562812</v>
      </c>
      <c r="P73" s="146">
        <f t="shared" si="56"/>
        <v>-15.598313969464595</v>
      </c>
      <c r="Q73" s="146">
        <f t="shared" si="56"/>
        <v>-20.710056362636706</v>
      </c>
      <c r="R73" s="146">
        <f t="shared" si="56"/>
        <v>-26.507579583629784</v>
      </c>
      <c r="S73" s="146">
        <f t="shared" si="57"/>
        <v>-32.940794979769336</v>
      </c>
      <c r="T73" s="146">
        <f t="shared" si="57"/>
        <v>-39.953481140555311</v>
      </c>
      <c r="U73" s="146">
        <f t="shared" si="57"/>
        <v>-47.485822158988285</v>
      </c>
      <c r="V73" s="146">
        <f t="shared" si="57"/>
        <v>-55.476409915944096</v>
      </c>
      <c r="W73" s="146">
        <f t="shared" si="57"/>
        <v>-63.863803589821948</v>
      </c>
      <c r="X73" s="146">
        <f t="shared" si="57"/>
        <v>-72.587724775550925</v>
      </c>
      <c r="Y73" s="146">
        <f t="shared" si="57"/>
        <v>-81.589954022836579</v>
      </c>
      <c r="Z73" s="146">
        <f t="shared" si="57"/>
        <v>-90.814983943098099</v>
      </c>
      <c r="AA73" s="146">
        <f t="shared" si="57"/>
        <v>-100.21047500544034</v>
      </c>
      <c r="AB73" s="146">
        <f t="shared" si="57"/>
        <v>-109.727552502686</v>
      </c>
      <c r="AC73" s="146">
        <f t="shared" si="58"/>
        <v>-119.32097671245926</v>
      </c>
      <c r="AD73" s="146">
        <f t="shared" si="58"/>
        <v>-128.94921282910113</v>
      </c>
      <c r="AE73" s="146">
        <f t="shared" si="58"/>
        <v>-138.57442264905893</v>
      </c>
      <c r="AF73" s="146">
        <f t="shared" si="58"/>
        <v>-148.16239612660999</v>
      </c>
      <c r="AG73" s="146">
        <f t="shared" si="58"/>
        <v>-157.68243766848164</v>
      </c>
      <c r="AH73" s="146">
        <f t="shared" si="58"/>
        <v>-167.10721931140031</v>
      </c>
      <c r="AI73" s="146">
        <f t="shared" si="58"/>
        <v>-176.41261064591242</v>
      </c>
      <c r="AJ73" s="146">
        <f t="shared" si="58"/>
        <v>-185.57749344487118</v>
      </c>
      <c r="AK73" s="146">
        <f t="shared" si="58"/>
        <v>-194.58356736776861</v>
      </c>
      <c r="AL73" s="146">
        <f t="shared" si="58"/>
        <v>-203.41515179323056</v>
      </c>
      <c r="AM73" s="146">
        <f t="shared" si="59"/>
        <v>-212.05898773949718</v>
      </c>
      <c r="AN73" s="146">
        <f t="shared" si="59"/>
        <v>-220.50404293087104</v>
      </c>
      <c r="AO73" s="146">
        <f t="shared" si="59"/>
        <v>-228.74132232662444</v>
      </c>
      <c r="AP73" s="146">
        <f t="shared" si="59"/>
        <v>-236.76368582197333</v>
      </c>
      <c r="AQ73" s="146">
        <f t="shared" si="59"/>
        <v>-244.56567433664057</v>
      </c>
      <c r="AR73" s="146">
        <f t="shared" si="59"/>
        <v>-252.14334510676647</v>
      </c>
      <c r="AS73" s="146">
        <f t="shared" si="59"/>
        <v>-259.49411667484213</v>
      </c>
      <c r="AT73" s="146">
        <f t="shared" si="59"/>
        <v>-266.61662381672494</v>
      </c>
      <c r="AU73" s="146">
        <f t="shared" si="59"/>
        <v>-273.51058244350304</v>
      </c>
      <c r="AV73" s="146">
        <f t="shared" si="59"/>
        <v>-280.17666435958671</v>
      </c>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row>
    <row r="74" spans="2:113" s="253" customFormat="1" ht="12.95" customHeight="1" x14ac:dyDescent="0.2">
      <c r="C74" s="21"/>
      <c r="D74" s="21"/>
      <c r="E74" s="21"/>
      <c r="F74" s="21"/>
      <c r="G74" s="297" t="s">
        <v>1159</v>
      </c>
      <c r="H74" s="146"/>
      <c r="I74" s="146">
        <f t="shared" si="56"/>
        <v>9.3742116759656877</v>
      </c>
      <c r="J74" s="146">
        <f t="shared" si="56"/>
        <v>18.354573928233826</v>
      </c>
      <c r="K74" s="146">
        <f t="shared" si="56"/>
        <v>26.717414619277601</v>
      </c>
      <c r="L74" s="146">
        <f t="shared" si="56"/>
        <v>34.306253669698989</v>
      </c>
      <c r="M74" s="146">
        <f t="shared" si="56"/>
        <v>41.018529817949911</v>
      </c>
      <c r="N74" s="146">
        <f t="shared" si="56"/>
        <v>46.794574718856758</v>
      </c>
      <c r="O74" s="146">
        <f t="shared" si="56"/>
        <v>51.608481851826582</v>
      </c>
      <c r="P74" s="146">
        <f t="shared" si="56"/>
        <v>55.460570688678231</v>
      </c>
      <c r="Q74" s="146">
        <f t="shared" si="56"/>
        <v>58.371191790855001</v>
      </c>
      <c r="R74" s="146">
        <f t="shared" si="56"/>
        <v>60.375657084529145</v>
      </c>
      <c r="S74" s="146">
        <f t="shared" si="57"/>
        <v>61.520112458515506</v>
      </c>
      <c r="T74" s="146">
        <f t="shared" si="57"/>
        <v>61.858197865805209</v>
      </c>
      <c r="U74" s="146">
        <f t="shared" si="57"/>
        <v>61.448363989255014</v>
      </c>
      <c r="V74" s="146">
        <f t="shared" si="57"/>
        <v>60.351734859077332</v>
      </c>
      <c r="W74" s="146">
        <f t="shared" si="57"/>
        <v>58.630423101283142</v>
      </c>
      <c r="X74" s="146">
        <f t="shared" si="57"/>
        <v>56.346219194987924</v>
      </c>
      <c r="Y74" s="146">
        <f t="shared" si="57"/>
        <v>53.559588601655548</v>
      </c>
      <c r="Z74" s="146">
        <f t="shared" si="57"/>
        <v>50.328921225522357</v>
      </c>
      <c r="AA74" s="146">
        <f t="shared" si="57"/>
        <v>46.709986649383168</v>
      </c>
      <c r="AB74" s="146">
        <f t="shared" si="57"/>
        <v>42.755556201279703</v>
      </c>
      <c r="AC74" s="146">
        <f t="shared" si="58"/>
        <v>38.515159348652112</v>
      </c>
      <c r="AD74" s="146">
        <f t="shared" si="58"/>
        <v>34.034947360968303</v>
      </c>
      <c r="AE74" s="146">
        <f t="shared" si="58"/>
        <v>29.357641778232729</v>
      </c>
      <c r="AF74" s="146">
        <f t="shared" si="58"/>
        <v>24.522549097988808</v>
      </c>
      <c r="AG74" s="146">
        <f t="shared" si="58"/>
        <v>19.565626355793157</v>
      </c>
      <c r="AH74" s="146">
        <f t="shared" si="58"/>
        <v>14.519585016158123</v>
      </c>
      <c r="AI74" s="146">
        <f t="shared" si="58"/>
        <v>9.4140228915256987</v>
      </c>
      <c r="AJ74" s="146">
        <f t="shared" si="58"/>
        <v>4.2755757332467121</v>
      </c>
      <c r="AK74" s="146">
        <f t="shared" si="58"/>
        <v>-0.87191825185852379</v>
      </c>
      <c r="AL74" s="146">
        <f t="shared" si="58"/>
        <v>-6.0072463641382683</v>
      </c>
      <c r="AM74" s="146">
        <f t="shared" si="59"/>
        <v>-11.111646142445759</v>
      </c>
      <c r="AN74" s="146">
        <f t="shared" si="59"/>
        <v>-16.168630229386633</v>
      </c>
      <c r="AO74" s="146">
        <f t="shared" si="59"/>
        <v>-21.16381397231709</v>
      </c>
      <c r="AP74" s="146">
        <f t="shared" si="59"/>
        <v>-26.08474773391459</v>
      </c>
      <c r="AQ74" s="146">
        <f t="shared" si="59"/>
        <v>-30.920755371814774</v>
      </c>
      <c r="AR74" s="146">
        <f t="shared" si="59"/>
        <v>-35.662779927753633</v>
      </c>
      <c r="AS74" s="146">
        <f t="shared" si="59"/>
        <v>-40.303237227321553</v>
      </c>
      <c r="AT74" s="146">
        <f t="shared" si="59"/>
        <v>-44.835877818615096</v>
      </c>
      <c r="AU74" s="146">
        <f t="shared" si="59"/>
        <v>-49.255657460630609</v>
      </c>
      <c r="AV74" s="146">
        <f t="shared" si="59"/>
        <v>-53.558616200773109</v>
      </c>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row>
    <row r="75" spans="2:113" ht="12.95" customHeight="1" x14ac:dyDescent="0.2">
      <c r="H75" s="54"/>
      <c r="I75" s="54"/>
    </row>
    <row r="76" spans="2:113" ht="12.95" customHeight="1" x14ac:dyDescent="0.2">
      <c r="H76" s="54"/>
      <c r="I76" s="54"/>
    </row>
    <row r="77" spans="2:113" ht="12.95" customHeight="1" x14ac:dyDescent="0.2">
      <c r="H77" s="54"/>
      <c r="I77" s="54"/>
    </row>
    <row r="78" spans="2:113" ht="12.95" customHeight="1" x14ac:dyDescent="0.2">
      <c r="H78" s="54"/>
      <c r="I78" s="54"/>
    </row>
    <row r="79" spans="2:113" ht="12.95" customHeight="1" x14ac:dyDescent="0.2">
      <c r="H79" s="54"/>
      <c r="I79" s="54"/>
      <c r="W79" s="203"/>
    </row>
    <row r="80" spans="2:113" ht="12.95" customHeight="1" x14ac:dyDescent="0.2">
      <c r="H80" s="54"/>
      <c r="I80" s="54"/>
    </row>
    <row r="81" s="54" customFormat="1" ht="12.95" customHeight="1" x14ac:dyDescent="0.2"/>
    <row r="82" s="54" customFormat="1" ht="12.95" customHeight="1" x14ac:dyDescent="0.2"/>
    <row r="83" s="54" customFormat="1" ht="12.95" customHeight="1" x14ac:dyDescent="0.2"/>
    <row r="84" s="54" customFormat="1" ht="12.95" customHeight="1" x14ac:dyDescent="0.2"/>
    <row r="85" s="54" customFormat="1" ht="12.95" customHeight="1" x14ac:dyDescent="0.2"/>
    <row r="86" s="54" customFormat="1" ht="12.95" customHeight="1" x14ac:dyDescent="0.2"/>
    <row r="87" s="54" customFormat="1" ht="12.95" customHeight="1" x14ac:dyDescent="0.2"/>
    <row r="88" s="54" customFormat="1" ht="12.95" customHeight="1" x14ac:dyDescent="0.2"/>
    <row r="89" s="54" customFormat="1" ht="12.95" customHeight="1" x14ac:dyDescent="0.2"/>
    <row r="90" s="54" customFormat="1" ht="12.95" customHeight="1" x14ac:dyDescent="0.2"/>
    <row r="91" s="54" customFormat="1" ht="12.95" customHeight="1" x14ac:dyDescent="0.2"/>
    <row r="92" s="54" customFormat="1" ht="12.95" customHeight="1" x14ac:dyDescent="0.2"/>
    <row r="93" s="54" customFormat="1" ht="12.95" customHeight="1" x14ac:dyDescent="0.2"/>
    <row r="94" s="54" customFormat="1" ht="12.95" customHeight="1" x14ac:dyDescent="0.2"/>
    <row r="95" s="54" customFormat="1" ht="12.95" customHeight="1" x14ac:dyDescent="0.2"/>
    <row r="96" s="54" customFormat="1" ht="12.95" customHeight="1" x14ac:dyDescent="0.2"/>
    <row r="97" s="54" customFormat="1" ht="12.95" customHeight="1" x14ac:dyDescent="0.2"/>
    <row r="98" s="54" customFormat="1" ht="12.95" customHeight="1" x14ac:dyDescent="0.2"/>
    <row r="99" s="54" customFormat="1" ht="12.95" customHeight="1" x14ac:dyDescent="0.2"/>
    <row r="100" s="54" customFormat="1" ht="12.95" customHeight="1" x14ac:dyDescent="0.2"/>
    <row r="101" s="54" customFormat="1" ht="12.95" customHeight="1" x14ac:dyDescent="0.2"/>
    <row r="102" s="54" customFormat="1" ht="12.95" customHeight="1" x14ac:dyDescent="0.2"/>
    <row r="103" s="54" customFormat="1" ht="12.95" customHeight="1" x14ac:dyDescent="0.2"/>
    <row r="104" s="54" customFormat="1" ht="12.95" customHeight="1" x14ac:dyDescent="0.2"/>
    <row r="105" s="54" customFormat="1" ht="12.95" customHeight="1" x14ac:dyDescent="0.2"/>
    <row r="106" s="54" customFormat="1" ht="12.95" customHeight="1" x14ac:dyDescent="0.2"/>
    <row r="107" s="54" customFormat="1" ht="12.95" customHeight="1" x14ac:dyDescent="0.2"/>
    <row r="108" s="54" customFormat="1" ht="12.95" customHeight="1" x14ac:dyDescent="0.2"/>
    <row r="109" s="54" customFormat="1" ht="12.95" customHeight="1" x14ac:dyDescent="0.2"/>
    <row r="110" s="54" customFormat="1" ht="12.95" customHeight="1" x14ac:dyDescent="0.2"/>
    <row r="111" s="54" customFormat="1" ht="12.95" customHeight="1" x14ac:dyDescent="0.2"/>
    <row r="112" s="54" customFormat="1" ht="12.95" customHeight="1" x14ac:dyDescent="0.2"/>
    <row r="113" s="54" customFormat="1" ht="12.95" customHeight="1" x14ac:dyDescent="0.2"/>
    <row r="114" s="54" customFormat="1" ht="12.95" customHeight="1" x14ac:dyDescent="0.2"/>
    <row r="115" s="54" customFormat="1" ht="12.95" customHeight="1" x14ac:dyDescent="0.2"/>
    <row r="116" s="54" customFormat="1" ht="12.95" customHeight="1" x14ac:dyDescent="0.2"/>
    <row r="117" s="54" customFormat="1" ht="12.95" customHeight="1" x14ac:dyDescent="0.2"/>
    <row r="118" s="54" customFormat="1" ht="12.95" customHeight="1" x14ac:dyDescent="0.2"/>
    <row r="119" s="54" customFormat="1" ht="12.95" customHeight="1" x14ac:dyDescent="0.2"/>
    <row r="120" s="54" customFormat="1" ht="12.95" customHeight="1" x14ac:dyDescent="0.2"/>
    <row r="121" s="54" customFormat="1" ht="12.95" customHeight="1" x14ac:dyDescent="0.2"/>
    <row r="122" s="54" customFormat="1" ht="12.95" customHeight="1" x14ac:dyDescent="0.2"/>
    <row r="123" s="54" customFormat="1" ht="12.95" customHeight="1" x14ac:dyDescent="0.2"/>
    <row r="124" s="54" customFormat="1" ht="12.95" customHeight="1" x14ac:dyDescent="0.2"/>
    <row r="125" s="54" customFormat="1" ht="12.95" customHeight="1" x14ac:dyDescent="0.2"/>
    <row r="126" s="54" customFormat="1" ht="12.95" customHeight="1" x14ac:dyDescent="0.2"/>
    <row r="127" s="54" customFormat="1" ht="12.95" customHeight="1" x14ac:dyDescent="0.2"/>
    <row r="128" s="54" customFormat="1" ht="12.95" customHeight="1" x14ac:dyDescent="0.2"/>
    <row r="129" s="54" customFormat="1" ht="12.95" customHeight="1" x14ac:dyDescent="0.2"/>
    <row r="130" s="54" customFormat="1" ht="12.95" customHeight="1" x14ac:dyDescent="0.2"/>
    <row r="131" s="54" customFormat="1" ht="12.95" customHeight="1" x14ac:dyDescent="0.2"/>
    <row r="132" s="54" customFormat="1" ht="12.95" customHeight="1" x14ac:dyDescent="0.2"/>
    <row r="133" s="54" customFormat="1" ht="12.95" customHeight="1" x14ac:dyDescent="0.2"/>
    <row r="134" s="54" customFormat="1" ht="12.95" customHeight="1" x14ac:dyDescent="0.2"/>
    <row r="135" s="54" customFormat="1" ht="12.95" customHeight="1" x14ac:dyDescent="0.2"/>
    <row r="136" s="54" customFormat="1" ht="12.95" customHeight="1" x14ac:dyDescent="0.2"/>
    <row r="137" s="54" customFormat="1" ht="12.95" customHeight="1" x14ac:dyDescent="0.2"/>
    <row r="138" s="54" customFormat="1" ht="12.95" customHeight="1" x14ac:dyDescent="0.2"/>
    <row r="139" s="54" customFormat="1" ht="12.95" customHeight="1" x14ac:dyDescent="0.2"/>
    <row r="140" s="54" customFormat="1" ht="12.95" customHeight="1" x14ac:dyDescent="0.2"/>
    <row r="141" s="54" customFormat="1" ht="12.95" customHeight="1" x14ac:dyDescent="0.2"/>
    <row r="142" s="54" customFormat="1" ht="12.95" customHeight="1" x14ac:dyDescent="0.2"/>
    <row r="143" s="54" customFormat="1" ht="12.95" customHeight="1" x14ac:dyDescent="0.2"/>
    <row r="144" s="54" customFormat="1" ht="12.95" customHeight="1" x14ac:dyDescent="0.2"/>
    <row r="145" s="54" customFormat="1" ht="12.95" customHeight="1" x14ac:dyDescent="0.2"/>
    <row r="146" s="54" customFormat="1" ht="12.95" customHeight="1" x14ac:dyDescent="0.2"/>
    <row r="147" s="54" customFormat="1" ht="12.95" customHeight="1" x14ac:dyDescent="0.2"/>
    <row r="148" s="54" customFormat="1" ht="12.95" customHeight="1" x14ac:dyDescent="0.2"/>
    <row r="149" s="54" customFormat="1" ht="12.95" customHeight="1" x14ac:dyDescent="0.2"/>
    <row r="150" s="54" customFormat="1" ht="12.95" customHeight="1" x14ac:dyDescent="0.2"/>
    <row r="151" s="54" customFormat="1" ht="12.95" customHeight="1" x14ac:dyDescent="0.2"/>
    <row r="152" s="54" customFormat="1" ht="12.95" customHeight="1" x14ac:dyDescent="0.2"/>
    <row r="153" s="54" customFormat="1" ht="12.95" customHeight="1" x14ac:dyDescent="0.2"/>
    <row r="154" s="54" customFormat="1" ht="12.95" customHeight="1" x14ac:dyDescent="0.2"/>
    <row r="155" s="54" customFormat="1" ht="12.95" customHeight="1" x14ac:dyDescent="0.2"/>
    <row r="156" s="54" customFormat="1" ht="12.95" customHeight="1" x14ac:dyDescent="0.2"/>
    <row r="157" s="54" customFormat="1" ht="12.95" customHeight="1" x14ac:dyDescent="0.2"/>
    <row r="158" s="54" customFormat="1" ht="12.95" customHeight="1" x14ac:dyDescent="0.2"/>
    <row r="159" s="54" customFormat="1" ht="12.95" customHeight="1" x14ac:dyDescent="0.2"/>
    <row r="160" s="54" customFormat="1" ht="12.95" customHeight="1" x14ac:dyDescent="0.2"/>
    <row r="161" s="54" customFormat="1" ht="12.95" customHeight="1" x14ac:dyDescent="0.2"/>
  </sheetData>
  <hyperlinks>
    <hyperlink ref="B2" location="cover!B18" display="return to TOC" xr:uid="{0FE8FA0B-25BD-4427-853A-128506D64F98}"/>
  </hyperlink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FFA36-D35A-44B8-8764-55D5CC569F86}">
  <sheetPr published="0" codeName="Sheet32">
    <tabColor rgb="FF238B45"/>
  </sheetPr>
  <dimension ref="A1:EE113"/>
  <sheetViews>
    <sheetView workbookViewId="0"/>
  </sheetViews>
  <sheetFormatPr defaultColWidth="10.83203125" defaultRowHeight="12.95" customHeight="1" x14ac:dyDescent="0.2"/>
  <cols>
    <col min="1" max="1" width="1.83203125" style="253" customWidth="1"/>
    <col min="2" max="4" width="2.83203125" style="253" customWidth="1"/>
    <col min="5" max="5" width="16.83203125" style="253" customWidth="1"/>
    <col min="6" max="7" width="10.83203125" style="253" customWidth="1"/>
    <col min="8" max="9" width="6.83203125" style="250" customWidth="1"/>
    <col min="10" max="128" width="6.83203125" style="253" customWidth="1"/>
    <col min="129" max="16384" width="10.83203125" style="253"/>
  </cols>
  <sheetData>
    <row r="1" spans="1:135" ht="30" customHeight="1" x14ac:dyDescent="0.2">
      <c r="A1" s="85"/>
      <c r="B1" s="86" t="s">
        <v>1177</v>
      </c>
      <c r="C1" s="338"/>
      <c r="D1" s="338"/>
      <c r="E1" s="338"/>
      <c r="F1" s="14"/>
      <c r="G1" s="14"/>
      <c r="H1" s="14"/>
      <c r="I1" s="14"/>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14"/>
      <c r="AZ1" s="14"/>
    </row>
    <row r="2" spans="1:135" ht="12.95" customHeight="1" x14ac:dyDescent="0.2">
      <c r="A2" s="85"/>
      <c r="B2" s="81" t="s">
        <v>349</v>
      </c>
      <c r="C2" s="21"/>
      <c r="D2" s="21"/>
      <c r="E2" s="21"/>
      <c r="H2" s="253"/>
      <c r="I2" s="253"/>
    </row>
    <row r="3" spans="1:135" ht="12.95" customHeight="1" x14ac:dyDescent="0.2">
      <c r="A3" s="85"/>
      <c r="C3" s="21"/>
      <c r="D3" s="21"/>
      <c r="E3" s="21"/>
      <c r="H3" s="253"/>
      <c r="I3" s="253"/>
    </row>
    <row r="4" spans="1:135" ht="12.95" customHeight="1" x14ac:dyDescent="0.2">
      <c r="H4" s="253"/>
      <c r="I4" s="253"/>
    </row>
    <row r="5" spans="1:135" ht="12.95" customHeight="1" x14ac:dyDescent="0.25">
      <c r="B5" s="105" t="s">
        <v>944</v>
      </c>
      <c r="C5" s="106"/>
      <c r="D5" s="107"/>
      <c r="E5" s="107"/>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row>
    <row r="6" spans="1:135" ht="12.95" customHeight="1" x14ac:dyDescent="0.25">
      <c r="B6" s="19" t="s">
        <v>300</v>
      </c>
      <c r="C6" s="75"/>
      <c r="D6" s="75"/>
      <c r="E6" s="74"/>
      <c r="F6" s="56" t="s">
        <v>491</v>
      </c>
      <c r="G6" s="113" t="s">
        <v>1</v>
      </c>
      <c r="H6" s="114" t="s">
        <v>456</v>
      </c>
      <c r="I6" s="114" t="s">
        <v>381</v>
      </c>
      <c r="J6" s="56" t="s">
        <v>382</v>
      </c>
      <c r="K6" s="56" t="s">
        <v>383</v>
      </c>
      <c r="L6" s="56" t="s">
        <v>384</v>
      </c>
      <c r="M6" s="56" t="s">
        <v>385</v>
      </c>
      <c r="N6" s="56" t="s">
        <v>386</v>
      </c>
      <c r="O6" s="56" t="s">
        <v>387</v>
      </c>
      <c r="P6" s="56" t="s">
        <v>388</v>
      </c>
      <c r="Q6" s="56" t="s">
        <v>389</v>
      </c>
      <c r="R6" s="56" t="s">
        <v>390</v>
      </c>
      <c r="S6" s="56" t="s">
        <v>401</v>
      </c>
      <c r="T6" s="56" t="s">
        <v>402</v>
      </c>
      <c r="U6" s="56" t="s">
        <v>403</v>
      </c>
      <c r="V6" s="56" t="s">
        <v>404</v>
      </c>
      <c r="W6" s="56" t="s">
        <v>405</v>
      </c>
      <c r="X6" s="56" t="s">
        <v>406</v>
      </c>
      <c r="Y6" s="56" t="s">
        <v>407</v>
      </c>
      <c r="Z6" s="56" t="s">
        <v>408</v>
      </c>
      <c r="AA6" s="56" t="s">
        <v>409</v>
      </c>
      <c r="AB6" s="56" t="s">
        <v>410</v>
      </c>
      <c r="AC6" s="56" t="s">
        <v>411</v>
      </c>
      <c r="AD6" s="56" t="s">
        <v>412</v>
      </c>
      <c r="AE6" s="56" t="s">
        <v>413</v>
      </c>
      <c r="AF6" s="56" t="s">
        <v>414</v>
      </c>
      <c r="AG6" s="56" t="s">
        <v>415</v>
      </c>
      <c r="AH6" s="56" t="s">
        <v>416</v>
      </c>
      <c r="AI6" s="56" t="s">
        <v>417</v>
      </c>
      <c r="AJ6" s="56" t="s">
        <v>418</v>
      </c>
      <c r="AK6" s="56" t="s">
        <v>419</v>
      </c>
      <c r="AL6" s="56" t="s">
        <v>420</v>
      </c>
      <c r="AM6" s="56" t="s">
        <v>421</v>
      </c>
      <c r="AN6" s="56" t="s">
        <v>422</v>
      </c>
      <c r="AO6" s="56" t="s">
        <v>423</v>
      </c>
      <c r="AP6" s="56" t="s">
        <v>424</v>
      </c>
      <c r="AQ6" s="56" t="s">
        <v>425</v>
      </c>
      <c r="AR6" s="56" t="s">
        <v>426</v>
      </c>
      <c r="AS6" s="56" t="s">
        <v>427</v>
      </c>
      <c r="AT6" s="56" t="s">
        <v>428</v>
      </c>
      <c r="AU6" s="56" t="s">
        <v>429</v>
      </c>
      <c r="AV6" s="56" t="s">
        <v>430</v>
      </c>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row>
    <row r="7" spans="1:135" ht="12.95" customHeight="1" x14ac:dyDescent="0.2">
      <c r="B7" s="121" t="s">
        <v>484</v>
      </c>
      <c r="C7" s="21"/>
      <c r="D7" s="21"/>
      <c r="E7" s="21"/>
      <c r="F7" s="21"/>
      <c r="G7" s="297"/>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row>
    <row r="8" spans="1:135" ht="12.95" customHeight="1" x14ac:dyDescent="0.2">
      <c r="B8" s="253" t="s">
        <v>1160</v>
      </c>
      <c r="C8" s="21"/>
      <c r="D8" s="21"/>
      <c r="E8" s="21"/>
      <c r="F8" s="21" t="s">
        <v>493</v>
      </c>
      <c r="G8" s="297" t="s">
        <v>1161</v>
      </c>
      <c r="H8" s="146"/>
      <c r="I8" s="340">
        <f>tsLOG!I129/10^6</f>
        <v>0.10442535469020955</v>
      </c>
      <c r="J8" s="340">
        <f>tsLOG!J129/10^6</f>
        <v>0.20752788029277683</v>
      </c>
      <c r="K8" s="340">
        <f>tsLOG!K129/10^6</f>
        <v>0.30907358959783493</v>
      </c>
      <c r="L8" s="340">
        <f>tsLOG!L129/10^6</f>
        <v>0.40885971721294279</v>
      </c>
      <c r="M8" s="340">
        <f>tsLOG!M129/10^6</f>
        <v>0.50671252389290689</v>
      </c>
      <c r="N8" s="340">
        <f>tsLOG!N129/10^6</f>
        <v>0.60248510184446813</v>
      </c>
      <c r="O8" s="340">
        <f>tsLOG!O129/10^6</f>
        <v>0.696055214887905</v>
      </c>
      <c r="P8" s="340">
        <f>tsLOG!P129/10^6</f>
        <v>0.78732319914197035</v>
      </c>
      <c r="Q8" s="340">
        <f>tsLOG!Q129/10^6</f>
        <v>0.87620994317439371</v>
      </c>
      <c r="R8" s="340">
        <f>tsLOG!R129/10^6</f>
        <v>0.96265496108578597</v>
      </c>
      <c r="S8" s="340">
        <f>tsLOG!S129/10^6</f>
        <v>1.0466145675654306</v>
      </c>
      <c r="T8" s="340">
        <f>tsLOG!T129/10^6</f>
        <v>1.1280601603999079</v>
      </c>
      <c r="U8" s="340">
        <f>tsLOG!U129/10^6</f>
        <v>1.2069766130832962</v>
      </c>
      <c r="V8" s="340">
        <f>tsLOG!V129/10^6</f>
        <v>1.2833607779474061</v>
      </c>
      <c r="W8" s="340">
        <f>tsLOG!W129/10^6</f>
        <v>1.3572200984977181</v>
      </c>
      <c r="X8" s="340">
        <f>tsLOG!X129/10^6</f>
        <v>1.4285713283179655</v>
      </c>
      <c r="Y8" s="340">
        <f>tsLOG!Y129/10^6</f>
        <v>1.4974393529197596</v>
      </c>
      <c r="Z8" s="340">
        <f>tsLOG!Z129/10^6</f>
        <v>1.5638561102016246</v>
      </c>
      <c r="AA8" s="340">
        <f>tsLOG!AA129/10^6</f>
        <v>1.6278596046924507</v>
      </c>
      <c r="AB8" s="340">
        <f>tsLOG!AB129/10^6</f>
        <v>1.6894930104445687</v>
      </c>
      <c r="AC8" s="340">
        <f>tsLOG!AC129/10^6</f>
        <v>1.74880385727531</v>
      </c>
      <c r="AD8" s="340">
        <f>tsLOG!AD129/10^6</f>
        <v>1.8058432950031982</v>
      </c>
      <c r="AE8" s="340">
        <f>tsLOG!AE129/10^6</f>
        <v>1.8606654303609265</v>
      </c>
      <c r="AF8" s="340">
        <f>tsLOG!AF129/10^6</f>
        <v>1.9133267313717561</v>
      </c>
      <c r="AG8" s="340">
        <f>tsLOG!AG129/10^6</f>
        <v>1.9638854941318198</v>
      </c>
      <c r="AH8" s="340">
        <f>tsLOG!AH129/10^6</f>
        <v>1.9079760124443834</v>
      </c>
      <c r="AI8" s="340">
        <f>tsLOG!AI129/10^6</f>
        <v>1.8514070482012464</v>
      </c>
      <c r="AJ8" s="340">
        <f>tsLOG!AJ129/10^6</f>
        <v>1.7944737220627736</v>
      </c>
      <c r="AK8" s="340">
        <f>tsLOG!AK129/10^6</f>
        <v>1.7374401582598171</v>
      </c>
      <c r="AL8" s="340">
        <f>tsLOG!AL129/10^6</f>
        <v>1.6805413907453111</v>
      </c>
      <c r="AM8" s="340">
        <f>tsLOG!AM129/10^6</f>
        <v>1.623985305148264</v>
      </c>
      <c r="AN8" s="340">
        <f>tsLOG!AN129/10^6</f>
        <v>1.5679545792440392</v>
      </c>
      <c r="AO8" s="340">
        <f>tsLOG!AO129/10^6</f>
        <v>1.5126085931128694</v>
      </c>
      <c r="AP8" s="340">
        <f>tsLOG!AP129/10^6</f>
        <v>1.4580852871169216</v>
      </c>
      <c r="AQ8" s="340">
        <f>tsLOG!AQ129/10^6</f>
        <v>1.404502951524911</v>
      </c>
      <c r="AR8" s="340">
        <f>tsLOG!AR129/10^6</f>
        <v>1.3519619362563338</v>
      </c>
      <c r="AS8" s="340">
        <f>tsLOG!AS129/10^6</f>
        <v>1.3005462729771486</v>
      </c>
      <c r="AT8" s="340">
        <f>tsLOG!AT129/10^6</f>
        <v>1.2503252048015585</v>
      </c>
      <c r="AU8" s="340">
        <f>tsLOG!AU129/10^6</f>
        <v>1.2013546212637622</v>
      </c>
      <c r="AV8" s="340">
        <f>tsLOG!AV129/10^6</f>
        <v>1.153678398123428</v>
      </c>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row>
    <row r="9" spans="1:135" ht="12.95" customHeight="1" x14ac:dyDescent="0.2">
      <c r="C9" s="21" t="s">
        <v>515</v>
      </c>
      <c r="D9" s="21"/>
      <c r="E9" s="21"/>
      <c r="F9" s="21" t="s">
        <v>493</v>
      </c>
      <c r="G9" s="297" t="s">
        <v>982</v>
      </c>
      <c r="H9" s="312"/>
      <c r="I9" s="340">
        <f t="shared" ref="I9:AV9" si="0">-I8*c_CO2.C</f>
        <v>-0.38262403172455495</v>
      </c>
      <c r="J9" s="340">
        <f t="shared" si="0"/>
        <v>-0.76040109692170144</v>
      </c>
      <c r="K9" s="340">
        <f t="shared" si="0"/>
        <v>-1.1324738450957015</v>
      </c>
      <c r="L9" s="340">
        <f t="shared" si="0"/>
        <v>-1.4980993253398511</v>
      </c>
      <c r="M9" s="340">
        <f t="shared" si="0"/>
        <v>-1.8566409412005211</v>
      </c>
      <c r="N9" s="340">
        <f t="shared" si="0"/>
        <v>-2.2075604091131948</v>
      </c>
      <c r="O9" s="340">
        <f t="shared" si="0"/>
        <v>-2.5504098445574286</v>
      </c>
      <c r="P9" s="340">
        <f t="shared" si="0"/>
        <v>-2.8848240699748282</v>
      </c>
      <c r="Q9" s="340">
        <f t="shared" si="0"/>
        <v>-3.2105132138561179</v>
      </c>
      <c r="R9" s="340">
        <f t="shared" si="0"/>
        <v>-3.5272556503446704</v>
      </c>
      <c r="S9" s="340">
        <f t="shared" si="0"/>
        <v>-3.8348913124743444</v>
      </c>
      <c r="T9" s="340">
        <f t="shared" si="0"/>
        <v>-4.1333153991243075</v>
      </c>
      <c r="U9" s="340">
        <f t="shared" si="0"/>
        <v>-4.4224724853960868</v>
      </c>
      <c r="V9" s="340">
        <f t="shared" si="0"/>
        <v>-4.7023510379461122</v>
      </c>
      <c r="W9" s="340">
        <f t="shared" si="0"/>
        <v>-4.97297833045792</v>
      </c>
      <c r="X9" s="340">
        <f t="shared" si="0"/>
        <v>-5.2344157495916086</v>
      </c>
      <c r="Y9" s="340">
        <f t="shared" si="0"/>
        <v>-5.4867544781333155</v>
      </c>
      <c r="Z9" s="340">
        <f t="shared" si="0"/>
        <v>-5.7301115394585862</v>
      </c>
      <c r="AA9" s="340">
        <f t="shared" si="0"/>
        <v>-5.9646261856303955</v>
      </c>
      <c r="AB9" s="340">
        <f t="shared" si="0"/>
        <v>-6.1904566103174927</v>
      </c>
      <c r="AC9" s="340">
        <f t="shared" si="0"/>
        <v>-6.4077769671091884</v>
      </c>
      <c r="AD9" s="340">
        <f t="shared" si="0"/>
        <v>-6.6167746736096049</v>
      </c>
      <c r="AE9" s="340">
        <f t="shared" si="0"/>
        <v>-6.8176479818262914</v>
      </c>
      <c r="AF9" s="340">
        <f t="shared" si="0"/>
        <v>-7.010603795750983</v>
      </c>
      <c r="AG9" s="340">
        <f t="shared" si="0"/>
        <v>-7.1958557176012858</v>
      </c>
      <c r="AH9" s="340">
        <f t="shared" si="0"/>
        <v>-6.9909982731775635</v>
      </c>
      <c r="AI9" s="340">
        <f t="shared" si="0"/>
        <v>-6.7837244244709662</v>
      </c>
      <c r="AJ9" s="340">
        <f t="shared" si="0"/>
        <v>-6.5751155205202307</v>
      </c>
      <c r="AK9" s="340">
        <f t="shared" si="0"/>
        <v>-6.3661393366169472</v>
      </c>
      <c r="AL9" s="340">
        <f t="shared" si="0"/>
        <v>-6.1576570586190007</v>
      </c>
      <c r="AM9" s="340">
        <f t="shared" si="0"/>
        <v>-5.9504303984472635</v>
      </c>
      <c r="AN9" s="340">
        <f t="shared" si="0"/>
        <v>-5.7451287041458317</v>
      </c>
      <c r="AO9" s="340">
        <f t="shared" si="0"/>
        <v>-5.5423359588771879</v>
      </c>
      <c r="AP9" s="340">
        <f t="shared" si="0"/>
        <v>-5.3425575887197621</v>
      </c>
      <c r="AQ9" s="340">
        <f t="shared" si="0"/>
        <v>-5.1462270200158819</v>
      </c>
      <c r="AR9" s="340">
        <f t="shared" si="0"/>
        <v>-4.953711944030708</v>
      </c>
      <c r="AS9" s="340">
        <f t="shared" si="0"/>
        <v>-4.7653202604588794</v>
      </c>
      <c r="AT9" s="340">
        <f t="shared" si="0"/>
        <v>-4.5813056823914735</v>
      </c>
      <c r="AU9" s="340">
        <f t="shared" si="0"/>
        <v>-4.4018729941834973</v>
      </c>
      <c r="AV9" s="340">
        <f t="shared" si="0"/>
        <v>-4.2271829606234341</v>
      </c>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row>
    <row r="10" spans="1:135" ht="12.95" customHeight="1" x14ac:dyDescent="0.2">
      <c r="B10" s="253" t="s">
        <v>1162</v>
      </c>
      <c r="C10" s="21"/>
      <c r="D10" s="21"/>
      <c r="E10" s="21"/>
      <c r="F10" s="21" t="s">
        <v>499</v>
      </c>
      <c r="G10" s="297" t="s">
        <v>982</v>
      </c>
      <c r="H10" s="312">
        <v>0</v>
      </c>
      <c r="I10" s="340">
        <f>H10+I9</f>
        <v>-0.38262403172455495</v>
      </c>
      <c r="J10" s="340">
        <f t="shared" ref="J10:AV10" si="1">I10+J9</f>
        <v>-1.1430251286462565</v>
      </c>
      <c r="K10" s="340">
        <f t="shared" si="1"/>
        <v>-2.275498973741958</v>
      </c>
      <c r="L10" s="340">
        <f t="shared" si="1"/>
        <v>-3.7735982990818089</v>
      </c>
      <c r="M10" s="340">
        <f t="shared" si="1"/>
        <v>-5.6302392402823305</v>
      </c>
      <c r="N10" s="340">
        <f t="shared" si="1"/>
        <v>-7.8377996493955253</v>
      </c>
      <c r="O10" s="340">
        <f t="shared" si="1"/>
        <v>-10.388209493952953</v>
      </c>
      <c r="P10" s="340">
        <f t="shared" si="1"/>
        <v>-13.273033563927781</v>
      </c>
      <c r="Q10" s="340">
        <f t="shared" si="1"/>
        <v>-16.4835467777839</v>
      </c>
      <c r="R10" s="340">
        <f t="shared" si="1"/>
        <v>-20.010802428128571</v>
      </c>
      <c r="S10" s="340">
        <f t="shared" si="1"/>
        <v>-23.845693740602915</v>
      </c>
      <c r="T10" s="340">
        <f t="shared" si="1"/>
        <v>-27.979009139727221</v>
      </c>
      <c r="U10" s="340">
        <f t="shared" si="1"/>
        <v>-32.40148162512331</v>
      </c>
      <c r="V10" s="340">
        <f t="shared" si="1"/>
        <v>-37.103832663069426</v>
      </c>
      <c r="W10" s="340">
        <f t="shared" si="1"/>
        <v>-42.076810993527346</v>
      </c>
      <c r="X10" s="340">
        <f t="shared" si="1"/>
        <v>-47.311226743118951</v>
      </c>
      <c r="Y10" s="340">
        <f t="shared" si="1"/>
        <v>-52.797981221252265</v>
      </c>
      <c r="Z10" s="340">
        <f t="shared" si="1"/>
        <v>-58.528092760710848</v>
      </c>
      <c r="AA10" s="340">
        <f t="shared" si="1"/>
        <v>-64.492718946341242</v>
      </c>
      <c r="AB10" s="340">
        <f t="shared" si="1"/>
        <v>-70.683175556658739</v>
      </c>
      <c r="AC10" s="340">
        <f t="shared" si="1"/>
        <v>-77.090952523767925</v>
      </c>
      <c r="AD10" s="340">
        <f t="shared" si="1"/>
        <v>-83.707727197377523</v>
      </c>
      <c r="AE10" s="340">
        <f t="shared" si="1"/>
        <v>-90.52537517920382</v>
      </c>
      <c r="AF10" s="340">
        <f t="shared" si="1"/>
        <v>-97.535978974954801</v>
      </c>
      <c r="AG10" s="340">
        <f t="shared" si="1"/>
        <v>-104.73183469255609</v>
      </c>
      <c r="AH10" s="340">
        <f t="shared" si="1"/>
        <v>-111.72283296573366</v>
      </c>
      <c r="AI10" s="340">
        <f t="shared" si="1"/>
        <v>-118.50655739020462</v>
      </c>
      <c r="AJ10" s="340">
        <f t="shared" si="1"/>
        <v>-125.08167291072485</v>
      </c>
      <c r="AK10" s="340">
        <f t="shared" si="1"/>
        <v>-131.4478122473418</v>
      </c>
      <c r="AL10" s="340">
        <f t="shared" si="1"/>
        <v>-137.60546930596081</v>
      </c>
      <c r="AM10" s="340">
        <f t="shared" si="1"/>
        <v>-143.55589970440806</v>
      </c>
      <c r="AN10" s="340">
        <f t="shared" si="1"/>
        <v>-149.30102840855389</v>
      </c>
      <c r="AO10" s="340">
        <f t="shared" si="1"/>
        <v>-154.84336436743106</v>
      </c>
      <c r="AP10" s="340">
        <f t="shared" si="1"/>
        <v>-160.18592195615082</v>
      </c>
      <c r="AQ10" s="340">
        <f t="shared" si="1"/>
        <v>-165.33214897616671</v>
      </c>
      <c r="AR10" s="340">
        <f t="shared" si="1"/>
        <v>-170.28586092019742</v>
      </c>
      <c r="AS10" s="340">
        <f t="shared" si="1"/>
        <v>-175.0511811806563</v>
      </c>
      <c r="AT10" s="340">
        <f t="shared" si="1"/>
        <v>-179.63248686304777</v>
      </c>
      <c r="AU10" s="340">
        <f t="shared" si="1"/>
        <v>-184.03435985723127</v>
      </c>
      <c r="AV10" s="340">
        <f t="shared" si="1"/>
        <v>-188.26154281785469</v>
      </c>
    </row>
    <row r="11" spans="1:135" ht="12.95" customHeight="1" x14ac:dyDescent="0.2">
      <c r="B11" s="253" t="s">
        <v>496</v>
      </c>
      <c r="C11" s="21"/>
      <c r="D11" s="21"/>
      <c r="E11" s="21"/>
      <c r="F11" s="21" t="s">
        <v>499</v>
      </c>
      <c r="G11" s="297" t="s">
        <v>1168</v>
      </c>
      <c r="H11" s="146"/>
      <c r="I11" s="340">
        <f>I10/I16</f>
        <v>-9.4247816429186848</v>
      </c>
      <c r="J11" s="340">
        <f t="shared" ref="J11:AV11" si="2">J10/J16</f>
        <v>-14.077477310174743</v>
      </c>
      <c r="K11" s="340">
        <f t="shared" si="2"/>
        <v>-18.683336798913015</v>
      </c>
      <c r="L11" s="340">
        <f t="shared" si="2"/>
        <v>-23.237785024006502</v>
      </c>
      <c r="M11" s="340">
        <f t="shared" si="2"/>
        <v>-27.736770844154993</v>
      </c>
      <c r="N11" s="340">
        <f t="shared" si="2"/>
        <v>-32.176734048631751</v>
      </c>
      <c r="O11" s="340">
        <f t="shared" si="2"/>
        <v>-36.55457279345427</v>
      </c>
      <c r="P11" s="340">
        <f t="shared" si="2"/>
        <v>-40.867611776540336</v>
      </c>
      <c r="Q11" s="340">
        <f t="shared" si="2"/>
        <v>-45.113571373979376</v>
      </c>
      <c r="R11" s="340">
        <f t="shared" si="2"/>
        <v>-49.290537903397336</v>
      </c>
      <c r="S11" s="340">
        <f t="shared" si="2"/>
        <v>-53.396935133841652</v>
      </c>
      <c r="T11" s="340">
        <f t="shared" si="2"/>
        <v>-57.431497123218222</v>
      </c>
      <c r="U11" s="340">
        <f t="shared" si="2"/>
        <v>-61.393242432835535</v>
      </c>
      <c r="V11" s="340">
        <f t="shared" si="2"/>
        <v>-65.281449742991683</v>
      </c>
      <c r="W11" s="340">
        <f t="shared" si="2"/>
        <v>-69.095634872865915</v>
      </c>
      <c r="X11" s="340">
        <f t="shared" si="2"/>
        <v>-72.835529191470457</v>
      </c>
      <c r="Y11" s="340">
        <f t="shared" si="2"/>
        <v>-76.501059393412902</v>
      </c>
      <c r="Z11" s="340">
        <f t="shared" si="2"/>
        <v>-80.092328603146655</v>
      </c>
      <c r="AA11" s="340">
        <f t="shared" si="2"/>
        <v>-83.609598763761213</v>
      </c>
      <c r="AB11" s="340">
        <f t="shared" si="2"/>
        <v>-87.05327426077146</v>
      </c>
      <c r="AC11" s="340">
        <f t="shared" si="2"/>
        <v>-90.423886727454303</v>
      </c>
      <c r="AD11" s="340">
        <f t="shared" si="2"/>
        <v>-93.722080975754977</v>
      </c>
      <c r="AE11" s="340">
        <f t="shared" si="2"/>
        <v>-96.948601995387023</v>
      </c>
      <c r="AF11" s="340">
        <f t="shared" si="2"/>
        <v>-100.10428296327085</v>
      </c>
      <c r="AG11" s="340">
        <f t="shared" si="2"/>
        <v>-103.190034205711</v>
      </c>
      <c r="AH11" s="340">
        <f t="shared" si="2"/>
        <v>-110.07811511309659</v>
      </c>
      <c r="AI11" s="340">
        <f t="shared" si="2"/>
        <v>-116.76197353549688</v>
      </c>
      <c r="AJ11" s="340">
        <f t="shared" si="2"/>
        <v>-123.240294071566</v>
      </c>
      <c r="AK11" s="340">
        <f t="shared" si="2"/>
        <v>-129.51271484823093</v>
      </c>
      <c r="AL11" s="340">
        <f t="shared" si="2"/>
        <v>-135.57972250040467</v>
      </c>
      <c r="AM11" s="340">
        <f t="shared" si="2"/>
        <v>-141.44255416144611</v>
      </c>
      <c r="AN11" s="340">
        <f t="shared" si="2"/>
        <v>-147.10310645900989</v>
      </c>
      <c r="AO11" s="340">
        <f t="shared" si="2"/>
        <v>-152.56385140685646</v>
      </c>
      <c r="AP11" s="340">
        <f t="shared" si="2"/>
        <v>-157.82775900423914</v>
      </c>
      <c r="AQ11" s="340">
        <f t="shared" si="2"/>
        <v>-162.89822629610583</v>
      </c>
      <c r="AR11" s="340">
        <f t="shared" si="2"/>
        <v>-167.77901260573495</v>
      </c>
      <c r="AS11" s="340">
        <f t="shared" si="2"/>
        <v>-172.47418062338136</v>
      </c>
      <c r="AT11" s="340">
        <f t="shared" si="2"/>
        <v>-176.98804301737601</v>
      </c>
      <c r="AU11" s="340">
        <f t="shared" si="2"/>
        <v>-181.32511422569004</v>
      </c>
      <c r="AV11" s="340">
        <f t="shared" si="2"/>
        <v>-185.49006708439836</v>
      </c>
    </row>
    <row r="12" spans="1:135" ht="12.95" customHeight="1" x14ac:dyDescent="0.2">
      <c r="C12" s="21"/>
      <c r="D12" s="21"/>
      <c r="E12" s="21"/>
      <c r="F12" s="21"/>
      <c r="G12" s="297"/>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row>
    <row r="13" spans="1:135" ht="12.95" customHeight="1" x14ac:dyDescent="0.2">
      <c r="B13" s="121" t="s">
        <v>1171</v>
      </c>
      <c r="C13" s="21"/>
      <c r="D13" s="21"/>
      <c r="E13" s="21"/>
      <c r="F13" s="21"/>
      <c r="G13" s="297"/>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row>
    <row r="14" spans="1:135" ht="12.95" customHeight="1" x14ac:dyDescent="0.2">
      <c r="B14" s="253" t="s">
        <v>1163</v>
      </c>
      <c r="C14" s="21"/>
      <c r="D14" s="21"/>
      <c r="E14" s="21"/>
      <c r="F14" s="21"/>
      <c r="G14" s="297"/>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row>
    <row r="15" spans="1:135" ht="12.95" customHeight="1" x14ac:dyDescent="0.2">
      <c r="C15" s="21" t="s">
        <v>1164</v>
      </c>
      <c r="D15" s="21"/>
      <c r="E15" s="21"/>
      <c r="F15" s="21" t="s">
        <v>494</v>
      </c>
      <c r="G15" s="297" t="s">
        <v>1166</v>
      </c>
      <c r="H15" s="146"/>
      <c r="I15" s="146">
        <f>MIN(I23,LOG!$F$8)</f>
        <v>1</v>
      </c>
      <c r="J15" s="146">
        <f>MIN(J23,LOG!$F$8)</f>
        <v>2</v>
      </c>
      <c r="K15" s="146">
        <f>MIN(K23,LOG!$F$8)</f>
        <v>3</v>
      </c>
      <c r="L15" s="146">
        <f>MIN(L23,LOG!$F$8)</f>
        <v>4</v>
      </c>
      <c r="M15" s="146">
        <f>MIN(M23,LOG!$F$8)</f>
        <v>5</v>
      </c>
      <c r="N15" s="146">
        <f>MIN(N23,LOG!$F$8)</f>
        <v>6</v>
      </c>
      <c r="O15" s="146">
        <f>MIN(O23,LOG!$F$8)</f>
        <v>7</v>
      </c>
      <c r="P15" s="146">
        <f>MIN(P23,LOG!$F$8)</f>
        <v>8</v>
      </c>
      <c r="Q15" s="146">
        <f>MIN(Q23,LOG!$F$8)</f>
        <v>9</v>
      </c>
      <c r="R15" s="146">
        <f>MIN(R23,LOG!$F$8)</f>
        <v>10</v>
      </c>
      <c r="S15" s="146">
        <f>MIN(S23,LOG!$F$8)</f>
        <v>11</v>
      </c>
      <c r="T15" s="146">
        <f>MIN(T23,LOG!$F$8)</f>
        <v>12</v>
      </c>
      <c r="U15" s="146">
        <f>MIN(U23,LOG!$F$8)</f>
        <v>13</v>
      </c>
      <c r="V15" s="146">
        <f>MIN(V23,LOG!$F$8)</f>
        <v>14</v>
      </c>
      <c r="W15" s="146">
        <f>MIN(W23,LOG!$F$8)</f>
        <v>15</v>
      </c>
      <c r="X15" s="146">
        <f>MIN(X23,LOG!$F$8)</f>
        <v>16</v>
      </c>
      <c r="Y15" s="146">
        <f>MIN(Y23,LOG!$F$8)</f>
        <v>17</v>
      </c>
      <c r="Z15" s="146">
        <f>MIN(Z23,LOG!$F$8)</f>
        <v>18</v>
      </c>
      <c r="AA15" s="146">
        <f>MIN(AA23,LOG!$F$8)</f>
        <v>19</v>
      </c>
      <c r="AB15" s="146">
        <f>MIN(AB23,LOG!$F$8)</f>
        <v>20</v>
      </c>
      <c r="AC15" s="146">
        <f>MIN(AC23,LOG!$F$8)</f>
        <v>21</v>
      </c>
      <c r="AD15" s="146">
        <f>MIN(AD23,LOG!$F$8)</f>
        <v>22</v>
      </c>
      <c r="AE15" s="146">
        <f>MIN(AE23,LOG!$F$8)</f>
        <v>23</v>
      </c>
      <c r="AF15" s="146">
        <f>MIN(AF23,LOG!$F$8)</f>
        <v>24</v>
      </c>
      <c r="AG15" s="146">
        <f>MIN(AG23,LOG!$F$8)</f>
        <v>25</v>
      </c>
      <c r="AH15" s="146">
        <f>MIN(AH23,LOG!$F$8)</f>
        <v>25</v>
      </c>
      <c r="AI15" s="146">
        <f>MIN(AI23,LOG!$F$8)</f>
        <v>25</v>
      </c>
      <c r="AJ15" s="146">
        <f>MIN(AJ23,LOG!$F$8)</f>
        <v>25</v>
      </c>
      <c r="AK15" s="146">
        <f>MIN(AK23,LOG!$F$8)</f>
        <v>25</v>
      </c>
      <c r="AL15" s="146">
        <f>MIN(AL23,LOG!$F$8)</f>
        <v>25</v>
      </c>
      <c r="AM15" s="146">
        <f>MIN(AM23,LOG!$F$8)</f>
        <v>25</v>
      </c>
      <c r="AN15" s="146">
        <f>MIN(AN23,LOG!$F$8)</f>
        <v>25</v>
      </c>
      <c r="AO15" s="146">
        <f>MIN(AO23,LOG!$F$8)</f>
        <v>25</v>
      </c>
      <c r="AP15" s="146">
        <f>MIN(AP23,LOG!$F$8)</f>
        <v>25</v>
      </c>
      <c r="AQ15" s="146">
        <f>MIN(AQ23,LOG!$F$8)</f>
        <v>25</v>
      </c>
      <c r="AR15" s="146">
        <f>MIN(AR23,LOG!$F$8)</f>
        <v>25</v>
      </c>
      <c r="AS15" s="146">
        <f>MIN(AS23,LOG!$F$8)</f>
        <v>25</v>
      </c>
      <c r="AT15" s="146">
        <f>MIN(AT23,LOG!$F$8)</f>
        <v>25</v>
      </c>
      <c r="AU15" s="146">
        <f>MIN(AU23,LOG!$F$8)</f>
        <v>25</v>
      </c>
      <c r="AV15" s="146">
        <f>MIN(AV23,LOG!$F$8)</f>
        <v>25</v>
      </c>
    </row>
    <row r="16" spans="1:135" ht="12.95" customHeight="1" x14ac:dyDescent="0.2">
      <c r="C16" s="21" t="s">
        <v>1165</v>
      </c>
      <c r="D16" s="21"/>
      <c r="E16" s="21"/>
      <c r="F16" s="21" t="s">
        <v>492</v>
      </c>
      <c r="G16" s="297" t="s">
        <v>1167</v>
      </c>
      <c r="H16" s="146"/>
      <c r="I16" s="146">
        <f>LOG!$F$26*I15/10^6</f>
        <v>4.0597654802118383E-2</v>
      </c>
      <c r="J16" s="146">
        <f>LOG!$F$26*J15/10^6</f>
        <v>8.1195309604236765E-2</v>
      </c>
      <c r="K16" s="146">
        <f>LOG!$F$26*K15/10^6</f>
        <v>0.12179296440635515</v>
      </c>
      <c r="L16" s="146">
        <f>LOG!$F$26*L15/10^6</f>
        <v>0.16239061920847353</v>
      </c>
      <c r="M16" s="146">
        <f>LOG!$F$26*M15/10^6</f>
        <v>0.20298827401059191</v>
      </c>
      <c r="N16" s="146">
        <f>LOG!$F$26*N15/10^6</f>
        <v>0.2435859288127103</v>
      </c>
      <c r="O16" s="146">
        <f>LOG!$F$26*O15/10^6</f>
        <v>0.28418358361482871</v>
      </c>
      <c r="P16" s="146">
        <f>LOG!$F$26*P15/10^6</f>
        <v>0.32478123841694706</v>
      </c>
      <c r="Q16" s="146">
        <f>LOG!$F$26*Q15/10^6</f>
        <v>0.36537889321906547</v>
      </c>
      <c r="R16" s="146">
        <f>LOG!$F$26*R15/10^6</f>
        <v>0.40597654802118383</v>
      </c>
      <c r="S16" s="146">
        <f>LOG!$F$26*S15/10^6</f>
        <v>0.44657420282330224</v>
      </c>
      <c r="T16" s="146">
        <f>LOG!$F$26*T15/10^6</f>
        <v>0.48717185762542059</v>
      </c>
      <c r="U16" s="146">
        <f>LOG!$F$26*U15/10^6</f>
        <v>0.527769512427539</v>
      </c>
      <c r="V16" s="146">
        <f>LOG!$F$26*V15/10^6</f>
        <v>0.56836716722965741</v>
      </c>
      <c r="W16" s="146">
        <f>LOG!$F$26*W15/10^6</f>
        <v>0.60896482203177571</v>
      </c>
      <c r="X16" s="146">
        <f>LOG!$F$26*X15/10^6</f>
        <v>0.64956247683389412</v>
      </c>
      <c r="Y16" s="146">
        <f>LOG!$F$26*Y15/10^6</f>
        <v>0.69016013163601253</v>
      </c>
      <c r="Z16" s="146">
        <f>LOG!$F$26*Z15/10^6</f>
        <v>0.73075778643813094</v>
      </c>
      <c r="AA16" s="146">
        <f>LOG!$F$26*AA15/10^6</f>
        <v>0.77135544124024935</v>
      </c>
      <c r="AB16" s="146">
        <f>LOG!$F$26*AB15/10^6</f>
        <v>0.81195309604236765</v>
      </c>
      <c r="AC16" s="146">
        <f>LOG!$F$26*AC15/10^6</f>
        <v>0.85255075084448606</v>
      </c>
      <c r="AD16" s="146">
        <f>LOG!$F$26*AD15/10^6</f>
        <v>0.89314840564660447</v>
      </c>
      <c r="AE16" s="146">
        <f>LOG!$F$26*AE15/10^6</f>
        <v>0.93374606044872277</v>
      </c>
      <c r="AF16" s="146">
        <f>LOG!$F$26*AF15/10^6</f>
        <v>0.97434371525084118</v>
      </c>
      <c r="AG16" s="146">
        <f>LOG!$F$26*AG15/10^6</f>
        <v>1.0149413700529597</v>
      </c>
      <c r="AH16" s="146">
        <f>LOG!$F$26*AH15/10^6</f>
        <v>1.0149413700529597</v>
      </c>
      <c r="AI16" s="146">
        <f>LOG!$F$26*AI15/10^6</f>
        <v>1.0149413700529597</v>
      </c>
      <c r="AJ16" s="146">
        <f>LOG!$F$26*AJ15/10^6</f>
        <v>1.0149413700529597</v>
      </c>
      <c r="AK16" s="146">
        <f>LOG!$F$26*AK15/10^6</f>
        <v>1.0149413700529597</v>
      </c>
      <c r="AL16" s="146">
        <f>LOG!$F$26*AL15/10^6</f>
        <v>1.0149413700529597</v>
      </c>
      <c r="AM16" s="146">
        <f>LOG!$F$26*AM15/10^6</f>
        <v>1.0149413700529597</v>
      </c>
      <c r="AN16" s="146">
        <f>LOG!$F$26*AN15/10^6</f>
        <v>1.0149413700529597</v>
      </c>
      <c r="AO16" s="146">
        <f>LOG!$F$26*AO15/10^6</f>
        <v>1.0149413700529597</v>
      </c>
      <c r="AP16" s="146">
        <f>LOG!$F$26*AP15/10^6</f>
        <v>1.0149413700529597</v>
      </c>
      <c r="AQ16" s="146">
        <f>LOG!$F$26*AQ15/10^6</f>
        <v>1.0149413700529597</v>
      </c>
      <c r="AR16" s="146">
        <f>LOG!$F$26*AR15/10^6</f>
        <v>1.0149413700529597</v>
      </c>
      <c r="AS16" s="146">
        <f>LOG!$F$26*AS15/10^6</f>
        <v>1.0149413700529597</v>
      </c>
      <c r="AT16" s="146">
        <f>LOG!$F$26*AT15/10^6</f>
        <v>1.0149413700529597</v>
      </c>
      <c r="AU16" s="146">
        <f>LOG!$F$26*AU15/10^6</f>
        <v>1.0149413700529597</v>
      </c>
      <c r="AV16" s="146">
        <f>LOG!$F$26*AV15/10^6</f>
        <v>1.0149413700529597</v>
      </c>
    </row>
    <row r="17" spans="2:135" ht="12.95" customHeight="1" x14ac:dyDescent="0.2">
      <c r="B17" s="253" t="s">
        <v>1160</v>
      </c>
      <c r="C17" s="21"/>
      <c r="D17" s="21"/>
      <c r="E17" s="21"/>
      <c r="F17" s="21" t="s">
        <v>493</v>
      </c>
      <c r="G17" s="297" t="s">
        <v>1161</v>
      </c>
      <c r="H17" s="146"/>
      <c r="I17" s="340">
        <f>tsLOG!I256/10^6</f>
        <v>5.6030865603201E-4</v>
      </c>
      <c r="J17" s="340">
        <f>tsLOG!J256/10^6</f>
        <v>4.1615886096595892E-3</v>
      </c>
      <c r="K17" s="340">
        <f>tsLOG!K256/10^6</f>
        <v>1.3048110841019029E-2</v>
      </c>
      <c r="L17" s="340">
        <f>tsLOG!L256/10^6</f>
        <v>2.8750888883504449E-2</v>
      </c>
      <c r="M17" s="340">
        <f>tsLOG!M256/10^6</f>
        <v>5.2232548929383761E-2</v>
      </c>
      <c r="N17" s="340">
        <f>tsLOG!N256/10^6</f>
        <v>8.4007300688657346E-2</v>
      </c>
      <c r="O17" s="340">
        <f>tsLOG!O256/10^6</f>
        <v>0.12423994886002437</v>
      </c>
      <c r="P17" s="340">
        <f>tsLOG!P256/10^6</f>
        <v>0.17282728985603985</v>
      </c>
      <c r="Q17" s="340">
        <f>tsLOG!Q256/10^6</f>
        <v>0.22946473067070802</v>
      </c>
      <c r="R17" s="340">
        <f>tsLOG!R256/10^6</f>
        <v>0.2937005338557932</v>
      </c>
      <c r="S17" s="340">
        <f>tsLOG!S256/10^6</f>
        <v>0.36497972365486298</v>
      </c>
      <c r="T17" s="340">
        <f>tsLOG!T256/10^6</f>
        <v>0.44267937415248648</v>
      </c>
      <c r="U17" s="340">
        <f>tsLOG!U256/10^6</f>
        <v>0.52613673287956786</v>
      </c>
      <c r="V17" s="340">
        <f>tsLOG!V256/10^6</f>
        <v>0.61467140586377433</v>
      </c>
      <c r="W17" s="340">
        <f>tsLOG!W256/10^6</f>
        <v>0.70760263679358482</v>
      </c>
      <c r="X17" s="340">
        <f>tsLOG!X256/10^6</f>
        <v>0.80426254878143033</v>
      </c>
      <c r="Y17" s="340">
        <f>tsLOG!Y256/10^6</f>
        <v>0.90400607789085019</v>
      </c>
      <c r="Z17" s="340">
        <f>tsLOG!Z256/10^6</f>
        <v>1.0062182094764025</v>
      </c>
      <c r="AA17" s="340">
        <f>tsLOG!AA256/10^6</f>
        <v>1.1103190283437501</v>
      </c>
      <c r="AB17" s="340">
        <f>tsLOG!AB256/10^6</f>
        <v>1.2157670090946677</v>
      </c>
      <c r="AC17" s="340">
        <f>tsLOG!AC256/10^6</f>
        <v>1.3220609014897149</v>
      </c>
      <c r="AD17" s="340">
        <f>tsLOG!AD256/10^6</f>
        <v>1.4287405052847635</v>
      </c>
      <c r="AE17" s="340">
        <f>tsLOG!AE256/10^6</f>
        <v>1.5353865781061935</v>
      </c>
      <c r="AF17" s="340">
        <f>tsLOG!AF256/10^6</f>
        <v>1.641620077097214</v>
      </c>
      <c r="AG17" s="340">
        <f>tsLOG!AG256/10^6</f>
        <v>1.7471008990770442</v>
      </c>
      <c r="AH17" s="340">
        <f>tsLOG!AH256/10^6</f>
        <v>1.7471008990770442</v>
      </c>
      <c r="AI17" s="340">
        <f>tsLOG!AI256/10^6</f>
        <v>1.7471008990770442</v>
      </c>
      <c r="AJ17" s="340">
        <f>tsLOG!AJ256/10^6</f>
        <v>1.7471008990770442</v>
      </c>
      <c r="AK17" s="340">
        <f>tsLOG!AK256/10^6</f>
        <v>1.7471008990770438</v>
      </c>
      <c r="AL17" s="340">
        <f>tsLOG!AL256/10^6</f>
        <v>1.7471008990770442</v>
      </c>
      <c r="AM17" s="340">
        <f>tsLOG!AM256/10^6</f>
        <v>1.7471008990770442</v>
      </c>
      <c r="AN17" s="340">
        <f>tsLOG!AN256/10^6</f>
        <v>1.7471008990770442</v>
      </c>
      <c r="AO17" s="340">
        <f>tsLOG!AO256/10^6</f>
        <v>1.7471008990770436</v>
      </c>
      <c r="AP17" s="340">
        <f>tsLOG!AP256/10^6</f>
        <v>1.7471008990770436</v>
      </c>
      <c r="AQ17" s="340">
        <f>tsLOG!AQ256/10^6</f>
        <v>1.7471008990770436</v>
      </c>
      <c r="AR17" s="340">
        <f>tsLOG!AR256/10^6</f>
        <v>1.7471008990770436</v>
      </c>
      <c r="AS17" s="340">
        <f>tsLOG!AS256/10^6</f>
        <v>1.7471008990770436</v>
      </c>
      <c r="AT17" s="340">
        <f>tsLOG!AT256/10^6</f>
        <v>1.7471008990770438</v>
      </c>
      <c r="AU17" s="340">
        <f>tsLOG!AU256/10^6</f>
        <v>1.7471008990770438</v>
      </c>
      <c r="AV17" s="340">
        <f>tsLOG!AV256/10^6</f>
        <v>1.7471008990770436</v>
      </c>
    </row>
    <row r="18" spans="2:135" ht="12.95" customHeight="1" x14ac:dyDescent="0.2">
      <c r="C18" s="21" t="s">
        <v>515</v>
      </c>
      <c r="D18" s="21"/>
      <c r="E18" s="21"/>
      <c r="F18" s="21" t="s">
        <v>493</v>
      </c>
      <c r="G18" s="297" t="s">
        <v>982</v>
      </c>
      <c r="H18" s="312"/>
      <c r="I18" s="340">
        <f t="shared" ref="I18:AV18" si="3">-I17*c_CO2.C</f>
        <v>-2.0530220617123222E-3</v>
      </c>
      <c r="J18" s="340">
        <f t="shared" si="3"/>
        <v>-1.5248440543302518E-2</v>
      </c>
      <c r="K18" s="340">
        <f t="shared" si="3"/>
        <v>-4.7809469177198305E-2</v>
      </c>
      <c r="L18" s="340">
        <f t="shared" si="3"/>
        <v>-0.10534588130350438</v>
      </c>
      <c r="M18" s="340">
        <f t="shared" si="3"/>
        <v>-0.19138482716099064</v>
      </c>
      <c r="N18" s="340">
        <f t="shared" si="3"/>
        <v>-0.30781041806511245</v>
      </c>
      <c r="O18" s="340">
        <f t="shared" si="3"/>
        <v>-0.45522651347558141</v>
      </c>
      <c r="P18" s="340">
        <f t="shared" si="3"/>
        <v>-0.63325496602738462</v>
      </c>
      <c r="Q18" s="340">
        <f t="shared" si="3"/>
        <v>-0.84077971914274041</v>
      </c>
      <c r="R18" s="340">
        <f t="shared" si="3"/>
        <v>-1.0761455655758829</v>
      </c>
      <c r="S18" s="340">
        <f t="shared" si="3"/>
        <v>-1.3373190234960297</v>
      </c>
      <c r="T18" s="340">
        <f t="shared" si="3"/>
        <v>-1.6220176354872118</v>
      </c>
      <c r="U18" s="340">
        <f t="shared" si="3"/>
        <v>-1.9278130160053899</v>
      </c>
      <c r="V18" s="340">
        <f t="shared" si="3"/>
        <v>-2.2522121394283157</v>
      </c>
      <c r="W18" s="340">
        <f t="shared" si="3"/>
        <v>-2.5927206524898807</v>
      </c>
      <c r="X18" s="340">
        <f t="shared" si="3"/>
        <v>-2.9468913933089929</v>
      </c>
      <c r="Y18" s="340">
        <f t="shared" si="3"/>
        <v>-3.3123607887398312</v>
      </c>
      <c r="Z18" s="340">
        <f t="shared" si="3"/>
        <v>-3.6868753689818212</v>
      </c>
      <c r="AA18" s="340">
        <f t="shared" si="3"/>
        <v>-4.0683102718271797</v>
      </c>
      <c r="AB18" s="340">
        <f t="shared" si="3"/>
        <v>-4.4546812987853679</v>
      </c>
      <c r="AC18" s="340">
        <f t="shared" si="3"/>
        <v>-4.8441518232240277</v>
      </c>
      <c r="AD18" s="340">
        <f t="shared" si="3"/>
        <v>-5.235035629440743</v>
      </c>
      <c r="AE18" s="340">
        <f t="shared" si="3"/>
        <v>-5.6257965751093506</v>
      </c>
      <c r="AF18" s="340">
        <f t="shared" si="3"/>
        <v>-6.0150458126028346</v>
      </c>
      <c r="AG18" s="340">
        <f t="shared" si="3"/>
        <v>-6.4015371728215671</v>
      </c>
      <c r="AH18" s="340">
        <f t="shared" si="3"/>
        <v>-6.4015371728215671</v>
      </c>
      <c r="AI18" s="340">
        <f t="shared" si="3"/>
        <v>-6.4015371728215671</v>
      </c>
      <c r="AJ18" s="340">
        <f t="shared" si="3"/>
        <v>-6.4015371728215671</v>
      </c>
      <c r="AK18" s="340">
        <f t="shared" si="3"/>
        <v>-6.4015371728215653</v>
      </c>
      <c r="AL18" s="340">
        <f t="shared" si="3"/>
        <v>-6.4015371728215671</v>
      </c>
      <c r="AM18" s="340">
        <f t="shared" si="3"/>
        <v>-6.4015371728215671</v>
      </c>
      <c r="AN18" s="340">
        <f t="shared" si="3"/>
        <v>-6.4015371728215671</v>
      </c>
      <c r="AO18" s="340">
        <f t="shared" si="3"/>
        <v>-6.4015371728215644</v>
      </c>
      <c r="AP18" s="340">
        <f t="shared" si="3"/>
        <v>-6.4015371728215644</v>
      </c>
      <c r="AQ18" s="340">
        <f t="shared" si="3"/>
        <v>-6.4015371728215644</v>
      </c>
      <c r="AR18" s="340">
        <f t="shared" si="3"/>
        <v>-6.4015371728215644</v>
      </c>
      <c r="AS18" s="340">
        <f t="shared" si="3"/>
        <v>-6.4015371728215644</v>
      </c>
      <c r="AT18" s="340">
        <f t="shared" si="3"/>
        <v>-6.4015371728215653</v>
      </c>
      <c r="AU18" s="340">
        <f t="shared" si="3"/>
        <v>-6.4015371728215653</v>
      </c>
      <c r="AV18" s="340">
        <f t="shared" si="3"/>
        <v>-6.4015371728215644</v>
      </c>
    </row>
    <row r="19" spans="2:135" ht="12.95" customHeight="1" x14ac:dyDescent="0.2">
      <c r="B19" s="253" t="s">
        <v>1162</v>
      </c>
      <c r="C19" s="21"/>
      <c r="D19" s="21"/>
      <c r="E19" s="21"/>
      <c r="F19" s="21" t="s">
        <v>499</v>
      </c>
      <c r="G19" s="297" t="s">
        <v>982</v>
      </c>
      <c r="H19" s="312">
        <v>0</v>
      </c>
      <c r="I19" s="340">
        <f t="shared" ref="I19:AV19" si="4">H19+I18</f>
        <v>-2.0530220617123222E-3</v>
      </c>
      <c r="J19" s="340">
        <f t="shared" si="4"/>
        <v>-1.730146260501484E-2</v>
      </c>
      <c r="K19" s="340">
        <f t="shared" si="4"/>
        <v>-6.5110931782213138E-2</v>
      </c>
      <c r="L19" s="340">
        <f t="shared" si="4"/>
        <v>-0.17045681308571753</v>
      </c>
      <c r="M19" s="340">
        <f t="shared" si="4"/>
        <v>-0.36184164024670817</v>
      </c>
      <c r="N19" s="340">
        <f t="shared" si="4"/>
        <v>-0.66965205831182062</v>
      </c>
      <c r="O19" s="340">
        <f t="shared" si="4"/>
        <v>-1.1248785717874021</v>
      </c>
      <c r="P19" s="340">
        <f t="shared" si="4"/>
        <v>-1.7581335378147869</v>
      </c>
      <c r="Q19" s="340">
        <f t="shared" si="4"/>
        <v>-2.5989132569575273</v>
      </c>
      <c r="R19" s="340">
        <f t="shared" si="4"/>
        <v>-3.6750588225334102</v>
      </c>
      <c r="S19" s="340">
        <f t="shared" si="4"/>
        <v>-5.0123778460294401</v>
      </c>
      <c r="T19" s="340">
        <f t="shared" si="4"/>
        <v>-6.6343954815166519</v>
      </c>
      <c r="U19" s="340">
        <f t="shared" si="4"/>
        <v>-8.5622084975220414</v>
      </c>
      <c r="V19" s="340">
        <f t="shared" si="4"/>
        <v>-10.814420636950357</v>
      </c>
      <c r="W19" s="340">
        <f t="shared" si="4"/>
        <v>-13.407141289440238</v>
      </c>
      <c r="X19" s="340">
        <f t="shared" si="4"/>
        <v>-16.354032682749231</v>
      </c>
      <c r="Y19" s="340">
        <f t="shared" si="4"/>
        <v>-19.666393471489062</v>
      </c>
      <c r="Z19" s="340">
        <f t="shared" si="4"/>
        <v>-23.353268840470882</v>
      </c>
      <c r="AA19" s="340">
        <f t="shared" si="4"/>
        <v>-27.421579112298062</v>
      </c>
      <c r="AB19" s="340">
        <f t="shared" si="4"/>
        <v>-31.876260411083429</v>
      </c>
      <c r="AC19" s="340">
        <f t="shared" si="4"/>
        <v>-36.72041223430746</v>
      </c>
      <c r="AD19" s="340">
        <f t="shared" si="4"/>
        <v>-41.955447863748205</v>
      </c>
      <c r="AE19" s="340">
        <f t="shared" si="4"/>
        <v>-47.581244438857553</v>
      </c>
      <c r="AF19" s="340">
        <f t="shared" si="4"/>
        <v>-53.596290251460388</v>
      </c>
      <c r="AG19" s="340">
        <f t="shared" si="4"/>
        <v>-59.997827424281958</v>
      </c>
      <c r="AH19" s="340">
        <f t="shared" si="4"/>
        <v>-66.399364597103528</v>
      </c>
      <c r="AI19" s="340">
        <f t="shared" si="4"/>
        <v>-72.80090176992509</v>
      </c>
      <c r="AJ19" s="340">
        <f t="shared" si="4"/>
        <v>-79.202438942746653</v>
      </c>
      <c r="AK19" s="340">
        <f t="shared" si="4"/>
        <v>-85.603976115568216</v>
      </c>
      <c r="AL19" s="340">
        <f t="shared" si="4"/>
        <v>-92.005513288389778</v>
      </c>
      <c r="AM19" s="340">
        <f t="shared" si="4"/>
        <v>-98.407050461211341</v>
      </c>
      <c r="AN19" s="340">
        <f t="shared" si="4"/>
        <v>-104.8085876340329</v>
      </c>
      <c r="AO19" s="340">
        <f t="shared" si="4"/>
        <v>-111.21012480685447</v>
      </c>
      <c r="AP19" s="340">
        <f t="shared" si="4"/>
        <v>-117.61166197967603</v>
      </c>
      <c r="AQ19" s="340">
        <f t="shared" si="4"/>
        <v>-124.01319915249759</v>
      </c>
      <c r="AR19" s="340">
        <f t="shared" si="4"/>
        <v>-130.41473632531915</v>
      </c>
      <c r="AS19" s="340">
        <f t="shared" si="4"/>
        <v>-136.81627349814073</v>
      </c>
      <c r="AT19" s="340">
        <f t="shared" si="4"/>
        <v>-143.21781067096231</v>
      </c>
      <c r="AU19" s="340">
        <f t="shared" si="4"/>
        <v>-149.61934784378388</v>
      </c>
      <c r="AV19" s="340">
        <f t="shared" si="4"/>
        <v>-156.02088501660546</v>
      </c>
    </row>
    <row r="20" spans="2:135" ht="12.95" customHeight="1" x14ac:dyDescent="0.2">
      <c r="B20" s="253" t="s">
        <v>496</v>
      </c>
      <c r="C20" s="21"/>
      <c r="D20" s="21"/>
      <c r="E20" s="21"/>
      <c r="F20" s="21" t="s">
        <v>499</v>
      </c>
      <c r="G20" s="297" t="s">
        <v>1168</v>
      </c>
      <c r="H20" s="146"/>
      <c r="I20" s="340">
        <f>I19/I16</f>
        <v>-5.0569966952997383E-2</v>
      </c>
      <c r="J20" s="340">
        <f t="shared" ref="J20:AV20" si="5">J19/J16</f>
        <v>-0.2130845080749843</v>
      </c>
      <c r="K20" s="340">
        <f t="shared" si="5"/>
        <v>-0.53460339108730692</v>
      </c>
      <c r="L20" s="340">
        <f t="shared" si="5"/>
        <v>-1.0496715507124756</v>
      </c>
      <c r="M20" s="340">
        <f t="shared" si="5"/>
        <v>-1.7825741019297858</v>
      </c>
      <c r="N20" s="340">
        <f t="shared" si="5"/>
        <v>-2.7491409769679529</v>
      </c>
      <c r="O20" s="340">
        <f t="shared" si="5"/>
        <v>-3.9582813246243616</v>
      </c>
      <c r="P20" s="340">
        <f t="shared" si="5"/>
        <v>-5.4132854052293915</v>
      </c>
      <c r="Q20" s="340">
        <f t="shared" si="5"/>
        <v>-7.1129266227190922</v>
      </c>
      <c r="R20" s="340">
        <f t="shared" si="5"/>
        <v>-9.0523919188101623</v>
      </c>
      <c r="S20" s="340">
        <f t="shared" si="5"/>
        <v>-11.224064924351906</v>
      </c>
      <c r="T20" s="340">
        <f t="shared" si="5"/>
        <v>-13.618182942368856</v>
      </c>
      <c r="U20" s="340">
        <f t="shared" si="5"/>
        <v>-16.223385959031887</v>
      </c>
      <c r="V20" s="340">
        <f t="shared" si="5"/>
        <v>-19.027173384525618</v>
      </c>
      <c r="W20" s="340">
        <f t="shared" si="5"/>
        <v>-22.016282064878709</v>
      </c>
      <c r="X20" s="340">
        <f t="shared" si="5"/>
        <v>-25.176997234295722</v>
      </c>
      <c r="Y20" s="340">
        <f t="shared" si="5"/>
        <v>-28.495406457151066</v>
      </c>
      <c r="Z20" s="340">
        <f t="shared" si="5"/>
        <v>-31.957605206370346</v>
      </c>
      <c r="AA20" s="340">
        <f t="shared" si="5"/>
        <v>-35.549861511584552</v>
      </c>
      <c r="AB20" s="340">
        <f t="shared" si="5"/>
        <v>-39.258746061139632</v>
      </c>
      <c r="AC20" s="340">
        <f t="shared" si="5"/>
        <v>-43.071233235011995</v>
      </c>
      <c r="AD20" s="340">
        <f t="shared" si="5"/>
        <v>-46.974777762016046</v>
      </c>
      <c r="AE20" s="340">
        <f t="shared" si="5"/>
        <v>-50.957371017974438</v>
      </c>
      <c r="AF20" s="340">
        <f t="shared" si="5"/>
        <v>-55.007580397500917</v>
      </c>
      <c r="AG20" s="340">
        <f t="shared" si="5"/>
        <v>-59.114574688340142</v>
      </c>
      <c r="AH20" s="340">
        <f t="shared" si="5"/>
        <v>-65.421872195079416</v>
      </c>
      <c r="AI20" s="340">
        <f t="shared" si="5"/>
        <v>-71.729169701818677</v>
      </c>
      <c r="AJ20" s="340">
        <f t="shared" si="5"/>
        <v>-78.036467208557937</v>
      </c>
      <c r="AK20" s="340">
        <f t="shared" si="5"/>
        <v>-84.343764715297198</v>
      </c>
      <c r="AL20" s="340">
        <f t="shared" si="5"/>
        <v>-90.651062222036458</v>
      </c>
      <c r="AM20" s="340">
        <f t="shared" si="5"/>
        <v>-96.958359728775719</v>
      </c>
      <c r="AN20" s="340">
        <f t="shared" si="5"/>
        <v>-103.26565723551498</v>
      </c>
      <c r="AO20" s="340">
        <f t="shared" si="5"/>
        <v>-109.57295474225424</v>
      </c>
      <c r="AP20" s="340">
        <f t="shared" si="5"/>
        <v>-115.8802522489935</v>
      </c>
      <c r="AQ20" s="340">
        <f t="shared" si="5"/>
        <v>-122.18754975573276</v>
      </c>
      <c r="AR20" s="340">
        <f t="shared" si="5"/>
        <v>-128.49484726247204</v>
      </c>
      <c r="AS20" s="340">
        <f t="shared" si="5"/>
        <v>-134.80214476921131</v>
      </c>
      <c r="AT20" s="340">
        <f t="shared" si="5"/>
        <v>-141.10944227595058</v>
      </c>
      <c r="AU20" s="340">
        <f t="shared" si="5"/>
        <v>-147.41673978268986</v>
      </c>
      <c r="AV20" s="340">
        <f t="shared" si="5"/>
        <v>-153.72403728942913</v>
      </c>
    </row>
    <row r="21" spans="2:135" ht="12.95" customHeight="1" x14ac:dyDescent="0.2">
      <c r="C21" s="21"/>
      <c r="D21" s="21"/>
      <c r="E21" s="21"/>
      <c r="F21" s="21"/>
      <c r="G21" s="297"/>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row>
    <row r="22" spans="2:135" ht="12.95" customHeight="1" x14ac:dyDescent="0.2">
      <c r="B22" s="121" t="s">
        <v>1169</v>
      </c>
      <c r="C22" s="21"/>
      <c r="D22" s="21"/>
      <c r="E22" s="21"/>
      <c r="F22" s="21"/>
      <c r="G22" s="297"/>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row>
    <row r="23" spans="2:135" ht="12.95" customHeight="1" x14ac:dyDescent="0.2">
      <c r="G23" s="159" t="s">
        <v>497</v>
      </c>
      <c r="H23" s="93">
        <v>0</v>
      </c>
      <c r="I23" s="93">
        <v>1</v>
      </c>
      <c r="J23" s="93">
        <v>2</v>
      </c>
      <c r="K23" s="93">
        <v>3</v>
      </c>
      <c r="L23" s="93">
        <v>4</v>
      </c>
      <c r="M23" s="93">
        <v>5</v>
      </c>
      <c r="N23" s="93">
        <v>6</v>
      </c>
      <c r="O23" s="93">
        <v>7</v>
      </c>
      <c r="P23" s="93">
        <v>8</v>
      </c>
      <c r="Q23" s="93">
        <v>9</v>
      </c>
      <c r="R23" s="93">
        <v>10</v>
      </c>
      <c r="S23" s="93">
        <v>11</v>
      </c>
      <c r="T23" s="93">
        <v>12</v>
      </c>
      <c r="U23" s="93">
        <v>13</v>
      </c>
      <c r="V23" s="93">
        <v>14</v>
      </c>
      <c r="W23" s="93">
        <v>15</v>
      </c>
      <c r="X23" s="93">
        <v>16</v>
      </c>
      <c r="Y23" s="93">
        <v>17</v>
      </c>
      <c r="Z23" s="93">
        <v>18</v>
      </c>
      <c r="AA23" s="93">
        <v>19</v>
      </c>
      <c r="AB23" s="93">
        <v>20</v>
      </c>
      <c r="AC23" s="93">
        <v>21</v>
      </c>
      <c r="AD23" s="93">
        <v>22</v>
      </c>
      <c r="AE23" s="93">
        <v>23</v>
      </c>
      <c r="AF23" s="93">
        <v>24</v>
      </c>
      <c r="AG23" s="93">
        <v>25</v>
      </c>
      <c r="AH23" s="93">
        <v>26</v>
      </c>
      <c r="AI23" s="93">
        <v>27</v>
      </c>
      <c r="AJ23" s="93">
        <v>28</v>
      </c>
      <c r="AK23" s="93">
        <v>29</v>
      </c>
      <c r="AL23" s="93">
        <v>30</v>
      </c>
      <c r="AM23" s="93">
        <v>31</v>
      </c>
      <c r="AN23" s="93">
        <v>32</v>
      </c>
      <c r="AO23" s="93">
        <v>33</v>
      </c>
      <c r="AP23" s="93">
        <v>34</v>
      </c>
      <c r="AQ23" s="93">
        <v>35</v>
      </c>
      <c r="AR23" s="93">
        <v>36</v>
      </c>
      <c r="AS23" s="93">
        <v>37</v>
      </c>
      <c r="AT23" s="93">
        <v>38</v>
      </c>
      <c r="AU23" s="93">
        <v>39</v>
      </c>
      <c r="AV23" s="93">
        <v>40</v>
      </c>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row>
    <row r="24" spans="2:135" ht="12.95" customHeight="1" x14ac:dyDescent="0.2">
      <c r="C24" s="21"/>
      <c r="D24" s="21"/>
      <c r="E24" s="21"/>
      <c r="F24" s="21"/>
      <c r="G24" s="297" t="s">
        <v>484</v>
      </c>
      <c r="H24" s="146"/>
      <c r="I24" s="124">
        <f t="shared" ref="I24:AV24" si="6">I10</f>
        <v>-0.38262403172455495</v>
      </c>
      <c r="J24" s="124">
        <f t="shared" si="6"/>
        <v>-1.1430251286462565</v>
      </c>
      <c r="K24" s="124">
        <f t="shared" si="6"/>
        <v>-2.275498973741958</v>
      </c>
      <c r="L24" s="124">
        <f t="shared" si="6"/>
        <v>-3.7735982990818089</v>
      </c>
      <c r="M24" s="124">
        <f t="shared" si="6"/>
        <v>-5.6302392402823305</v>
      </c>
      <c r="N24" s="124">
        <f t="shared" si="6"/>
        <v>-7.8377996493955253</v>
      </c>
      <c r="O24" s="124">
        <f t="shared" si="6"/>
        <v>-10.388209493952953</v>
      </c>
      <c r="P24" s="124">
        <f t="shared" si="6"/>
        <v>-13.273033563927781</v>
      </c>
      <c r="Q24" s="124">
        <f t="shared" si="6"/>
        <v>-16.4835467777839</v>
      </c>
      <c r="R24" s="124">
        <f t="shared" si="6"/>
        <v>-20.010802428128571</v>
      </c>
      <c r="S24" s="124">
        <f t="shared" si="6"/>
        <v>-23.845693740602915</v>
      </c>
      <c r="T24" s="124">
        <f t="shared" si="6"/>
        <v>-27.979009139727221</v>
      </c>
      <c r="U24" s="124">
        <f t="shared" si="6"/>
        <v>-32.40148162512331</v>
      </c>
      <c r="V24" s="124">
        <f t="shared" si="6"/>
        <v>-37.103832663069426</v>
      </c>
      <c r="W24" s="124">
        <f t="shared" si="6"/>
        <v>-42.076810993527346</v>
      </c>
      <c r="X24" s="124">
        <f t="shared" si="6"/>
        <v>-47.311226743118951</v>
      </c>
      <c r="Y24" s="124">
        <f t="shared" si="6"/>
        <v>-52.797981221252265</v>
      </c>
      <c r="Z24" s="124">
        <f t="shared" si="6"/>
        <v>-58.528092760710848</v>
      </c>
      <c r="AA24" s="124">
        <f t="shared" si="6"/>
        <v>-64.492718946341242</v>
      </c>
      <c r="AB24" s="124">
        <f t="shared" si="6"/>
        <v>-70.683175556658739</v>
      </c>
      <c r="AC24" s="124">
        <f t="shared" si="6"/>
        <v>-77.090952523767925</v>
      </c>
      <c r="AD24" s="124">
        <f t="shared" si="6"/>
        <v>-83.707727197377523</v>
      </c>
      <c r="AE24" s="124">
        <f t="shared" si="6"/>
        <v>-90.52537517920382</v>
      </c>
      <c r="AF24" s="124">
        <f t="shared" si="6"/>
        <v>-97.535978974954801</v>
      </c>
      <c r="AG24" s="124">
        <f t="shared" si="6"/>
        <v>-104.73183469255609</v>
      </c>
      <c r="AH24" s="124">
        <f t="shared" si="6"/>
        <v>-111.72283296573366</v>
      </c>
      <c r="AI24" s="124">
        <f t="shared" si="6"/>
        <v>-118.50655739020462</v>
      </c>
      <c r="AJ24" s="124">
        <f t="shared" si="6"/>
        <v>-125.08167291072485</v>
      </c>
      <c r="AK24" s="124">
        <f t="shared" si="6"/>
        <v>-131.4478122473418</v>
      </c>
      <c r="AL24" s="124">
        <f t="shared" si="6"/>
        <v>-137.60546930596081</v>
      </c>
      <c r="AM24" s="124">
        <f t="shared" si="6"/>
        <v>-143.55589970440806</v>
      </c>
      <c r="AN24" s="124">
        <f t="shared" si="6"/>
        <v>-149.30102840855389</v>
      </c>
      <c r="AO24" s="124">
        <f t="shared" si="6"/>
        <v>-154.84336436743106</v>
      </c>
      <c r="AP24" s="124">
        <f t="shared" si="6"/>
        <v>-160.18592195615082</v>
      </c>
      <c r="AQ24" s="124">
        <f t="shared" si="6"/>
        <v>-165.33214897616671</v>
      </c>
      <c r="AR24" s="124">
        <f t="shared" si="6"/>
        <v>-170.28586092019742</v>
      </c>
      <c r="AS24" s="124">
        <f t="shared" si="6"/>
        <v>-175.0511811806563</v>
      </c>
      <c r="AT24" s="124">
        <f t="shared" si="6"/>
        <v>-179.63248686304777</v>
      </c>
      <c r="AU24" s="124">
        <f t="shared" si="6"/>
        <v>-184.03435985723127</v>
      </c>
      <c r="AV24" s="124">
        <f t="shared" si="6"/>
        <v>-188.26154281785469</v>
      </c>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row>
    <row r="25" spans="2:135" ht="12.95" customHeight="1" x14ac:dyDescent="0.2">
      <c r="C25" s="152"/>
      <c r="D25" s="152"/>
      <c r="E25" s="152"/>
      <c r="F25" s="152"/>
      <c r="G25" s="298" t="s">
        <v>1006</v>
      </c>
      <c r="H25" s="146"/>
      <c r="I25" s="124">
        <f t="shared" ref="I25:AV25" si="7">I19</f>
        <v>-2.0530220617123222E-3</v>
      </c>
      <c r="J25" s="124">
        <f t="shared" si="7"/>
        <v>-1.730146260501484E-2</v>
      </c>
      <c r="K25" s="124">
        <f t="shared" si="7"/>
        <v>-6.5110931782213138E-2</v>
      </c>
      <c r="L25" s="124">
        <f t="shared" si="7"/>
        <v>-0.17045681308571753</v>
      </c>
      <c r="M25" s="124">
        <f t="shared" si="7"/>
        <v>-0.36184164024670817</v>
      </c>
      <c r="N25" s="124">
        <f t="shared" si="7"/>
        <v>-0.66965205831182062</v>
      </c>
      <c r="O25" s="124">
        <f t="shared" si="7"/>
        <v>-1.1248785717874021</v>
      </c>
      <c r="P25" s="124">
        <f t="shared" si="7"/>
        <v>-1.7581335378147869</v>
      </c>
      <c r="Q25" s="124">
        <f t="shared" si="7"/>
        <v>-2.5989132569575273</v>
      </c>
      <c r="R25" s="124">
        <f t="shared" si="7"/>
        <v>-3.6750588225334102</v>
      </c>
      <c r="S25" s="124">
        <f t="shared" si="7"/>
        <v>-5.0123778460294401</v>
      </c>
      <c r="T25" s="124">
        <f t="shared" si="7"/>
        <v>-6.6343954815166519</v>
      </c>
      <c r="U25" s="124">
        <f t="shared" si="7"/>
        <v>-8.5622084975220414</v>
      </c>
      <c r="V25" s="124">
        <f t="shared" si="7"/>
        <v>-10.814420636950357</v>
      </c>
      <c r="W25" s="124">
        <f t="shared" si="7"/>
        <v>-13.407141289440238</v>
      </c>
      <c r="X25" s="124">
        <f t="shared" si="7"/>
        <v>-16.354032682749231</v>
      </c>
      <c r="Y25" s="124">
        <f t="shared" si="7"/>
        <v>-19.666393471489062</v>
      </c>
      <c r="Z25" s="124">
        <f t="shared" si="7"/>
        <v>-23.353268840470882</v>
      </c>
      <c r="AA25" s="124">
        <f t="shared" si="7"/>
        <v>-27.421579112298062</v>
      </c>
      <c r="AB25" s="124">
        <f t="shared" si="7"/>
        <v>-31.876260411083429</v>
      </c>
      <c r="AC25" s="124">
        <f t="shared" si="7"/>
        <v>-36.72041223430746</v>
      </c>
      <c r="AD25" s="124">
        <f t="shared" si="7"/>
        <v>-41.955447863748205</v>
      </c>
      <c r="AE25" s="124">
        <f t="shared" si="7"/>
        <v>-47.581244438857553</v>
      </c>
      <c r="AF25" s="124">
        <f t="shared" si="7"/>
        <v>-53.596290251460388</v>
      </c>
      <c r="AG25" s="124">
        <f t="shared" si="7"/>
        <v>-59.997827424281958</v>
      </c>
      <c r="AH25" s="124">
        <f t="shared" si="7"/>
        <v>-66.399364597103528</v>
      </c>
      <c r="AI25" s="124">
        <f t="shared" si="7"/>
        <v>-72.80090176992509</v>
      </c>
      <c r="AJ25" s="124">
        <f t="shared" si="7"/>
        <v>-79.202438942746653</v>
      </c>
      <c r="AK25" s="124">
        <f t="shared" si="7"/>
        <v>-85.603976115568216</v>
      </c>
      <c r="AL25" s="124">
        <f t="shared" si="7"/>
        <v>-92.005513288389778</v>
      </c>
      <c r="AM25" s="124">
        <f t="shared" si="7"/>
        <v>-98.407050461211341</v>
      </c>
      <c r="AN25" s="124">
        <f t="shared" si="7"/>
        <v>-104.8085876340329</v>
      </c>
      <c r="AO25" s="124">
        <f t="shared" si="7"/>
        <v>-111.21012480685447</v>
      </c>
      <c r="AP25" s="124">
        <f t="shared" si="7"/>
        <v>-117.61166197967603</v>
      </c>
      <c r="AQ25" s="124">
        <f t="shared" si="7"/>
        <v>-124.01319915249759</v>
      </c>
      <c r="AR25" s="124">
        <f t="shared" si="7"/>
        <v>-130.41473632531915</v>
      </c>
      <c r="AS25" s="124">
        <f t="shared" si="7"/>
        <v>-136.81627349814073</v>
      </c>
      <c r="AT25" s="124">
        <f t="shared" si="7"/>
        <v>-143.21781067096231</v>
      </c>
      <c r="AU25" s="124">
        <f t="shared" si="7"/>
        <v>-149.61934784378388</v>
      </c>
      <c r="AV25" s="124">
        <f t="shared" si="7"/>
        <v>-156.02088501660546</v>
      </c>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row>
    <row r="26" spans="2:135" ht="12.95" customHeight="1" x14ac:dyDescent="0.2">
      <c r="C26" s="21"/>
      <c r="D26" s="21"/>
      <c r="E26" s="21"/>
      <c r="F26" s="21"/>
      <c r="G26" s="297" t="s">
        <v>1159</v>
      </c>
      <c r="H26" s="146"/>
      <c r="I26" s="124">
        <f t="shared" ref="I26:AV26" si="8">I25-I24</f>
        <v>0.38057100966284263</v>
      </c>
      <c r="J26" s="124">
        <f t="shared" si="8"/>
        <v>1.1257236660412417</v>
      </c>
      <c r="K26" s="124">
        <f t="shared" si="8"/>
        <v>2.210388041959745</v>
      </c>
      <c r="L26" s="124">
        <f t="shared" si="8"/>
        <v>3.6031414859960913</v>
      </c>
      <c r="M26" s="124">
        <f t="shared" si="8"/>
        <v>5.2683976000356223</v>
      </c>
      <c r="N26" s="124">
        <f t="shared" si="8"/>
        <v>7.1681475910837049</v>
      </c>
      <c r="O26" s="124">
        <f t="shared" si="8"/>
        <v>9.2633309221655509</v>
      </c>
      <c r="P26" s="124">
        <f t="shared" si="8"/>
        <v>11.514900026112993</v>
      </c>
      <c r="Q26" s="124">
        <f t="shared" si="8"/>
        <v>13.884633520826373</v>
      </c>
      <c r="R26" s="124">
        <f t="shared" si="8"/>
        <v>16.335743605595162</v>
      </c>
      <c r="S26" s="124">
        <f t="shared" si="8"/>
        <v>18.833315894573474</v>
      </c>
      <c r="T26" s="124">
        <f t="shared" si="8"/>
        <v>21.344613658210569</v>
      </c>
      <c r="U26" s="124">
        <f t="shared" si="8"/>
        <v>23.839273127601267</v>
      </c>
      <c r="V26" s="124">
        <f t="shared" si="8"/>
        <v>26.289412026119066</v>
      </c>
      <c r="W26" s="124">
        <f t="shared" si="8"/>
        <v>28.669669704087106</v>
      </c>
      <c r="X26" s="124">
        <f t="shared" si="8"/>
        <v>30.957194060369719</v>
      </c>
      <c r="Y26" s="124">
        <f t="shared" si="8"/>
        <v>33.131587749763199</v>
      </c>
      <c r="Z26" s="124">
        <f t="shared" si="8"/>
        <v>35.174823920239966</v>
      </c>
      <c r="AA26" s="124">
        <f t="shared" si="8"/>
        <v>37.07113983404318</v>
      </c>
      <c r="AB26" s="124">
        <f t="shared" si="8"/>
        <v>38.80691514557531</v>
      </c>
      <c r="AC26" s="124">
        <f t="shared" si="8"/>
        <v>40.370540289460465</v>
      </c>
      <c r="AD26" s="124">
        <f t="shared" si="8"/>
        <v>41.752279333629318</v>
      </c>
      <c r="AE26" s="124">
        <f t="shared" si="8"/>
        <v>42.944130740346267</v>
      </c>
      <c r="AF26" s="124">
        <f t="shared" si="8"/>
        <v>43.939688723494413</v>
      </c>
      <c r="AG26" s="124">
        <f t="shared" si="8"/>
        <v>44.734007268274134</v>
      </c>
      <c r="AH26" s="124">
        <f t="shared" si="8"/>
        <v>45.323468368630131</v>
      </c>
      <c r="AI26" s="124">
        <f t="shared" si="8"/>
        <v>45.705655620279529</v>
      </c>
      <c r="AJ26" s="124">
        <f t="shared" si="8"/>
        <v>45.879233967978195</v>
      </c>
      <c r="AK26" s="124">
        <f t="shared" si="8"/>
        <v>45.843836131773585</v>
      </c>
      <c r="AL26" s="124">
        <f t="shared" si="8"/>
        <v>45.599956017571031</v>
      </c>
      <c r="AM26" s="124">
        <f t="shared" si="8"/>
        <v>45.148849243196722</v>
      </c>
      <c r="AN26" s="124">
        <f t="shared" si="8"/>
        <v>44.492440774520986</v>
      </c>
      <c r="AO26" s="124">
        <f t="shared" si="8"/>
        <v>43.633239560576598</v>
      </c>
      <c r="AP26" s="124">
        <f t="shared" si="8"/>
        <v>42.574259976474792</v>
      </c>
      <c r="AQ26" s="124">
        <f t="shared" si="8"/>
        <v>41.318949823669115</v>
      </c>
      <c r="AR26" s="124">
        <f t="shared" si="8"/>
        <v>39.871124594878268</v>
      </c>
      <c r="AS26" s="124">
        <f t="shared" si="8"/>
        <v>38.234907682515569</v>
      </c>
      <c r="AT26" s="124">
        <f t="shared" si="8"/>
        <v>36.414676192085466</v>
      </c>
      <c r="AU26" s="124">
        <f t="shared" si="8"/>
        <v>34.415012013447381</v>
      </c>
      <c r="AV26" s="124">
        <f t="shared" si="8"/>
        <v>32.240657801249228</v>
      </c>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row>
    <row r="27" spans="2:135" ht="12.95" customHeight="1" x14ac:dyDescent="0.2">
      <c r="H27" s="253"/>
      <c r="I27" s="253"/>
    </row>
    <row r="28" spans="2:135" ht="12.95" customHeight="1" x14ac:dyDescent="0.2">
      <c r="H28" s="253"/>
      <c r="I28" s="253"/>
    </row>
    <row r="29" spans="2:135" ht="12.95" customHeight="1" x14ac:dyDescent="0.2">
      <c r="H29" s="253"/>
      <c r="I29" s="253"/>
    </row>
    <row r="30" spans="2:135" ht="12.95" customHeight="1" x14ac:dyDescent="0.2">
      <c r="H30" s="253"/>
      <c r="I30" s="253"/>
    </row>
    <row r="31" spans="2:135" ht="12.95" customHeight="1" x14ac:dyDescent="0.2">
      <c r="H31" s="253"/>
      <c r="I31" s="253"/>
      <c r="W31" s="203"/>
    </row>
    <row r="32" spans="2:135" ht="12.95" customHeight="1" x14ac:dyDescent="0.2">
      <c r="H32" s="253"/>
      <c r="I32" s="253"/>
    </row>
    <row r="33" spans="2:48" ht="12.95" customHeight="1" x14ac:dyDescent="0.2">
      <c r="H33" s="253"/>
      <c r="I33" s="253"/>
    </row>
    <row r="34" spans="2:48" ht="12.95" customHeight="1" x14ac:dyDescent="0.2">
      <c r="H34" s="253"/>
      <c r="I34" s="253"/>
    </row>
    <row r="35" spans="2:48" ht="12.95" customHeight="1" x14ac:dyDescent="0.2">
      <c r="H35" s="253"/>
      <c r="I35" s="253"/>
    </row>
    <row r="36" spans="2:48" ht="12.95" customHeight="1" x14ac:dyDescent="0.2">
      <c r="H36" s="253"/>
      <c r="I36" s="253"/>
    </row>
    <row r="37" spans="2:48" ht="12.95" customHeight="1" x14ac:dyDescent="0.2">
      <c r="H37" s="253"/>
      <c r="I37" s="253"/>
    </row>
    <row r="38" spans="2:48" ht="12.95" customHeight="1" x14ac:dyDescent="0.2">
      <c r="H38" s="253"/>
      <c r="I38" s="253"/>
    </row>
    <row r="39" spans="2:48" ht="12.95" customHeight="1" x14ac:dyDescent="0.2">
      <c r="H39" s="253"/>
      <c r="I39" s="253"/>
    </row>
    <row r="40" spans="2:48" ht="12.95" customHeight="1" x14ac:dyDescent="0.2">
      <c r="H40" s="253"/>
      <c r="I40" s="253"/>
    </row>
    <row r="41" spans="2:48" ht="12.95" customHeight="1" x14ac:dyDescent="0.2">
      <c r="H41" s="253"/>
      <c r="I41" s="253"/>
    </row>
    <row r="42" spans="2:48" ht="12.95" customHeight="1" x14ac:dyDescent="0.2">
      <c r="H42" s="253"/>
      <c r="I42" s="253"/>
    </row>
    <row r="43" spans="2:48" ht="12.95" customHeight="1" x14ac:dyDescent="0.2">
      <c r="H43" s="253"/>
      <c r="I43" s="253"/>
    </row>
    <row r="44" spans="2:48" ht="12.95" customHeight="1" x14ac:dyDescent="0.2">
      <c r="C44" s="21"/>
      <c r="D44" s="21"/>
      <c r="E44" s="21"/>
      <c r="F44" s="21"/>
      <c r="G44" s="297"/>
      <c r="H44" s="146"/>
      <c r="I44" s="146"/>
      <c r="J44" s="146"/>
      <c r="K44" s="146"/>
      <c r="L44" s="146"/>
      <c r="M44" s="146"/>
      <c r="N44" s="146"/>
      <c r="O44" s="146"/>
      <c r="P44" s="146"/>
      <c r="Q44" s="146"/>
      <c r="R44" s="146"/>
      <c r="S44" s="146"/>
      <c r="T44" s="146"/>
      <c r="U44" s="146"/>
      <c r="V44" s="146"/>
      <c r="W44" s="146"/>
      <c r="X44" s="146"/>
      <c r="Y44" s="146"/>
      <c r="Z44" s="146"/>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row>
    <row r="45" spans="2:48" ht="12.95" customHeight="1" x14ac:dyDescent="0.2">
      <c r="B45" s="121" t="s">
        <v>1170</v>
      </c>
      <c r="C45" s="21"/>
      <c r="D45" s="21"/>
      <c r="E45" s="21"/>
      <c r="F45" s="21"/>
      <c r="G45" s="297"/>
      <c r="H45" s="146"/>
      <c r="I45" s="146"/>
      <c r="J45" s="146"/>
      <c r="K45" s="146"/>
      <c r="L45" s="146"/>
      <c r="M45" s="146"/>
      <c r="N45" s="146"/>
      <c r="O45" s="146"/>
      <c r="P45" s="146"/>
      <c r="Q45" s="146"/>
      <c r="R45" s="146"/>
      <c r="S45" s="146"/>
      <c r="T45" s="146"/>
      <c r="U45" s="146"/>
      <c r="V45" s="146"/>
      <c r="W45" s="146"/>
      <c r="X45" s="146"/>
      <c r="Y45" s="146"/>
      <c r="Z45" s="146"/>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row>
    <row r="46" spans="2:48" ht="12.95" customHeight="1" x14ac:dyDescent="0.2">
      <c r="G46" s="159" t="s">
        <v>497</v>
      </c>
      <c r="H46" s="93">
        <v>0</v>
      </c>
      <c r="I46" s="93">
        <v>1</v>
      </c>
      <c r="J46" s="93">
        <v>2</v>
      </c>
      <c r="K46" s="93">
        <v>3</v>
      </c>
      <c r="L46" s="93">
        <v>4</v>
      </c>
      <c r="M46" s="93">
        <v>5</v>
      </c>
      <c r="N46" s="93">
        <v>6</v>
      </c>
      <c r="O46" s="93">
        <v>7</v>
      </c>
      <c r="P46" s="93">
        <v>8</v>
      </c>
      <c r="Q46" s="93">
        <v>9</v>
      </c>
      <c r="R46" s="93">
        <v>10</v>
      </c>
      <c r="S46" s="93">
        <v>11</v>
      </c>
      <c r="T46" s="93">
        <v>12</v>
      </c>
      <c r="U46" s="93">
        <v>13</v>
      </c>
      <c r="V46" s="93">
        <v>14</v>
      </c>
      <c r="W46" s="93">
        <v>15</v>
      </c>
      <c r="X46" s="93">
        <v>16</v>
      </c>
      <c r="Y46" s="93">
        <v>17</v>
      </c>
      <c r="Z46" s="93">
        <v>18</v>
      </c>
      <c r="AA46" s="93">
        <v>19</v>
      </c>
      <c r="AB46" s="93">
        <v>20</v>
      </c>
      <c r="AC46" s="93">
        <v>21</v>
      </c>
      <c r="AD46" s="93">
        <v>22</v>
      </c>
      <c r="AE46" s="93">
        <v>23</v>
      </c>
      <c r="AF46" s="93">
        <v>24</v>
      </c>
      <c r="AG46" s="93">
        <v>25</v>
      </c>
      <c r="AH46" s="93">
        <v>26</v>
      </c>
      <c r="AI46" s="93">
        <v>27</v>
      </c>
      <c r="AJ46" s="93">
        <v>28</v>
      </c>
      <c r="AK46" s="93">
        <v>29</v>
      </c>
      <c r="AL46" s="93">
        <v>30</v>
      </c>
      <c r="AM46" s="93">
        <v>31</v>
      </c>
      <c r="AN46" s="93">
        <v>32</v>
      </c>
      <c r="AO46" s="93">
        <v>33</v>
      </c>
      <c r="AP46" s="93">
        <v>34</v>
      </c>
      <c r="AQ46" s="93">
        <v>35</v>
      </c>
      <c r="AR46" s="93">
        <v>36</v>
      </c>
      <c r="AS46" s="93">
        <v>37</v>
      </c>
      <c r="AT46" s="93">
        <v>38</v>
      </c>
      <c r="AU46" s="93">
        <v>39</v>
      </c>
      <c r="AV46" s="93">
        <v>40</v>
      </c>
    </row>
    <row r="47" spans="2:48" ht="12.95" customHeight="1" x14ac:dyDescent="0.2">
      <c r="C47" s="21"/>
      <c r="D47" s="21"/>
      <c r="E47" s="21"/>
      <c r="F47" s="21"/>
      <c r="G47" s="297" t="s">
        <v>484</v>
      </c>
      <c r="H47" s="146"/>
      <c r="I47" s="146">
        <f>I11</f>
        <v>-9.4247816429186848</v>
      </c>
      <c r="J47" s="146">
        <f t="shared" ref="J47:AV47" si="9">J11</f>
        <v>-14.077477310174743</v>
      </c>
      <c r="K47" s="146">
        <f t="shared" si="9"/>
        <v>-18.683336798913015</v>
      </c>
      <c r="L47" s="146">
        <f t="shared" si="9"/>
        <v>-23.237785024006502</v>
      </c>
      <c r="M47" s="146">
        <f t="shared" si="9"/>
        <v>-27.736770844154993</v>
      </c>
      <c r="N47" s="146">
        <f t="shared" si="9"/>
        <v>-32.176734048631751</v>
      </c>
      <c r="O47" s="146">
        <f t="shared" si="9"/>
        <v>-36.55457279345427</v>
      </c>
      <c r="P47" s="146">
        <f t="shared" si="9"/>
        <v>-40.867611776540336</v>
      </c>
      <c r="Q47" s="146">
        <f t="shared" si="9"/>
        <v>-45.113571373979376</v>
      </c>
      <c r="R47" s="146">
        <f t="shared" si="9"/>
        <v>-49.290537903397336</v>
      </c>
      <c r="S47" s="146">
        <f t="shared" si="9"/>
        <v>-53.396935133841652</v>
      </c>
      <c r="T47" s="146">
        <f t="shared" si="9"/>
        <v>-57.431497123218222</v>
      </c>
      <c r="U47" s="146">
        <f t="shared" si="9"/>
        <v>-61.393242432835535</v>
      </c>
      <c r="V47" s="146">
        <f t="shared" si="9"/>
        <v>-65.281449742991683</v>
      </c>
      <c r="W47" s="146">
        <f t="shared" si="9"/>
        <v>-69.095634872865915</v>
      </c>
      <c r="X47" s="146">
        <f t="shared" si="9"/>
        <v>-72.835529191470457</v>
      </c>
      <c r="Y47" s="146">
        <f t="shared" si="9"/>
        <v>-76.501059393412902</v>
      </c>
      <c r="Z47" s="146">
        <f t="shared" si="9"/>
        <v>-80.092328603146655</v>
      </c>
      <c r="AA47" s="146">
        <f t="shared" si="9"/>
        <v>-83.609598763761213</v>
      </c>
      <c r="AB47" s="146">
        <f t="shared" si="9"/>
        <v>-87.05327426077146</v>
      </c>
      <c r="AC47" s="146">
        <f t="shared" si="9"/>
        <v>-90.423886727454303</v>
      </c>
      <c r="AD47" s="146">
        <f t="shared" si="9"/>
        <v>-93.722080975754977</v>
      </c>
      <c r="AE47" s="146">
        <f t="shared" si="9"/>
        <v>-96.948601995387023</v>
      </c>
      <c r="AF47" s="146">
        <f t="shared" si="9"/>
        <v>-100.10428296327085</v>
      </c>
      <c r="AG47" s="146">
        <f t="shared" si="9"/>
        <v>-103.190034205711</v>
      </c>
      <c r="AH47" s="146">
        <f t="shared" si="9"/>
        <v>-110.07811511309659</v>
      </c>
      <c r="AI47" s="146">
        <f t="shared" si="9"/>
        <v>-116.76197353549688</v>
      </c>
      <c r="AJ47" s="146">
        <f t="shared" si="9"/>
        <v>-123.240294071566</v>
      </c>
      <c r="AK47" s="146">
        <f t="shared" si="9"/>
        <v>-129.51271484823093</v>
      </c>
      <c r="AL47" s="146">
        <f t="shared" si="9"/>
        <v>-135.57972250040467</v>
      </c>
      <c r="AM47" s="146">
        <f t="shared" si="9"/>
        <v>-141.44255416144611</v>
      </c>
      <c r="AN47" s="146">
        <f t="shared" si="9"/>
        <v>-147.10310645900989</v>
      </c>
      <c r="AO47" s="146">
        <f t="shared" si="9"/>
        <v>-152.56385140685646</v>
      </c>
      <c r="AP47" s="146">
        <f t="shared" si="9"/>
        <v>-157.82775900423914</v>
      </c>
      <c r="AQ47" s="146">
        <f t="shared" si="9"/>
        <v>-162.89822629610583</v>
      </c>
      <c r="AR47" s="146">
        <f t="shared" si="9"/>
        <v>-167.77901260573495</v>
      </c>
      <c r="AS47" s="146">
        <f t="shared" si="9"/>
        <v>-172.47418062338136</v>
      </c>
      <c r="AT47" s="146">
        <f t="shared" si="9"/>
        <v>-176.98804301737601</v>
      </c>
      <c r="AU47" s="146">
        <f t="shared" si="9"/>
        <v>-181.32511422569004</v>
      </c>
      <c r="AV47" s="146">
        <f t="shared" si="9"/>
        <v>-185.49006708439836</v>
      </c>
    </row>
    <row r="48" spans="2:48" ht="12.95" customHeight="1" x14ac:dyDescent="0.2">
      <c r="C48" s="152"/>
      <c r="D48" s="152"/>
      <c r="E48" s="152"/>
      <c r="F48" s="152"/>
      <c r="G48" s="298" t="s">
        <v>1006</v>
      </c>
      <c r="H48" s="146"/>
      <c r="I48" s="146">
        <f>I20</f>
        <v>-5.0569966952997383E-2</v>
      </c>
      <c r="J48" s="146">
        <f t="shared" ref="J48:AV48" si="10">J20</f>
        <v>-0.2130845080749843</v>
      </c>
      <c r="K48" s="146">
        <f t="shared" si="10"/>
        <v>-0.53460339108730692</v>
      </c>
      <c r="L48" s="146">
        <f t="shared" si="10"/>
        <v>-1.0496715507124756</v>
      </c>
      <c r="M48" s="146">
        <f t="shared" si="10"/>
        <v>-1.7825741019297858</v>
      </c>
      <c r="N48" s="146">
        <f t="shared" si="10"/>
        <v>-2.7491409769679529</v>
      </c>
      <c r="O48" s="146">
        <f t="shared" si="10"/>
        <v>-3.9582813246243616</v>
      </c>
      <c r="P48" s="146">
        <f t="shared" si="10"/>
        <v>-5.4132854052293915</v>
      </c>
      <c r="Q48" s="146">
        <f t="shared" si="10"/>
        <v>-7.1129266227190922</v>
      </c>
      <c r="R48" s="146">
        <f t="shared" si="10"/>
        <v>-9.0523919188101623</v>
      </c>
      <c r="S48" s="146">
        <f t="shared" si="10"/>
        <v>-11.224064924351906</v>
      </c>
      <c r="T48" s="146">
        <f t="shared" si="10"/>
        <v>-13.618182942368856</v>
      </c>
      <c r="U48" s="146">
        <f t="shared" si="10"/>
        <v>-16.223385959031887</v>
      </c>
      <c r="V48" s="146">
        <f t="shared" si="10"/>
        <v>-19.027173384525618</v>
      </c>
      <c r="W48" s="146">
        <f t="shared" si="10"/>
        <v>-22.016282064878709</v>
      </c>
      <c r="X48" s="146">
        <f t="shared" si="10"/>
        <v>-25.176997234295722</v>
      </c>
      <c r="Y48" s="146">
        <f t="shared" si="10"/>
        <v>-28.495406457151066</v>
      </c>
      <c r="Z48" s="146">
        <f t="shared" si="10"/>
        <v>-31.957605206370346</v>
      </c>
      <c r="AA48" s="146">
        <f t="shared" si="10"/>
        <v>-35.549861511584552</v>
      </c>
      <c r="AB48" s="146">
        <f t="shared" si="10"/>
        <v>-39.258746061139632</v>
      </c>
      <c r="AC48" s="146">
        <f t="shared" si="10"/>
        <v>-43.071233235011995</v>
      </c>
      <c r="AD48" s="146">
        <f t="shared" si="10"/>
        <v>-46.974777762016046</v>
      </c>
      <c r="AE48" s="146">
        <f t="shared" si="10"/>
        <v>-50.957371017974438</v>
      </c>
      <c r="AF48" s="146">
        <f t="shared" si="10"/>
        <v>-55.007580397500917</v>
      </c>
      <c r="AG48" s="146">
        <f t="shared" si="10"/>
        <v>-59.114574688340142</v>
      </c>
      <c r="AH48" s="146">
        <f t="shared" si="10"/>
        <v>-65.421872195079416</v>
      </c>
      <c r="AI48" s="146">
        <f t="shared" si="10"/>
        <v>-71.729169701818677</v>
      </c>
      <c r="AJ48" s="146">
        <f t="shared" si="10"/>
        <v>-78.036467208557937</v>
      </c>
      <c r="AK48" s="146">
        <f t="shared" si="10"/>
        <v>-84.343764715297198</v>
      </c>
      <c r="AL48" s="146">
        <f t="shared" si="10"/>
        <v>-90.651062222036458</v>
      </c>
      <c r="AM48" s="146">
        <f t="shared" si="10"/>
        <v>-96.958359728775719</v>
      </c>
      <c r="AN48" s="146">
        <f t="shared" si="10"/>
        <v>-103.26565723551498</v>
      </c>
      <c r="AO48" s="146">
        <f t="shared" si="10"/>
        <v>-109.57295474225424</v>
      </c>
      <c r="AP48" s="146">
        <f t="shared" si="10"/>
        <v>-115.8802522489935</v>
      </c>
      <c r="AQ48" s="146">
        <f t="shared" si="10"/>
        <v>-122.18754975573276</v>
      </c>
      <c r="AR48" s="146">
        <f t="shared" si="10"/>
        <v>-128.49484726247204</v>
      </c>
      <c r="AS48" s="146">
        <f t="shared" si="10"/>
        <v>-134.80214476921131</v>
      </c>
      <c r="AT48" s="146">
        <f t="shared" si="10"/>
        <v>-141.10944227595058</v>
      </c>
      <c r="AU48" s="146">
        <f t="shared" si="10"/>
        <v>-147.41673978268986</v>
      </c>
      <c r="AV48" s="146">
        <f t="shared" si="10"/>
        <v>-153.72403728942913</v>
      </c>
    </row>
    <row r="49" spans="3:48" ht="12.95" customHeight="1" x14ac:dyDescent="0.2">
      <c r="C49" s="21"/>
      <c r="D49" s="21"/>
      <c r="E49" s="21"/>
      <c r="F49" s="21"/>
      <c r="G49" s="297" t="s">
        <v>1159</v>
      </c>
      <c r="H49" s="146"/>
      <c r="I49" s="146">
        <f>I48-I47</f>
        <v>9.3742116759656877</v>
      </c>
      <c r="J49" s="146">
        <f t="shared" ref="J49:AV49" si="11">J48-J47</f>
        <v>13.864392802099758</v>
      </c>
      <c r="K49" s="146">
        <f t="shared" si="11"/>
        <v>18.148733407825709</v>
      </c>
      <c r="L49" s="146">
        <f t="shared" si="11"/>
        <v>22.188113473294028</v>
      </c>
      <c r="M49" s="146">
        <f t="shared" si="11"/>
        <v>25.954196742225207</v>
      </c>
      <c r="N49" s="146">
        <f t="shared" si="11"/>
        <v>29.427593071663797</v>
      </c>
      <c r="O49" s="146">
        <f t="shared" si="11"/>
        <v>32.596291468829911</v>
      </c>
      <c r="P49" s="146">
        <f t="shared" si="11"/>
        <v>35.454326371310941</v>
      </c>
      <c r="Q49" s="146">
        <f t="shared" si="11"/>
        <v>38.000644751260282</v>
      </c>
      <c r="R49" s="146">
        <f t="shared" si="11"/>
        <v>40.238145984587177</v>
      </c>
      <c r="S49" s="146">
        <f t="shared" si="11"/>
        <v>42.172870209489744</v>
      </c>
      <c r="T49" s="146">
        <f t="shared" si="11"/>
        <v>43.813314180849368</v>
      </c>
      <c r="U49" s="146">
        <f t="shared" si="11"/>
        <v>45.169856473803648</v>
      </c>
      <c r="V49" s="146">
        <f t="shared" si="11"/>
        <v>46.254276358466065</v>
      </c>
      <c r="W49" s="146">
        <f t="shared" si="11"/>
        <v>47.079352807987206</v>
      </c>
      <c r="X49" s="146">
        <f t="shared" si="11"/>
        <v>47.658531957174731</v>
      </c>
      <c r="Y49" s="146">
        <f t="shared" si="11"/>
        <v>48.005652936261839</v>
      </c>
      <c r="Z49" s="146">
        <f t="shared" si="11"/>
        <v>48.134723396776309</v>
      </c>
      <c r="AA49" s="146">
        <f t="shared" si="11"/>
        <v>48.05973725217666</v>
      </c>
      <c r="AB49" s="146">
        <f t="shared" si="11"/>
        <v>47.794528199631827</v>
      </c>
      <c r="AC49" s="146">
        <f t="shared" si="11"/>
        <v>47.352653492442307</v>
      </c>
      <c r="AD49" s="146">
        <f t="shared" si="11"/>
        <v>46.747303213738931</v>
      </c>
      <c r="AE49" s="146">
        <f t="shared" si="11"/>
        <v>45.991230977412584</v>
      </c>
      <c r="AF49" s="146">
        <f t="shared" si="11"/>
        <v>45.096702565769931</v>
      </c>
      <c r="AG49" s="146">
        <f t="shared" si="11"/>
        <v>44.075459517370859</v>
      </c>
      <c r="AH49" s="146">
        <f t="shared" si="11"/>
        <v>44.65624291801717</v>
      </c>
      <c r="AI49" s="146">
        <f t="shared" si="11"/>
        <v>45.032803833678201</v>
      </c>
      <c r="AJ49" s="146">
        <f t="shared" si="11"/>
        <v>45.203826863008061</v>
      </c>
      <c r="AK49" s="146">
        <f t="shared" si="11"/>
        <v>45.16895013293373</v>
      </c>
      <c r="AL49" s="146">
        <f t="shared" si="11"/>
        <v>44.928660278368213</v>
      </c>
      <c r="AM49" s="146">
        <f t="shared" si="11"/>
        <v>44.484194432670392</v>
      </c>
      <c r="AN49" s="146">
        <f t="shared" si="11"/>
        <v>43.837449223494914</v>
      </c>
      <c r="AO49" s="146">
        <f t="shared" si="11"/>
        <v>42.990896664602218</v>
      </c>
      <c r="AP49" s="146">
        <f t="shared" si="11"/>
        <v>41.947506755245641</v>
      </c>
      <c r="AQ49" s="146">
        <f t="shared" si="11"/>
        <v>40.710676540373072</v>
      </c>
      <c r="AR49" s="146">
        <f t="shared" si="11"/>
        <v>39.284165343262913</v>
      </c>
      <c r="AS49" s="146">
        <f t="shared" si="11"/>
        <v>37.672035854170048</v>
      </c>
      <c r="AT49" s="146">
        <f t="shared" si="11"/>
        <v>35.87860074142543</v>
      </c>
      <c r="AU49" s="146">
        <f t="shared" si="11"/>
        <v>33.908374443000184</v>
      </c>
      <c r="AV49" s="146">
        <f t="shared" si="11"/>
        <v>31.766029794969228</v>
      </c>
    </row>
    <row r="50" spans="3:48" ht="12.95" customHeight="1" x14ac:dyDescent="0.2">
      <c r="H50" s="253"/>
      <c r="I50" s="253"/>
    </row>
    <row r="51" spans="3:48" ht="12.95" customHeight="1" x14ac:dyDescent="0.2">
      <c r="H51" s="253"/>
      <c r="I51" s="253"/>
    </row>
    <row r="52" spans="3:48" ht="12.95" customHeight="1" x14ac:dyDescent="0.2">
      <c r="H52" s="253"/>
      <c r="I52" s="253"/>
    </row>
    <row r="53" spans="3:48" ht="12.95" customHeight="1" x14ac:dyDescent="0.2">
      <c r="H53" s="253"/>
      <c r="I53" s="253"/>
    </row>
    <row r="54" spans="3:48" ht="12.95" customHeight="1" x14ac:dyDescent="0.2">
      <c r="H54" s="253"/>
      <c r="I54" s="253"/>
      <c r="W54" s="203"/>
    </row>
    <row r="55" spans="3:48" ht="12.95" customHeight="1" x14ac:dyDescent="0.2">
      <c r="H55" s="253"/>
      <c r="I55" s="253"/>
    </row>
    <row r="56" spans="3:48" ht="12.95" customHeight="1" x14ac:dyDescent="0.2">
      <c r="H56" s="253"/>
      <c r="I56" s="253"/>
    </row>
    <row r="57" spans="3:48" ht="12.95" customHeight="1" x14ac:dyDescent="0.2">
      <c r="H57" s="253"/>
      <c r="I57" s="253"/>
    </row>
    <row r="58" spans="3:48" ht="12.95" customHeight="1" x14ac:dyDescent="0.2">
      <c r="H58" s="253"/>
      <c r="I58" s="253"/>
    </row>
    <row r="59" spans="3:48" ht="12.95" customHeight="1" x14ac:dyDescent="0.2">
      <c r="H59" s="253"/>
      <c r="I59" s="253"/>
    </row>
    <row r="60" spans="3:48" ht="12.95" customHeight="1" x14ac:dyDescent="0.2">
      <c r="H60" s="253"/>
      <c r="I60" s="253"/>
    </row>
    <row r="61" spans="3:48" ht="12.95" customHeight="1" x14ac:dyDescent="0.2">
      <c r="H61" s="253"/>
      <c r="I61" s="253"/>
    </row>
    <row r="62" spans="3:48" ht="12.95" customHeight="1" x14ac:dyDescent="0.2">
      <c r="H62" s="253"/>
      <c r="I62" s="253"/>
    </row>
    <row r="63" spans="3:48" ht="12.95" customHeight="1" x14ac:dyDescent="0.2">
      <c r="H63" s="253"/>
      <c r="I63" s="253"/>
    </row>
    <row r="64" spans="3:48" ht="12.95" customHeight="1" x14ac:dyDescent="0.2">
      <c r="H64" s="253"/>
      <c r="I64" s="253"/>
    </row>
    <row r="65" s="253" customFormat="1" ht="12.95" customHeight="1" x14ac:dyDescent="0.2"/>
    <row r="66" s="253" customFormat="1" ht="12.95" customHeight="1" x14ac:dyDescent="0.2"/>
    <row r="67" s="253" customFormat="1" ht="12.95" customHeight="1" x14ac:dyDescent="0.2"/>
    <row r="68" s="253" customFormat="1" ht="12.95" customHeight="1" x14ac:dyDescent="0.2"/>
    <row r="69" s="253" customFormat="1" ht="12.95" customHeight="1" x14ac:dyDescent="0.2"/>
    <row r="70" s="253" customFormat="1" ht="12.95" customHeight="1" x14ac:dyDescent="0.2"/>
    <row r="71" s="253" customFormat="1" ht="12.95" customHeight="1" x14ac:dyDescent="0.2"/>
    <row r="72" s="253" customFormat="1" ht="12.95" customHeight="1" x14ac:dyDescent="0.2"/>
    <row r="73" s="253" customFormat="1" ht="12.95" customHeight="1" x14ac:dyDescent="0.2"/>
    <row r="74" s="253" customFormat="1" ht="12.95" customHeight="1" x14ac:dyDescent="0.2"/>
    <row r="75" s="253" customFormat="1" ht="12.95" customHeight="1" x14ac:dyDescent="0.2"/>
    <row r="76" s="253" customFormat="1" ht="12.95" customHeight="1" x14ac:dyDescent="0.2"/>
    <row r="77" s="253" customFormat="1" ht="12.95" customHeight="1" x14ac:dyDescent="0.2"/>
    <row r="78" s="253" customFormat="1" ht="12.95" customHeight="1" x14ac:dyDescent="0.2"/>
    <row r="79" s="253" customFormat="1" ht="12.95" customHeight="1" x14ac:dyDescent="0.2"/>
    <row r="80" s="253" customFormat="1" ht="12.95" customHeight="1" x14ac:dyDescent="0.2"/>
    <row r="81" s="253" customFormat="1" ht="12.95" customHeight="1" x14ac:dyDescent="0.2"/>
    <row r="82" s="253" customFormat="1" ht="12.95" customHeight="1" x14ac:dyDescent="0.2"/>
    <row r="83" s="253" customFormat="1" ht="12.95" customHeight="1" x14ac:dyDescent="0.2"/>
    <row r="84" s="253" customFormat="1" ht="12.95" customHeight="1" x14ac:dyDescent="0.2"/>
    <row r="85" s="253" customFormat="1" ht="12.95" customHeight="1" x14ac:dyDescent="0.2"/>
    <row r="86" s="253" customFormat="1" ht="12.95" customHeight="1" x14ac:dyDescent="0.2"/>
    <row r="87" s="253" customFormat="1" ht="12.95" customHeight="1" x14ac:dyDescent="0.2"/>
    <row r="88" s="253" customFormat="1" ht="12.95" customHeight="1" x14ac:dyDescent="0.2"/>
    <row r="89" s="253" customFormat="1" ht="12.95" customHeight="1" x14ac:dyDescent="0.2"/>
    <row r="90" s="253" customFormat="1" ht="12.95" customHeight="1" x14ac:dyDescent="0.2"/>
    <row r="91" s="253" customFormat="1" ht="12.95" customHeight="1" x14ac:dyDescent="0.2"/>
    <row r="92" s="253" customFormat="1" ht="12.95" customHeight="1" x14ac:dyDescent="0.2"/>
    <row r="93" s="253" customFormat="1" ht="12.95" customHeight="1" x14ac:dyDescent="0.2"/>
    <row r="94" s="253" customFormat="1" ht="12.95" customHeight="1" x14ac:dyDescent="0.2"/>
    <row r="95" s="253" customFormat="1" ht="12.95" customHeight="1" x14ac:dyDescent="0.2"/>
    <row r="96" s="253" customFormat="1" ht="12.95" customHeight="1" x14ac:dyDescent="0.2"/>
    <row r="97" s="253" customFormat="1" ht="12.95" customHeight="1" x14ac:dyDescent="0.2"/>
    <row r="98" s="253" customFormat="1" ht="12.95" customHeight="1" x14ac:dyDescent="0.2"/>
    <row r="99" s="253" customFormat="1" ht="12.95" customHeight="1" x14ac:dyDescent="0.2"/>
    <row r="100" s="253" customFormat="1" ht="12.95" customHeight="1" x14ac:dyDescent="0.2"/>
    <row r="101" s="253" customFormat="1" ht="12.95" customHeight="1" x14ac:dyDescent="0.2"/>
    <row r="102" s="253" customFormat="1" ht="12.95" customHeight="1" x14ac:dyDescent="0.2"/>
    <row r="103" s="253" customFormat="1" ht="12.95" customHeight="1" x14ac:dyDescent="0.2"/>
    <row r="104" s="253" customFormat="1" ht="12.95" customHeight="1" x14ac:dyDescent="0.2"/>
    <row r="105" s="253" customFormat="1" ht="12.95" customHeight="1" x14ac:dyDescent="0.2"/>
    <row r="106" s="253" customFormat="1" ht="12.95" customHeight="1" x14ac:dyDescent="0.2"/>
    <row r="107" s="253" customFormat="1" ht="12.95" customHeight="1" x14ac:dyDescent="0.2"/>
    <row r="108" s="253" customFormat="1" ht="12.95" customHeight="1" x14ac:dyDescent="0.2"/>
    <row r="109" s="253" customFormat="1" ht="12.95" customHeight="1" x14ac:dyDescent="0.2"/>
    <row r="110" s="253" customFormat="1" ht="12.95" customHeight="1" x14ac:dyDescent="0.2"/>
    <row r="111" s="253" customFormat="1" ht="12.95" customHeight="1" x14ac:dyDescent="0.2"/>
    <row r="112" s="253" customFormat="1" ht="12.95" customHeight="1" x14ac:dyDescent="0.2"/>
    <row r="113" s="253" customFormat="1" ht="12.95" customHeight="1" x14ac:dyDescent="0.2"/>
  </sheetData>
  <hyperlinks>
    <hyperlink ref="B2" location="cover!B18" display="return to TOC" xr:uid="{AA1798AF-0F74-4939-9816-9B201D57B69B}"/>
  </hyperlink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636E-9FBA-42AD-8B33-6F1B9AA2253C}">
  <sheetPr published="0" codeName="Sheet27">
    <tabColor rgb="FF238B45"/>
  </sheetPr>
  <dimension ref="A1:SA29"/>
  <sheetViews>
    <sheetView workbookViewId="0"/>
  </sheetViews>
  <sheetFormatPr defaultColWidth="10.83203125" defaultRowHeight="12.95" customHeight="1" x14ac:dyDescent="0.2"/>
  <cols>
    <col min="1" max="1" width="1.83203125" style="253" customWidth="1"/>
    <col min="2" max="2" width="2.83203125" style="253" customWidth="1"/>
    <col min="3" max="3" width="30.83203125" style="253" customWidth="1"/>
    <col min="4" max="4" width="10.83203125" style="253" customWidth="1"/>
    <col min="5" max="484" width="6.83203125" style="253" customWidth="1"/>
    <col min="485" max="16384" width="10.83203125" style="253"/>
  </cols>
  <sheetData>
    <row r="1" spans="1:495" ht="30" customHeight="1" x14ac:dyDescent="0.2">
      <c r="A1" s="85"/>
      <c r="B1" s="86" t="s">
        <v>1026</v>
      </c>
      <c r="C1" s="86"/>
      <c r="D1" s="86"/>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row>
    <row r="2" spans="1:495" ht="12.95" customHeight="1" x14ac:dyDescent="0.2">
      <c r="A2" s="85"/>
      <c r="B2" s="81" t="s">
        <v>349</v>
      </c>
      <c r="C2" s="81"/>
      <c r="D2" s="81"/>
      <c r="AR2" s="253">
        <f>40*12</f>
        <v>480</v>
      </c>
    </row>
    <row r="3" spans="1:495" ht="12.95" customHeight="1" x14ac:dyDescent="0.2">
      <c r="B3" s="253" t="s">
        <v>951</v>
      </c>
      <c r="G3" s="21"/>
      <c r="H3" s="21"/>
      <c r="I3" s="21"/>
      <c r="J3" s="21"/>
      <c r="K3" s="21"/>
      <c r="L3" s="21"/>
      <c r="M3" s="21"/>
    </row>
    <row r="4" spans="1:495" ht="12.95" customHeight="1" x14ac:dyDescent="0.2">
      <c r="B4" s="81"/>
      <c r="C4" s="81"/>
      <c r="D4" s="81"/>
      <c r="E4" s="81"/>
    </row>
    <row r="5" spans="1:495" ht="12.95" customHeight="1" x14ac:dyDescent="0.25">
      <c r="B5" s="105" t="s">
        <v>904</v>
      </c>
      <c r="C5" s="106"/>
      <c r="D5" s="106"/>
      <c r="E5" s="106"/>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row>
    <row r="6" spans="1:495" ht="12.95" customHeight="1" x14ac:dyDescent="0.2">
      <c r="B6" s="253" t="s">
        <v>903</v>
      </c>
      <c r="E6" s="93">
        <f>tsTHIN!I$341</f>
        <v>1</v>
      </c>
      <c r="F6" s="93">
        <f>tsTHIN!J$341</f>
        <v>2</v>
      </c>
      <c r="G6" s="93">
        <f>tsTHIN!K$341</f>
        <v>3</v>
      </c>
      <c r="H6" s="93">
        <f>tsTHIN!L$341</f>
        <v>4</v>
      </c>
      <c r="I6" s="93">
        <f>tsTHIN!M$341</f>
        <v>5</v>
      </c>
      <c r="J6" s="93">
        <f>tsTHIN!N$341</f>
        <v>6</v>
      </c>
      <c r="K6" s="93">
        <f>tsTHIN!O$341</f>
        <v>7</v>
      </c>
      <c r="L6" s="93">
        <f>tsTHIN!P$341</f>
        <v>8</v>
      </c>
      <c r="M6" s="93">
        <f>tsTHIN!Q$341</f>
        <v>9</v>
      </c>
      <c r="N6" s="93">
        <f>tsTHIN!R$341</f>
        <v>10</v>
      </c>
      <c r="O6" s="93">
        <f>tsTHIN!S$341</f>
        <v>11</v>
      </c>
      <c r="P6" s="93">
        <f>tsTHIN!T$341</f>
        <v>12</v>
      </c>
      <c r="Q6" s="93">
        <f>tsTHIN!U$341</f>
        <v>13</v>
      </c>
      <c r="R6" s="93">
        <f>tsTHIN!V$341</f>
        <v>14</v>
      </c>
      <c r="S6" s="93">
        <f>tsTHIN!W$341</f>
        <v>15</v>
      </c>
      <c r="T6" s="93">
        <f>tsTHIN!X$341</f>
        <v>16</v>
      </c>
      <c r="U6" s="93">
        <f>tsTHIN!Y$341</f>
        <v>17</v>
      </c>
      <c r="V6" s="93">
        <f>tsTHIN!Z$341</f>
        <v>18</v>
      </c>
      <c r="W6" s="93">
        <f>tsTHIN!AA$341</f>
        <v>19</v>
      </c>
      <c r="X6" s="93">
        <f>tsTHIN!AB$341</f>
        <v>20</v>
      </c>
      <c r="Y6" s="93">
        <f>tsTHIN!AC$341</f>
        <v>21</v>
      </c>
      <c r="Z6" s="93">
        <f>tsTHIN!AD$341</f>
        <v>22</v>
      </c>
      <c r="AA6" s="93">
        <f>tsTHIN!AE$341</f>
        <v>23</v>
      </c>
      <c r="AB6" s="93">
        <f>tsTHIN!AF$341</f>
        <v>24</v>
      </c>
      <c r="AC6" s="93">
        <f>tsTHIN!AG$341</f>
        <v>25</v>
      </c>
      <c r="AD6" s="93">
        <f>tsTHIN!AH$341</f>
        <v>26</v>
      </c>
      <c r="AE6" s="93">
        <f>tsTHIN!AI$341</f>
        <v>27</v>
      </c>
      <c r="AF6" s="93">
        <f>tsTHIN!AJ$341</f>
        <v>28</v>
      </c>
      <c r="AG6" s="93">
        <f>tsTHIN!AK$341</f>
        <v>29</v>
      </c>
      <c r="AH6" s="93">
        <f>tsTHIN!AL$341</f>
        <v>30</v>
      </c>
      <c r="AI6" s="93">
        <f>tsTHIN!AM$341</f>
        <v>31</v>
      </c>
      <c r="AJ6" s="93">
        <f>tsTHIN!AN$341</f>
        <v>32</v>
      </c>
      <c r="AK6" s="93">
        <f>tsTHIN!AO$341</f>
        <v>33</v>
      </c>
      <c r="AL6" s="93">
        <f>tsTHIN!AP$341</f>
        <v>34</v>
      </c>
      <c r="AM6" s="93">
        <f>tsTHIN!AQ$341</f>
        <v>35</v>
      </c>
      <c r="AN6" s="93">
        <f>tsTHIN!AR$341</f>
        <v>36</v>
      </c>
      <c r="AO6" s="93">
        <f>tsTHIN!AS$341</f>
        <v>37</v>
      </c>
      <c r="AP6" s="93">
        <f>tsTHIN!AT$341</f>
        <v>38</v>
      </c>
      <c r="AQ6" s="93">
        <f>tsTHIN!AU$341</f>
        <v>39</v>
      </c>
      <c r="AR6" s="93">
        <f>tsTHIN!AV$341</f>
        <v>40</v>
      </c>
      <c r="AS6" s="93">
        <f>AR6+1</f>
        <v>41</v>
      </c>
      <c r="AT6" s="93">
        <f t="shared" ref="AT6:DE6" si="0">AS6+1</f>
        <v>42</v>
      </c>
      <c r="AU6" s="93">
        <f t="shared" si="0"/>
        <v>43</v>
      </c>
      <c r="AV6" s="93">
        <f t="shared" si="0"/>
        <v>44</v>
      </c>
      <c r="AW6" s="93">
        <f t="shared" si="0"/>
        <v>45</v>
      </c>
      <c r="AX6" s="93">
        <f t="shared" si="0"/>
        <v>46</v>
      </c>
      <c r="AY6" s="93">
        <f t="shared" si="0"/>
        <v>47</v>
      </c>
      <c r="AZ6" s="93">
        <f t="shared" si="0"/>
        <v>48</v>
      </c>
      <c r="BA6" s="93">
        <f t="shared" si="0"/>
        <v>49</v>
      </c>
      <c r="BB6" s="93">
        <f t="shared" si="0"/>
        <v>50</v>
      </c>
      <c r="BC6" s="93">
        <f t="shared" si="0"/>
        <v>51</v>
      </c>
      <c r="BD6" s="93">
        <f t="shared" si="0"/>
        <v>52</v>
      </c>
      <c r="BE6" s="93">
        <f t="shared" si="0"/>
        <v>53</v>
      </c>
      <c r="BF6" s="93">
        <f t="shared" si="0"/>
        <v>54</v>
      </c>
      <c r="BG6" s="93">
        <f t="shared" si="0"/>
        <v>55</v>
      </c>
      <c r="BH6" s="93">
        <f t="shared" si="0"/>
        <v>56</v>
      </c>
      <c r="BI6" s="93">
        <f t="shared" si="0"/>
        <v>57</v>
      </c>
      <c r="BJ6" s="93">
        <f t="shared" si="0"/>
        <v>58</v>
      </c>
      <c r="BK6" s="93">
        <f t="shared" si="0"/>
        <v>59</v>
      </c>
      <c r="BL6" s="93">
        <f t="shared" si="0"/>
        <v>60</v>
      </c>
      <c r="BM6" s="93">
        <f t="shared" si="0"/>
        <v>61</v>
      </c>
      <c r="BN6" s="93">
        <f t="shared" si="0"/>
        <v>62</v>
      </c>
      <c r="BO6" s="93">
        <f t="shared" si="0"/>
        <v>63</v>
      </c>
      <c r="BP6" s="93">
        <f t="shared" si="0"/>
        <v>64</v>
      </c>
      <c r="BQ6" s="93">
        <f t="shared" si="0"/>
        <v>65</v>
      </c>
      <c r="BR6" s="93">
        <f t="shared" si="0"/>
        <v>66</v>
      </c>
      <c r="BS6" s="93">
        <f t="shared" si="0"/>
        <v>67</v>
      </c>
      <c r="BT6" s="93">
        <f t="shared" si="0"/>
        <v>68</v>
      </c>
      <c r="BU6" s="93">
        <f t="shared" si="0"/>
        <v>69</v>
      </c>
      <c r="BV6" s="93">
        <f t="shared" si="0"/>
        <v>70</v>
      </c>
      <c r="BW6" s="93">
        <f t="shared" si="0"/>
        <v>71</v>
      </c>
      <c r="BX6" s="93">
        <f t="shared" si="0"/>
        <v>72</v>
      </c>
      <c r="BY6" s="93">
        <f t="shared" si="0"/>
        <v>73</v>
      </c>
      <c r="BZ6" s="93">
        <f t="shared" si="0"/>
        <v>74</v>
      </c>
      <c r="CA6" s="93">
        <f t="shared" si="0"/>
        <v>75</v>
      </c>
      <c r="CB6" s="93">
        <f t="shared" si="0"/>
        <v>76</v>
      </c>
      <c r="CC6" s="93">
        <f t="shared" si="0"/>
        <v>77</v>
      </c>
      <c r="CD6" s="93">
        <f t="shared" si="0"/>
        <v>78</v>
      </c>
      <c r="CE6" s="93">
        <f t="shared" si="0"/>
        <v>79</v>
      </c>
      <c r="CF6" s="93">
        <f t="shared" si="0"/>
        <v>80</v>
      </c>
      <c r="CG6" s="93">
        <f t="shared" si="0"/>
        <v>81</v>
      </c>
      <c r="CH6" s="93">
        <f t="shared" si="0"/>
        <v>82</v>
      </c>
      <c r="CI6" s="93">
        <f t="shared" si="0"/>
        <v>83</v>
      </c>
      <c r="CJ6" s="93">
        <f t="shared" si="0"/>
        <v>84</v>
      </c>
      <c r="CK6" s="93">
        <f t="shared" si="0"/>
        <v>85</v>
      </c>
      <c r="CL6" s="93">
        <f t="shared" si="0"/>
        <v>86</v>
      </c>
      <c r="CM6" s="93">
        <f t="shared" si="0"/>
        <v>87</v>
      </c>
      <c r="CN6" s="93">
        <f t="shared" si="0"/>
        <v>88</v>
      </c>
      <c r="CO6" s="93">
        <f t="shared" si="0"/>
        <v>89</v>
      </c>
      <c r="CP6" s="93">
        <f t="shared" si="0"/>
        <v>90</v>
      </c>
      <c r="CQ6" s="93">
        <f t="shared" si="0"/>
        <v>91</v>
      </c>
      <c r="CR6" s="93">
        <f t="shared" si="0"/>
        <v>92</v>
      </c>
      <c r="CS6" s="93">
        <f t="shared" si="0"/>
        <v>93</v>
      </c>
      <c r="CT6" s="93">
        <f t="shared" si="0"/>
        <v>94</v>
      </c>
      <c r="CU6" s="93">
        <f t="shared" si="0"/>
        <v>95</v>
      </c>
      <c r="CV6" s="93">
        <f t="shared" si="0"/>
        <v>96</v>
      </c>
      <c r="CW6" s="93">
        <f t="shared" si="0"/>
        <v>97</v>
      </c>
      <c r="CX6" s="93">
        <f t="shared" si="0"/>
        <v>98</v>
      </c>
      <c r="CY6" s="93">
        <f t="shared" si="0"/>
        <v>99</v>
      </c>
      <c r="CZ6" s="93">
        <f t="shared" si="0"/>
        <v>100</v>
      </c>
      <c r="DA6" s="93">
        <f t="shared" si="0"/>
        <v>101</v>
      </c>
      <c r="DB6" s="93">
        <f t="shared" si="0"/>
        <v>102</v>
      </c>
      <c r="DC6" s="93">
        <f t="shared" si="0"/>
        <v>103</v>
      </c>
      <c r="DD6" s="93">
        <f t="shared" si="0"/>
        <v>104</v>
      </c>
      <c r="DE6" s="93">
        <f t="shared" si="0"/>
        <v>105</v>
      </c>
      <c r="DF6" s="93">
        <f t="shared" ref="DF6:FQ6" si="1">DE6+1</f>
        <v>106</v>
      </c>
      <c r="DG6" s="93">
        <f t="shared" si="1"/>
        <v>107</v>
      </c>
      <c r="DH6" s="93">
        <f t="shared" si="1"/>
        <v>108</v>
      </c>
      <c r="DI6" s="93">
        <f t="shared" si="1"/>
        <v>109</v>
      </c>
      <c r="DJ6" s="93">
        <f t="shared" si="1"/>
        <v>110</v>
      </c>
      <c r="DK6" s="93">
        <f t="shared" si="1"/>
        <v>111</v>
      </c>
      <c r="DL6" s="93">
        <f t="shared" si="1"/>
        <v>112</v>
      </c>
      <c r="DM6" s="93">
        <f t="shared" si="1"/>
        <v>113</v>
      </c>
      <c r="DN6" s="93">
        <f t="shared" si="1"/>
        <v>114</v>
      </c>
      <c r="DO6" s="93">
        <f t="shared" si="1"/>
        <v>115</v>
      </c>
      <c r="DP6" s="93">
        <f t="shared" si="1"/>
        <v>116</v>
      </c>
      <c r="DQ6" s="93">
        <f t="shared" si="1"/>
        <v>117</v>
      </c>
      <c r="DR6" s="93">
        <f t="shared" si="1"/>
        <v>118</v>
      </c>
      <c r="DS6" s="93">
        <f t="shared" si="1"/>
        <v>119</v>
      </c>
      <c r="DT6" s="93">
        <f t="shared" si="1"/>
        <v>120</v>
      </c>
      <c r="DU6" s="93">
        <f t="shared" si="1"/>
        <v>121</v>
      </c>
      <c r="DV6" s="93">
        <f t="shared" si="1"/>
        <v>122</v>
      </c>
      <c r="DW6" s="93">
        <f t="shared" si="1"/>
        <v>123</v>
      </c>
      <c r="DX6" s="93">
        <f t="shared" si="1"/>
        <v>124</v>
      </c>
      <c r="DY6" s="93">
        <f t="shared" si="1"/>
        <v>125</v>
      </c>
      <c r="DZ6" s="93">
        <f t="shared" si="1"/>
        <v>126</v>
      </c>
      <c r="EA6" s="93">
        <f t="shared" si="1"/>
        <v>127</v>
      </c>
      <c r="EB6" s="93">
        <f t="shared" si="1"/>
        <v>128</v>
      </c>
      <c r="EC6" s="93">
        <f t="shared" si="1"/>
        <v>129</v>
      </c>
      <c r="ED6" s="93">
        <f t="shared" si="1"/>
        <v>130</v>
      </c>
      <c r="EE6" s="93">
        <f t="shared" si="1"/>
        <v>131</v>
      </c>
      <c r="EF6" s="93">
        <f t="shared" si="1"/>
        <v>132</v>
      </c>
      <c r="EG6" s="93">
        <f t="shared" si="1"/>
        <v>133</v>
      </c>
      <c r="EH6" s="93">
        <f t="shared" si="1"/>
        <v>134</v>
      </c>
      <c r="EI6" s="93">
        <f t="shared" si="1"/>
        <v>135</v>
      </c>
      <c r="EJ6" s="93">
        <f t="shared" si="1"/>
        <v>136</v>
      </c>
      <c r="EK6" s="93">
        <f t="shared" si="1"/>
        <v>137</v>
      </c>
      <c r="EL6" s="93">
        <f t="shared" si="1"/>
        <v>138</v>
      </c>
      <c r="EM6" s="93">
        <f t="shared" si="1"/>
        <v>139</v>
      </c>
      <c r="EN6" s="93">
        <f t="shared" si="1"/>
        <v>140</v>
      </c>
      <c r="EO6" s="93">
        <f t="shared" si="1"/>
        <v>141</v>
      </c>
      <c r="EP6" s="93">
        <f t="shared" si="1"/>
        <v>142</v>
      </c>
      <c r="EQ6" s="93">
        <f t="shared" si="1"/>
        <v>143</v>
      </c>
      <c r="ER6" s="93">
        <f t="shared" si="1"/>
        <v>144</v>
      </c>
      <c r="ES6" s="93">
        <f t="shared" si="1"/>
        <v>145</v>
      </c>
      <c r="ET6" s="93">
        <f t="shared" si="1"/>
        <v>146</v>
      </c>
      <c r="EU6" s="93">
        <f t="shared" si="1"/>
        <v>147</v>
      </c>
      <c r="EV6" s="93">
        <f t="shared" si="1"/>
        <v>148</v>
      </c>
      <c r="EW6" s="93">
        <f t="shared" si="1"/>
        <v>149</v>
      </c>
      <c r="EX6" s="93">
        <f t="shared" si="1"/>
        <v>150</v>
      </c>
      <c r="EY6" s="93">
        <f t="shared" si="1"/>
        <v>151</v>
      </c>
      <c r="EZ6" s="93">
        <f t="shared" si="1"/>
        <v>152</v>
      </c>
      <c r="FA6" s="93">
        <f t="shared" si="1"/>
        <v>153</v>
      </c>
      <c r="FB6" s="93">
        <f t="shared" si="1"/>
        <v>154</v>
      </c>
      <c r="FC6" s="93">
        <f t="shared" si="1"/>
        <v>155</v>
      </c>
      <c r="FD6" s="93">
        <f t="shared" si="1"/>
        <v>156</v>
      </c>
      <c r="FE6" s="93">
        <f t="shared" si="1"/>
        <v>157</v>
      </c>
      <c r="FF6" s="93">
        <f t="shared" si="1"/>
        <v>158</v>
      </c>
      <c r="FG6" s="93">
        <f t="shared" si="1"/>
        <v>159</v>
      </c>
      <c r="FH6" s="93">
        <f t="shared" si="1"/>
        <v>160</v>
      </c>
      <c r="FI6" s="93">
        <f t="shared" si="1"/>
        <v>161</v>
      </c>
      <c r="FJ6" s="93">
        <f t="shared" si="1"/>
        <v>162</v>
      </c>
      <c r="FK6" s="93">
        <f t="shared" si="1"/>
        <v>163</v>
      </c>
      <c r="FL6" s="93">
        <f t="shared" si="1"/>
        <v>164</v>
      </c>
      <c r="FM6" s="93">
        <f t="shared" si="1"/>
        <v>165</v>
      </c>
      <c r="FN6" s="93">
        <f t="shared" si="1"/>
        <v>166</v>
      </c>
      <c r="FO6" s="93">
        <f t="shared" si="1"/>
        <v>167</v>
      </c>
      <c r="FP6" s="93">
        <f t="shared" si="1"/>
        <v>168</v>
      </c>
      <c r="FQ6" s="93">
        <f t="shared" si="1"/>
        <v>169</v>
      </c>
      <c r="FR6" s="93">
        <f t="shared" ref="FR6:IC6" si="2">FQ6+1</f>
        <v>170</v>
      </c>
      <c r="FS6" s="93">
        <f t="shared" si="2"/>
        <v>171</v>
      </c>
      <c r="FT6" s="93">
        <f t="shared" si="2"/>
        <v>172</v>
      </c>
      <c r="FU6" s="93">
        <f t="shared" si="2"/>
        <v>173</v>
      </c>
      <c r="FV6" s="93">
        <f t="shared" si="2"/>
        <v>174</v>
      </c>
      <c r="FW6" s="93">
        <f t="shared" si="2"/>
        <v>175</v>
      </c>
      <c r="FX6" s="93">
        <f t="shared" si="2"/>
        <v>176</v>
      </c>
      <c r="FY6" s="93">
        <f t="shared" si="2"/>
        <v>177</v>
      </c>
      <c r="FZ6" s="93">
        <f t="shared" si="2"/>
        <v>178</v>
      </c>
      <c r="GA6" s="93">
        <f t="shared" si="2"/>
        <v>179</v>
      </c>
      <c r="GB6" s="93">
        <f t="shared" si="2"/>
        <v>180</v>
      </c>
      <c r="GC6" s="278">
        <f t="shared" si="2"/>
        <v>181</v>
      </c>
      <c r="GD6" s="93">
        <f t="shared" si="2"/>
        <v>182</v>
      </c>
      <c r="GE6" s="93">
        <f t="shared" si="2"/>
        <v>183</v>
      </c>
      <c r="GF6" s="93">
        <f t="shared" si="2"/>
        <v>184</v>
      </c>
      <c r="GG6" s="93">
        <f t="shared" si="2"/>
        <v>185</v>
      </c>
      <c r="GH6" s="93">
        <f t="shared" si="2"/>
        <v>186</v>
      </c>
      <c r="GI6" s="93">
        <f t="shared" si="2"/>
        <v>187</v>
      </c>
      <c r="GJ6" s="93">
        <f t="shared" si="2"/>
        <v>188</v>
      </c>
      <c r="GK6" s="93">
        <f t="shared" si="2"/>
        <v>189</v>
      </c>
      <c r="GL6" s="93">
        <f t="shared" si="2"/>
        <v>190</v>
      </c>
      <c r="GM6" s="93">
        <f t="shared" si="2"/>
        <v>191</v>
      </c>
      <c r="GN6" s="93">
        <f t="shared" si="2"/>
        <v>192</v>
      </c>
      <c r="GO6" s="93">
        <f t="shared" si="2"/>
        <v>193</v>
      </c>
      <c r="GP6" s="93">
        <f t="shared" si="2"/>
        <v>194</v>
      </c>
      <c r="GQ6" s="93">
        <f t="shared" si="2"/>
        <v>195</v>
      </c>
      <c r="GR6" s="93">
        <f t="shared" si="2"/>
        <v>196</v>
      </c>
      <c r="GS6" s="93">
        <f t="shared" si="2"/>
        <v>197</v>
      </c>
      <c r="GT6" s="93">
        <f t="shared" si="2"/>
        <v>198</v>
      </c>
      <c r="GU6" s="93">
        <f t="shared" si="2"/>
        <v>199</v>
      </c>
      <c r="GV6" s="93">
        <f t="shared" si="2"/>
        <v>200</v>
      </c>
      <c r="GW6" s="93">
        <f t="shared" si="2"/>
        <v>201</v>
      </c>
      <c r="GX6" s="93">
        <f t="shared" si="2"/>
        <v>202</v>
      </c>
      <c r="GY6" s="93">
        <f t="shared" si="2"/>
        <v>203</v>
      </c>
      <c r="GZ6" s="93">
        <f t="shared" si="2"/>
        <v>204</v>
      </c>
      <c r="HA6" s="93">
        <f t="shared" si="2"/>
        <v>205</v>
      </c>
      <c r="HB6" s="93">
        <f t="shared" si="2"/>
        <v>206</v>
      </c>
      <c r="HC6" s="93">
        <f t="shared" si="2"/>
        <v>207</v>
      </c>
      <c r="HD6" s="93">
        <f t="shared" si="2"/>
        <v>208</v>
      </c>
      <c r="HE6" s="93">
        <f t="shared" si="2"/>
        <v>209</v>
      </c>
      <c r="HF6" s="93">
        <f t="shared" si="2"/>
        <v>210</v>
      </c>
      <c r="HG6" s="93">
        <f t="shared" si="2"/>
        <v>211</v>
      </c>
      <c r="HH6" s="93">
        <f t="shared" si="2"/>
        <v>212</v>
      </c>
      <c r="HI6" s="93">
        <f t="shared" si="2"/>
        <v>213</v>
      </c>
      <c r="HJ6" s="93">
        <f t="shared" si="2"/>
        <v>214</v>
      </c>
      <c r="HK6" s="93">
        <f t="shared" si="2"/>
        <v>215</v>
      </c>
      <c r="HL6" s="93">
        <f t="shared" si="2"/>
        <v>216</v>
      </c>
      <c r="HM6" s="93">
        <f t="shared" si="2"/>
        <v>217</v>
      </c>
      <c r="HN6" s="93">
        <f t="shared" si="2"/>
        <v>218</v>
      </c>
      <c r="HO6" s="93">
        <f t="shared" si="2"/>
        <v>219</v>
      </c>
      <c r="HP6" s="93">
        <f t="shared" si="2"/>
        <v>220</v>
      </c>
      <c r="HQ6" s="93">
        <f t="shared" si="2"/>
        <v>221</v>
      </c>
      <c r="HR6" s="93">
        <f t="shared" si="2"/>
        <v>222</v>
      </c>
      <c r="HS6" s="93">
        <f t="shared" si="2"/>
        <v>223</v>
      </c>
      <c r="HT6" s="93">
        <f t="shared" si="2"/>
        <v>224</v>
      </c>
      <c r="HU6" s="93">
        <f t="shared" si="2"/>
        <v>225</v>
      </c>
      <c r="HV6" s="93">
        <f t="shared" si="2"/>
        <v>226</v>
      </c>
      <c r="HW6" s="93">
        <f t="shared" si="2"/>
        <v>227</v>
      </c>
      <c r="HX6" s="93">
        <f t="shared" si="2"/>
        <v>228</v>
      </c>
      <c r="HY6" s="93">
        <f t="shared" si="2"/>
        <v>229</v>
      </c>
      <c r="HZ6" s="93">
        <f t="shared" si="2"/>
        <v>230</v>
      </c>
      <c r="IA6" s="93">
        <f t="shared" si="2"/>
        <v>231</v>
      </c>
      <c r="IB6" s="93">
        <f t="shared" si="2"/>
        <v>232</v>
      </c>
      <c r="IC6" s="93">
        <f t="shared" si="2"/>
        <v>233</v>
      </c>
      <c r="ID6" s="93">
        <f t="shared" ref="ID6:KO6" si="3">IC6+1</f>
        <v>234</v>
      </c>
      <c r="IE6" s="93">
        <f t="shared" si="3"/>
        <v>235</v>
      </c>
      <c r="IF6" s="93">
        <f t="shared" si="3"/>
        <v>236</v>
      </c>
      <c r="IG6" s="93">
        <f t="shared" si="3"/>
        <v>237</v>
      </c>
      <c r="IH6" s="93">
        <f t="shared" si="3"/>
        <v>238</v>
      </c>
      <c r="II6" s="93">
        <f t="shared" si="3"/>
        <v>239</v>
      </c>
      <c r="IJ6" s="93">
        <f t="shared" si="3"/>
        <v>240</v>
      </c>
      <c r="IK6" s="93">
        <f t="shared" si="3"/>
        <v>241</v>
      </c>
      <c r="IL6" s="93">
        <f t="shared" si="3"/>
        <v>242</v>
      </c>
      <c r="IM6" s="93">
        <f t="shared" si="3"/>
        <v>243</v>
      </c>
      <c r="IN6" s="93">
        <f t="shared" si="3"/>
        <v>244</v>
      </c>
      <c r="IO6" s="93">
        <f t="shared" si="3"/>
        <v>245</v>
      </c>
      <c r="IP6" s="93">
        <f t="shared" si="3"/>
        <v>246</v>
      </c>
      <c r="IQ6" s="93">
        <f t="shared" si="3"/>
        <v>247</v>
      </c>
      <c r="IR6" s="93">
        <f t="shared" si="3"/>
        <v>248</v>
      </c>
      <c r="IS6" s="93">
        <f t="shared" si="3"/>
        <v>249</v>
      </c>
      <c r="IT6" s="93">
        <f t="shared" si="3"/>
        <v>250</v>
      </c>
      <c r="IU6" s="93">
        <f t="shared" si="3"/>
        <v>251</v>
      </c>
      <c r="IV6" s="93">
        <f t="shared" si="3"/>
        <v>252</v>
      </c>
      <c r="IW6" s="93">
        <f t="shared" si="3"/>
        <v>253</v>
      </c>
      <c r="IX6" s="93">
        <f t="shared" si="3"/>
        <v>254</v>
      </c>
      <c r="IY6" s="93">
        <f t="shared" si="3"/>
        <v>255</v>
      </c>
      <c r="IZ6" s="93">
        <f t="shared" si="3"/>
        <v>256</v>
      </c>
      <c r="JA6" s="93">
        <f t="shared" si="3"/>
        <v>257</v>
      </c>
      <c r="JB6" s="93">
        <f t="shared" si="3"/>
        <v>258</v>
      </c>
      <c r="JC6" s="93">
        <f t="shared" si="3"/>
        <v>259</v>
      </c>
      <c r="JD6" s="93">
        <f t="shared" si="3"/>
        <v>260</v>
      </c>
      <c r="JE6" s="93">
        <f t="shared" si="3"/>
        <v>261</v>
      </c>
      <c r="JF6" s="93">
        <f t="shared" si="3"/>
        <v>262</v>
      </c>
      <c r="JG6" s="93">
        <f t="shared" si="3"/>
        <v>263</v>
      </c>
      <c r="JH6" s="93">
        <f t="shared" si="3"/>
        <v>264</v>
      </c>
      <c r="JI6" s="93">
        <f t="shared" si="3"/>
        <v>265</v>
      </c>
      <c r="JJ6" s="93">
        <f t="shared" si="3"/>
        <v>266</v>
      </c>
      <c r="JK6" s="93">
        <f t="shared" si="3"/>
        <v>267</v>
      </c>
      <c r="JL6" s="93">
        <f t="shared" si="3"/>
        <v>268</v>
      </c>
      <c r="JM6" s="93">
        <f t="shared" si="3"/>
        <v>269</v>
      </c>
      <c r="JN6" s="93">
        <f t="shared" si="3"/>
        <v>270</v>
      </c>
      <c r="JO6" s="93">
        <f t="shared" si="3"/>
        <v>271</v>
      </c>
      <c r="JP6" s="93">
        <f t="shared" si="3"/>
        <v>272</v>
      </c>
      <c r="JQ6" s="93">
        <f t="shared" si="3"/>
        <v>273</v>
      </c>
      <c r="JR6" s="93">
        <f t="shared" si="3"/>
        <v>274</v>
      </c>
      <c r="JS6" s="93">
        <f t="shared" si="3"/>
        <v>275</v>
      </c>
      <c r="JT6" s="93">
        <f t="shared" si="3"/>
        <v>276</v>
      </c>
      <c r="JU6" s="93">
        <f t="shared" si="3"/>
        <v>277</v>
      </c>
      <c r="JV6" s="93">
        <f t="shared" si="3"/>
        <v>278</v>
      </c>
      <c r="JW6" s="93">
        <f t="shared" si="3"/>
        <v>279</v>
      </c>
      <c r="JX6" s="93">
        <f t="shared" si="3"/>
        <v>280</v>
      </c>
      <c r="JY6" s="93">
        <f t="shared" si="3"/>
        <v>281</v>
      </c>
      <c r="JZ6" s="93">
        <f t="shared" si="3"/>
        <v>282</v>
      </c>
      <c r="KA6" s="93">
        <f t="shared" si="3"/>
        <v>283</v>
      </c>
      <c r="KB6" s="93">
        <f t="shared" si="3"/>
        <v>284</v>
      </c>
      <c r="KC6" s="93">
        <f t="shared" si="3"/>
        <v>285</v>
      </c>
      <c r="KD6" s="93">
        <f t="shared" si="3"/>
        <v>286</v>
      </c>
      <c r="KE6" s="93">
        <f t="shared" si="3"/>
        <v>287</v>
      </c>
      <c r="KF6" s="93">
        <f t="shared" si="3"/>
        <v>288</v>
      </c>
      <c r="KG6" s="93">
        <f t="shared" si="3"/>
        <v>289</v>
      </c>
      <c r="KH6" s="93">
        <f t="shared" si="3"/>
        <v>290</v>
      </c>
      <c r="KI6" s="93">
        <f t="shared" si="3"/>
        <v>291</v>
      </c>
      <c r="KJ6" s="93">
        <f t="shared" si="3"/>
        <v>292</v>
      </c>
      <c r="KK6" s="93">
        <f t="shared" si="3"/>
        <v>293</v>
      </c>
      <c r="KL6" s="93">
        <f t="shared" si="3"/>
        <v>294</v>
      </c>
      <c r="KM6" s="93">
        <f t="shared" si="3"/>
        <v>295</v>
      </c>
      <c r="KN6" s="93">
        <f t="shared" si="3"/>
        <v>296</v>
      </c>
      <c r="KO6" s="93">
        <f t="shared" si="3"/>
        <v>297</v>
      </c>
      <c r="KP6" s="93">
        <f t="shared" ref="KP6:NA6" si="4">KO6+1</f>
        <v>298</v>
      </c>
      <c r="KQ6" s="93">
        <f t="shared" si="4"/>
        <v>299</v>
      </c>
      <c r="KR6" s="93">
        <f t="shared" si="4"/>
        <v>300</v>
      </c>
      <c r="KS6" s="93">
        <f t="shared" si="4"/>
        <v>301</v>
      </c>
      <c r="KT6" s="93">
        <f t="shared" si="4"/>
        <v>302</v>
      </c>
      <c r="KU6" s="93">
        <f t="shared" si="4"/>
        <v>303</v>
      </c>
      <c r="KV6" s="93">
        <f t="shared" si="4"/>
        <v>304</v>
      </c>
      <c r="KW6" s="93">
        <f t="shared" si="4"/>
        <v>305</v>
      </c>
      <c r="KX6" s="93">
        <f t="shared" si="4"/>
        <v>306</v>
      </c>
      <c r="KY6" s="93">
        <f t="shared" si="4"/>
        <v>307</v>
      </c>
      <c r="KZ6" s="93">
        <f t="shared" si="4"/>
        <v>308</v>
      </c>
      <c r="LA6" s="93">
        <f t="shared" si="4"/>
        <v>309</v>
      </c>
      <c r="LB6" s="93">
        <f t="shared" si="4"/>
        <v>310</v>
      </c>
      <c r="LC6" s="93">
        <f t="shared" si="4"/>
        <v>311</v>
      </c>
      <c r="LD6" s="93">
        <f t="shared" si="4"/>
        <v>312</v>
      </c>
      <c r="LE6" s="93">
        <f t="shared" si="4"/>
        <v>313</v>
      </c>
      <c r="LF6" s="93">
        <f t="shared" si="4"/>
        <v>314</v>
      </c>
      <c r="LG6" s="93">
        <f t="shared" si="4"/>
        <v>315</v>
      </c>
      <c r="LH6" s="93">
        <f t="shared" si="4"/>
        <v>316</v>
      </c>
      <c r="LI6" s="93">
        <f t="shared" si="4"/>
        <v>317</v>
      </c>
      <c r="LJ6" s="93">
        <f t="shared" si="4"/>
        <v>318</v>
      </c>
      <c r="LK6" s="93">
        <f t="shared" si="4"/>
        <v>319</v>
      </c>
      <c r="LL6" s="93">
        <f t="shared" si="4"/>
        <v>320</v>
      </c>
      <c r="LM6" s="93">
        <f t="shared" si="4"/>
        <v>321</v>
      </c>
      <c r="LN6" s="93">
        <f t="shared" si="4"/>
        <v>322</v>
      </c>
      <c r="LO6" s="93">
        <f t="shared" si="4"/>
        <v>323</v>
      </c>
      <c r="LP6" s="93">
        <f t="shared" si="4"/>
        <v>324</v>
      </c>
      <c r="LQ6" s="93">
        <f t="shared" si="4"/>
        <v>325</v>
      </c>
      <c r="LR6" s="93">
        <f t="shared" si="4"/>
        <v>326</v>
      </c>
      <c r="LS6" s="93">
        <f t="shared" si="4"/>
        <v>327</v>
      </c>
      <c r="LT6" s="93">
        <f t="shared" si="4"/>
        <v>328</v>
      </c>
      <c r="LU6" s="93">
        <f t="shared" si="4"/>
        <v>329</v>
      </c>
      <c r="LV6" s="93">
        <f t="shared" si="4"/>
        <v>330</v>
      </c>
      <c r="LW6" s="93">
        <f t="shared" si="4"/>
        <v>331</v>
      </c>
      <c r="LX6" s="93">
        <f t="shared" si="4"/>
        <v>332</v>
      </c>
      <c r="LY6" s="93">
        <f t="shared" si="4"/>
        <v>333</v>
      </c>
      <c r="LZ6" s="93">
        <f t="shared" si="4"/>
        <v>334</v>
      </c>
      <c r="MA6" s="93">
        <f t="shared" si="4"/>
        <v>335</v>
      </c>
      <c r="MB6" s="93">
        <f t="shared" si="4"/>
        <v>336</v>
      </c>
      <c r="MC6" s="93">
        <f t="shared" si="4"/>
        <v>337</v>
      </c>
      <c r="MD6" s="93">
        <f t="shared" si="4"/>
        <v>338</v>
      </c>
      <c r="ME6" s="93">
        <f t="shared" si="4"/>
        <v>339</v>
      </c>
      <c r="MF6" s="93">
        <f t="shared" si="4"/>
        <v>340</v>
      </c>
      <c r="MG6" s="93">
        <f t="shared" si="4"/>
        <v>341</v>
      </c>
      <c r="MH6" s="93">
        <f t="shared" si="4"/>
        <v>342</v>
      </c>
      <c r="MI6" s="93">
        <f t="shared" si="4"/>
        <v>343</v>
      </c>
      <c r="MJ6" s="93">
        <f t="shared" si="4"/>
        <v>344</v>
      </c>
      <c r="MK6" s="93">
        <f t="shared" si="4"/>
        <v>345</v>
      </c>
      <c r="ML6" s="93">
        <f t="shared" si="4"/>
        <v>346</v>
      </c>
      <c r="MM6" s="93">
        <f t="shared" si="4"/>
        <v>347</v>
      </c>
      <c r="MN6" s="93">
        <f t="shared" si="4"/>
        <v>348</v>
      </c>
      <c r="MO6" s="93">
        <f t="shared" si="4"/>
        <v>349</v>
      </c>
      <c r="MP6" s="93">
        <f t="shared" si="4"/>
        <v>350</v>
      </c>
      <c r="MQ6" s="93">
        <f t="shared" si="4"/>
        <v>351</v>
      </c>
      <c r="MR6" s="93">
        <f t="shared" si="4"/>
        <v>352</v>
      </c>
      <c r="MS6" s="93">
        <f t="shared" si="4"/>
        <v>353</v>
      </c>
      <c r="MT6" s="93">
        <f t="shared" si="4"/>
        <v>354</v>
      </c>
      <c r="MU6" s="93">
        <f t="shared" si="4"/>
        <v>355</v>
      </c>
      <c r="MV6" s="93">
        <f t="shared" si="4"/>
        <v>356</v>
      </c>
      <c r="MW6" s="93">
        <f t="shared" si="4"/>
        <v>357</v>
      </c>
      <c r="MX6" s="93">
        <f t="shared" si="4"/>
        <v>358</v>
      </c>
      <c r="MY6" s="93">
        <f t="shared" si="4"/>
        <v>359</v>
      </c>
      <c r="MZ6" s="93">
        <f t="shared" si="4"/>
        <v>360</v>
      </c>
      <c r="NA6" s="93">
        <f t="shared" si="4"/>
        <v>361</v>
      </c>
      <c r="NB6" s="93">
        <f t="shared" ref="NB6:PM6" si="5">NA6+1</f>
        <v>362</v>
      </c>
      <c r="NC6" s="93">
        <f t="shared" si="5"/>
        <v>363</v>
      </c>
      <c r="ND6" s="93">
        <f t="shared" si="5"/>
        <v>364</v>
      </c>
      <c r="NE6" s="93">
        <f t="shared" si="5"/>
        <v>365</v>
      </c>
      <c r="NF6" s="93">
        <f t="shared" si="5"/>
        <v>366</v>
      </c>
      <c r="NG6" s="93">
        <f t="shared" si="5"/>
        <v>367</v>
      </c>
      <c r="NH6" s="93">
        <f t="shared" si="5"/>
        <v>368</v>
      </c>
      <c r="NI6" s="93">
        <f t="shared" si="5"/>
        <v>369</v>
      </c>
      <c r="NJ6" s="93">
        <f t="shared" si="5"/>
        <v>370</v>
      </c>
      <c r="NK6" s="93">
        <f t="shared" si="5"/>
        <v>371</v>
      </c>
      <c r="NL6" s="93">
        <f t="shared" si="5"/>
        <v>372</v>
      </c>
      <c r="NM6" s="93">
        <f t="shared" si="5"/>
        <v>373</v>
      </c>
      <c r="NN6" s="93">
        <f t="shared" si="5"/>
        <v>374</v>
      </c>
      <c r="NO6" s="93">
        <f t="shared" si="5"/>
        <v>375</v>
      </c>
      <c r="NP6" s="93">
        <f t="shared" si="5"/>
        <v>376</v>
      </c>
      <c r="NQ6" s="93">
        <f t="shared" si="5"/>
        <v>377</v>
      </c>
      <c r="NR6" s="93">
        <f t="shared" si="5"/>
        <v>378</v>
      </c>
      <c r="NS6" s="93">
        <f t="shared" si="5"/>
        <v>379</v>
      </c>
      <c r="NT6" s="93">
        <f t="shared" si="5"/>
        <v>380</v>
      </c>
      <c r="NU6" s="93">
        <f t="shared" si="5"/>
        <v>381</v>
      </c>
      <c r="NV6" s="93">
        <f t="shared" si="5"/>
        <v>382</v>
      </c>
      <c r="NW6" s="93">
        <f t="shared" si="5"/>
        <v>383</v>
      </c>
      <c r="NX6" s="93">
        <f t="shared" si="5"/>
        <v>384</v>
      </c>
      <c r="NY6" s="93">
        <f t="shared" si="5"/>
        <v>385</v>
      </c>
      <c r="NZ6" s="93">
        <f t="shared" si="5"/>
        <v>386</v>
      </c>
      <c r="OA6" s="93">
        <f t="shared" si="5"/>
        <v>387</v>
      </c>
      <c r="OB6" s="93">
        <f t="shared" si="5"/>
        <v>388</v>
      </c>
      <c r="OC6" s="93">
        <f t="shared" si="5"/>
        <v>389</v>
      </c>
      <c r="OD6" s="93">
        <f t="shared" si="5"/>
        <v>390</v>
      </c>
      <c r="OE6" s="93">
        <f t="shared" si="5"/>
        <v>391</v>
      </c>
      <c r="OF6" s="93">
        <f t="shared" si="5"/>
        <v>392</v>
      </c>
      <c r="OG6" s="93">
        <f t="shared" si="5"/>
        <v>393</v>
      </c>
      <c r="OH6" s="93">
        <f t="shared" si="5"/>
        <v>394</v>
      </c>
      <c r="OI6" s="93">
        <f t="shared" si="5"/>
        <v>395</v>
      </c>
      <c r="OJ6" s="93">
        <f t="shared" si="5"/>
        <v>396</v>
      </c>
      <c r="OK6" s="93">
        <f t="shared" si="5"/>
        <v>397</v>
      </c>
      <c r="OL6" s="93">
        <f t="shared" si="5"/>
        <v>398</v>
      </c>
      <c r="OM6" s="93">
        <f t="shared" si="5"/>
        <v>399</v>
      </c>
      <c r="ON6" s="93">
        <f t="shared" si="5"/>
        <v>400</v>
      </c>
      <c r="OO6" s="93">
        <f t="shared" si="5"/>
        <v>401</v>
      </c>
      <c r="OP6" s="93">
        <f t="shared" si="5"/>
        <v>402</v>
      </c>
      <c r="OQ6" s="93">
        <f t="shared" si="5"/>
        <v>403</v>
      </c>
      <c r="OR6" s="93">
        <f t="shared" si="5"/>
        <v>404</v>
      </c>
      <c r="OS6" s="93">
        <f t="shared" si="5"/>
        <v>405</v>
      </c>
      <c r="OT6" s="93">
        <f t="shared" si="5"/>
        <v>406</v>
      </c>
      <c r="OU6" s="93">
        <f t="shared" si="5"/>
        <v>407</v>
      </c>
      <c r="OV6" s="93">
        <f t="shared" si="5"/>
        <v>408</v>
      </c>
      <c r="OW6" s="93">
        <f t="shared" si="5"/>
        <v>409</v>
      </c>
      <c r="OX6" s="93">
        <f t="shared" si="5"/>
        <v>410</v>
      </c>
      <c r="OY6" s="93">
        <f t="shared" si="5"/>
        <v>411</v>
      </c>
      <c r="OZ6" s="93">
        <f t="shared" si="5"/>
        <v>412</v>
      </c>
      <c r="PA6" s="93">
        <f t="shared" si="5"/>
        <v>413</v>
      </c>
      <c r="PB6" s="93">
        <f t="shared" si="5"/>
        <v>414</v>
      </c>
      <c r="PC6" s="93">
        <f t="shared" si="5"/>
        <v>415</v>
      </c>
      <c r="PD6" s="93">
        <f t="shared" si="5"/>
        <v>416</v>
      </c>
      <c r="PE6" s="93">
        <f t="shared" si="5"/>
        <v>417</v>
      </c>
      <c r="PF6" s="93">
        <f t="shared" si="5"/>
        <v>418</v>
      </c>
      <c r="PG6" s="93">
        <f t="shared" si="5"/>
        <v>419</v>
      </c>
      <c r="PH6" s="93">
        <f t="shared" si="5"/>
        <v>420</v>
      </c>
      <c r="PI6" s="93">
        <f t="shared" si="5"/>
        <v>421</v>
      </c>
      <c r="PJ6" s="93">
        <f t="shared" si="5"/>
        <v>422</v>
      </c>
      <c r="PK6" s="93">
        <f t="shared" si="5"/>
        <v>423</v>
      </c>
      <c r="PL6" s="93">
        <f t="shared" si="5"/>
        <v>424</v>
      </c>
      <c r="PM6" s="93">
        <f t="shared" si="5"/>
        <v>425</v>
      </c>
      <c r="PN6" s="93">
        <f t="shared" ref="PN6:RP6" si="6">PM6+1</f>
        <v>426</v>
      </c>
      <c r="PO6" s="93">
        <f t="shared" si="6"/>
        <v>427</v>
      </c>
      <c r="PP6" s="93">
        <f t="shared" si="6"/>
        <v>428</v>
      </c>
      <c r="PQ6" s="93">
        <f t="shared" si="6"/>
        <v>429</v>
      </c>
      <c r="PR6" s="93">
        <f t="shared" si="6"/>
        <v>430</v>
      </c>
      <c r="PS6" s="93">
        <f t="shared" si="6"/>
        <v>431</v>
      </c>
      <c r="PT6" s="93">
        <f t="shared" si="6"/>
        <v>432</v>
      </c>
      <c r="PU6" s="93">
        <f t="shared" si="6"/>
        <v>433</v>
      </c>
      <c r="PV6" s="93">
        <f t="shared" si="6"/>
        <v>434</v>
      </c>
      <c r="PW6" s="93">
        <f t="shared" si="6"/>
        <v>435</v>
      </c>
      <c r="PX6" s="93">
        <f t="shared" si="6"/>
        <v>436</v>
      </c>
      <c r="PY6" s="93">
        <f t="shared" si="6"/>
        <v>437</v>
      </c>
      <c r="PZ6" s="93">
        <f t="shared" si="6"/>
        <v>438</v>
      </c>
      <c r="QA6" s="93">
        <f t="shared" si="6"/>
        <v>439</v>
      </c>
      <c r="QB6" s="93">
        <f t="shared" si="6"/>
        <v>440</v>
      </c>
      <c r="QC6" s="93">
        <f t="shared" si="6"/>
        <v>441</v>
      </c>
      <c r="QD6" s="93">
        <f t="shared" si="6"/>
        <v>442</v>
      </c>
      <c r="QE6" s="93">
        <f t="shared" si="6"/>
        <v>443</v>
      </c>
      <c r="QF6" s="93">
        <f t="shared" si="6"/>
        <v>444</v>
      </c>
      <c r="QG6" s="93">
        <f t="shared" si="6"/>
        <v>445</v>
      </c>
      <c r="QH6" s="93">
        <f t="shared" si="6"/>
        <v>446</v>
      </c>
      <c r="QI6" s="93">
        <f t="shared" si="6"/>
        <v>447</v>
      </c>
      <c r="QJ6" s="93">
        <f t="shared" si="6"/>
        <v>448</v>
      </c>
      <c r="QK6" s="93">
        <f t="shared" si="6"/>
        <v>449</v>
      </c>
      <c r="QL6" s="93">
        <f t="shared" si="6"/>
        <v>450</v>
      </c>
      <c r="QM6" s="93">
        <f t="shared" si="6"/>
        <v>451</v>
      </c>
      <c r="QN6" s="93">
        <f t="shared" si="6"/>
        <v>452</v>
      </c>
      <c r="QO6" s="93">
        <f t="shared" si="6"/>
        <v>453</v>
      </c>
      <c r="QP6" s="93">
        <f t="shared" si="6"/>
        <v>454</v>
      </c>
      <c r="QQ6" s="93">
        <f t="shared" si="6"/>
        <v>455</v>
      </c>
      <c r="QR6" s="93">
        <f t="shared" si="6"/>
        <v>456</v>
      </c>
      <c r="QS6" s="93">
        <f t="shared" si="6"/>
        <v>457</v>
      </c>
      <c r="QT6" s="93">
        <f t="shared" si="6"/>
        <v>458</v>
      </c>
      <c r="QU6" s="93">
        <f t="shared" si="6"/>
        <v>459</v>
      </c>
      <c r="QV6" s="93">
        <f t="shared" si="6"/>
        <v>460</v>
      </c>
      <c r="QW6" s="93">
        <f t="shared" si="6"/>
        <v>461</v>
      </c>
      <c r="QX6" s="93">
        <f t="shared" si="6"/>
        <v>462</v>
      </c>
      <c r="QY6" s="93">
        <f t="shared" si="6"/>
        <v>463</v>
      </c>
      <c r="QZ6" s="93">
        <f t="shared" si="6"/>
        <v>464</v>
      </c>
      <c r="RA6" s="93">
        <f t="shared" si="6"/>
        <v>465</v>
      </c>
      <c r="RB6" s="93">
        <f t="shared" si="6"/>
        <v>466</v>
      </c>
      <c r="RC6" s="93">
        <f t="shared" si="6"/>
        <v>467</v>
      </c>
      <c r="RD6" s="93">
        <f t="shared" si="6"/>
        <v>468</v>
      </c>
      <c r="RE6" s="93">
        <f t="shared" si="6"/>
        <v>469</v>
      </c>
      <c r="RF6" s="93">
        <f t="shared" si="6"/>
        <v>470</v>
      </c>
      <c r="RG6" s="93">
        <f t="shared" si="6"/>
        <v>471</v>
      </c>
      <c r="RH6" s="93">
        <f t="shared" si="6"/>
        <v>472</v>
      </c>
      <c r="RI6" s="93">
        <f t="shared" si="6"/>
        <v>473</v>
      </c>
      <c r="RJ6" s="93">
        <f t="shared" si="6"/>
        <v>474</v>
      </c>
      <c r="RK6" s="93">
        <f t="shared" si="6"/>
        <v>475</v>
      </c>
      <c r="RL6" s="93">
        <f t="shared" si="6"/>
        <v>476</v>
      </c>
      <c r="RM6" s="93">
        <f t="shared" si="6"/>
        <v>477</v>
      </c>
      <c r="RN6" s="93">
        <f t="shared" si="6"/>
        <v>478</v>
      </c>
      <c r="RO6" s="93">
        <f t="shared" si="6"/>
        <v>479</v>
      </c>
      <c r="RP6" s="93">
        <f t="shared" si="6"/>
        <v>480</v>
      </c>
      <c r="RQ6" s="93"/>
      <c r="RR6" s="93"/>
      <c r="RS6" s="93"/>
      <c r="RT6" s="93"/>
      <c r="RU6" s="93"/>
      <c r="RV6" s="93"/>
      <c r="RW6" s="93"/>
      <c r="RX6" s="93"/>
      <c r="RY6" s="93"/>
      <c r="RZ6" s="93"/>
      <c r="SA6" s="93"/>
    </row>
    <row r="7" spans="1:495" ht="12.95" customHeight="1" x14ac:dyDescent="0.2">
      <c r="B7" s="253" t="s">
        <v>616</v>
      </c>
      <c r="E7" s="147">
        <f>E6/12</f>
        <v>8.3333333333333329E-2</v>
      </c>
      <c r="F7" s="147">
        <f t="shared" ref="F7:BQ7" si="7">F6/12</f>
        <v>0.16666666666666666</v>
      </c>
      <c r="G7" s="147">
        <f t="shared" si="7"/>
        <v>0.25</v>
      </c>
      <c r="H7" s="147">
        <f t="shared" si="7"/>
        <v>0.33333333333333331</v>
      </c>
      <c r="I7" s="147">
        <f t="shared" si="7"/>
        <v>0.41666666666666669</v>
      </c>
      <c r="J7" s="147">
        <f t="shared" si="7"/>
        <v>0.5</v>
      </c>
      <c r="K7" s="147">
        <f t="shared" si="7"/>
        <v>0.58333333333333337</v>
      </c>
      <c r="L7" s="147">
        <f t="shared" si="7"/>
        <v>0.66666666666666663</v>
      </c>
      <c r="M7" s="147">
        <f t="shared" si="7"/>
        <v>0.75</v>
      </c>
      <c r="N7" s="147">
        <f t="shared" si="7"/>
        <v>0.83333333333333337</v>
      </c>
      <c r="O7" s="147">
        <f t="shared" si="7"/>
        <v>0.91666666666666663</v>
      </c>
      <c r="P7" s="147">
        <f t="shared" si="7"/>
        <v>1</v>
      </c>
      <c r="Q7" s="147">
        <f t="shared" si="7"/>
        <v>1.0833333333333333</v>
      </c>
      <c r="R7" s="147">
        <f t="shared" si="7"/>
        <v>1.1666666666666667</v>
      </c>
      <c r="S7" s="147">
        <f t="shared" si="7"/>
        <v>1.25</v>
      </c>
      <c r="T7" s="147">
        <f t="shared" si="7"/>
        <v>1.3333333333333333</v>
      </c>
      <c r="U7" s="147">
        <f t="shared" si="7"/>
        <v>1.4166666666666667</v>
      </c>
      <c r="V7" s="147">
        <f t="shared" si="7"/>
        <v>1.5</v>
      </c>
      <c r="W7" s="147">
        <f t="shared" si="7"/>
        <v>1.5833333333333333</v>
      </c>
      <c r="X7" s="147">
        <f t="shared" si="7"/>
        <v>1.6666666666666667</v>
      </c>
      <c r="Y7" s="147">
        <f t="shared" si="7"/>
        <v>1.75</v>
      </c>
      <c r="Z7" s="147">
        <f t="shared" si="7"/>
        <v>1.8333333333333333</v>
      </c>
      <c r="AA7" s="147">
        <f t="shared" si="7"/>
        <v>1.9166666666666667</v>
      </c>
      <c r="AB7" s="147">
        <f t="shared" si="7"/>
        <v>2</v>
      </c>
      <c r="AC7" s="147">
        <f t="shared" si="7"/>
        <v>2.0833333333333335</v>
      </c>
      <c r="AD7" s="147">
        <f t="shared" si="7"/>
        <v>2.1666666666666665</v>
      </c>
      <c r="AE7" s="147">
        <f t="shared" si="7"/>
        <v>2.25</v>
      </c>
      <c r="AF7" s="147">
        <f t="shared" si="7"/>
        <v>2.3333333333333335</v>
      </c>
      <c r="AG7" s="147">
        <f t="shared" si="7"/>
        <v>2.4166666666666665</v>
      </c>
      <c r="AH7" s="147">
        <f t="shared" si="7"/>
        <v>2.5</v>
      </c>
      <c r="AI7" s="147">
        <f t="shared" si="7"/>
        <v>2.5833333333333335</v>
      </c>
      <c r="AJ7" s="147">
        <f t="shared" si="7"/>
        <v>2.6666666666666665</v>
      </c>
      <c r="AK7" s="147">
        <f t="shared" si="7"/>
        <v>2.75</v>
      </c>
      <c r="AL7" s="147">
        <f t="shared" si="7"/>
        <v>2.8333333333333335</v>
      </c>
      <c r="AM7" s="147">
        <f t="shared" si="7"/>
        <v>2.9166666666666665</v>
      </c>
      <c r="AN7" s="147">
        <f t="shared" si="7"/>
        <v>3</v>
      </c>
      <c r="AO7" s="147">
        <f t="shared" si="7"/>
        <v>3.0833333333333335</v>
      </c>
      <c r="AP7" s="147">
        <f t="shared" si="7"/>
        <v>3.1666666666666665</v>
      </c>
      <c r="AQ7" s="147">
        <f t="shared" si="7"/>
        <v>3.25</v>
      </c>
      <c r="AR7" s="147">
        <f t="shared" si="7"/>
        <v>3.3333333333333335</v>
      </c>
      <c r="AS7" s="147">
        <f t="shared" si="7"/>
        <v>3.4166666666666665</v>
      </c>
      <c r="AT7" s="147">
        <f t="shared" si="7"/>
        <v>3.5</v>
      </c>
      <c r="AU7" s="147">
        <f t="shared" si="7"/>
        <v>3.5833333333333335</v>
      </c>
      <c r="AV7" s="147">
        <f t="shared" si="7"/>
        <v>3.6666666666666665</v>
      </c>
      <c r="AW7" s="147">
        <f t="shared" si="7"/>
        <v>3.75</v>
      </c>
      <c r="AX7" s="147">
        <f t="shared" si="7"/>
        <v>3.8333333333333335</v>
      </c>
      <c r="AY7" s="147">
        <f t="shared" si="7"/>
        <v>3.9166666666666665</v>
      </c>
      <c r="AZ7" s="147">
        <f t="shared" si="7"/>
        <v>4</v>
      </c>
      <c r="BA7" s="147">
        <f t="shared" si="7"/>
        <v>4.083333333333333</v>
      </c>
      <c r="BB7" s="147">
        <f t="shared" si="7"/>
        <v>4.166666666666667</v>
      </c>
      <c r="BC7" s="147">
        <f t="shared" si="7"/>
        <v>4.25</v>
      </c>
      <c r="BD7" s="147">
        <f t="shared" si="7"/>
        <v>4.333333333333333</v>
      </c>
      <c r="BE7" s="147">
        <f t="shared" si="7"/>
        <v>4.416666666666667</v>
      </c>
      <c r="BF7" s="147">
        <f t="shared" si="7"/>
        <v>4.5</v>
      </c>
      <c r="BG7" s="147">
        <f t="shared" si="7"/>
        <v>4.583333333333333</v>
      </c>
      <c r="BH7" s="147">
        <f t="shared" si="7"/>
        <v>4.666666666666667</v>
      </c>
      <c r="BI7" s="147">
        <f t="shared" si="7"/>
        <v>4.75</v>
      </c>
      <c r="BJ7" s="147">
        <f t="shared" si="7"/>
        <v>4.833333333333333</v>
      </c>
      <c r="BK7" s="147">
        <f t="shared" si="7"/>
        <v>4.916666666666667</v>
      </c>
      <c r="BL7" s="147">
        <f t="shared" si="7"/>
        <v>5</v>
      </c>
      <c r="BM7" s="147">
        <f t="shared" si="7"/>
        <v>5.083333333333333</v>
      </c>
      <c r="BN7" s="147">
        <f t="shared" si="7"/>
        <v>5.166666666666667</v>
      </c>
      <c r="BO7" s="147">
        <f t="shared" si="7"/>
        <v>5.25</v>
      </c>
      <c r="BP7" s="147">
        <f t="shared" si="7"/>
        <v>5.333333333333333</v>
      </c>
      <c r="BQ7" s="147">
        <f t="shared" si="7"/>
        <v>5.416666666666667</v>
      </c>
      <c r="BR7" s="147">
        <f t="shared" ref="BR7:EC7" si="8">BR6/12</f>
        <v>5.5</v>
      </c>
      <c r="BS7" s="147">
        <f t="shared" si="8"/>
        <v>5.583333333333333</v>
      </c>
      <c r="BT7" s="147">
        <f t="shared" si="8"/>
        <v>5.666666666666667</v>
      </c>
      <c r="BU7" s="147">
        <f t="shared" si="8"/>
        <v>5.75</v>
      </c>
      <c r="BV7" s="147">
        <f t="shared" si="8"/>
        <v>5.833333333333333</v>
      </c>
      <c r="BW7" s="147">
        <f t="shared" si="8"/>
        <v>5.916666666666667</v>
      </c>
      <c r="BX7" s="147">
        <f t="shared" si="8"/>
        <v>6</v>
      </c>
      <c r="BY7" s="147">
        <f t="shared" si="8"/>
        <v>6.083333333333333</v>
      </c>
      <c r="BZ7" s="147">
        <f t="shared" si="8"/>
        <v>6.166666666666667</v>
      </c>
      <c r="CA7" s="147">
        <f t="shared" si="8"/>
        <v>6.25</v>
      </c>
      <c r="CB7" s="147">
        <f t="shared" si="8"/>
        <v>6.333333333333333</v>
      </c>
      <c r="CC7" s="147">
        <f t="shared" si="8"/>
        <v>6.416666666666667</v>
      </c>
      <c r="CD7" s="147">
        <f t="shared" si="8"/>
        <v>6.5</v>
      </c>
      <c r="CE7" s="147">
        <f t="shared" si="8"/>
        <v>6.583333333333333</v>
      </c>
      <c r="CF7" s="147">
        <f t="shared" si="8"/>
        <v>6.666666666666667</v>
      </c>
      <c r="CG7" s="147">
        <f t="shared" si="8"/>
        <v>6.75</v>
      </c>
      <c r="CH7" s="147">
        <f t="shared" si="8"/>
        <v>6.833333333333333</v>
      </c>
      <c r="CI7" s="147">
        <f t="shared" si="8"/>
        <v>6.916666666666667</v>
      </c>
      <c r="CJ7" s="147">
        <f t="shared" si="8"/>
        <v>7</v>
      </c>
      <c r="CK7" s="147">
        <f t="shared" si="8"/>
        <v>7.083333333333333</v>
      </c>
      <c r="CL7" s="147">
        <f t="shared" si="8"/>
        <v>7.166666666666667</v>
      </c>
      <c r="CM7" s="147">
        <f t="shared" si="8"/>
        <v>7.25</v>
      </c>
      <c r="CN7" s="147">
        <f t="shared" si="8"/>
        <v>7.333333333333333</v>
      </c>
      <c r="CO7" s="147">
        <f t="shared" si="8"/>
        <v>7.416666666666667</v>
      </c>
      <c r="CP7" s="147">
        <f t="shared" si="8"/>
        <v>7.5</v>
      </c>
      <c r="CQ7" s="147">
        <f t="shared" si="8"/>
        <v>7.583333333333333</v>
      </c>
      <c r="CR7" s="147">
        <f t="shared" si="8"/>
        <v>7.666666666666667</v>
      </c>
      <c r="CS7" s="147">
        <f t="shared" si="8"/>
        <v>7.75</v>
      </c>
      <c r="CT7" s="147">
        <f t="shared" si="8"/>
        <v>7.833333333333333</v>
      </c>
      <c r="CU7" s="147">
        <f t="shared" si="8"/>
        <v>7.916666666666667</v>
      </c>
      <c r="CV7" s="147">
        <f t="shared" si="8"/>
        <v>8</v>
      </c>
      <c r="CW7" s="147">
        <f t="shared" si="8"/>
        <v>8.0833333333333339</v>
      </c>
      <c r="CX7" s="147">
        <f t="shared" si="8"/>
        <v>8.1666666666666661</v>
      </c>
      <c r="CY7" s="147">
        <f t="shared" si="8"/>
        <v>8.25</v>
      </c>
      <c r="CZ7" s="147">
        <f t="shared" si="8"/>
        <v>8.3333333333333339</v>
      </c>
      <c r="DA7" s="147">
        <f t="shared" si="8"/>
        <v>8.4166666666666661</v>
      </c>
      <c r="DB7" s="147">
        <f t="shared" si="8"/>
        <v>8.5</v>
      </c>
      <c r="DC7" s="147">
        <f t="shared" si="8"/>
        <v>8.5833333333333339</v>
      </c>
      <c r="DD7" s="147">
        <f t="shared" si="8"/>
        <v>8.6666666666666661</v>
      </c>
      <c r="DE7" s="147">
        <f t="shared" si="8"/>
        <v>8.75</v>
      </c>
      <c r="DF7" s="147">
        <f t="shared" si="8"/>
        <v>8.8333333333333339</v>
      </c>
      <c r="DG7" s="147">
        <f t="shared" si="8"/>
        <v>8.9166666666666661</v>
      </c>
      <c r="DH7" s="147">
        <f t="shared" si="8"/>
        <v>9</v>
      </c>
      <c r="DI7" s="147">
        <f t="shared" si="8"/>
        <v>9.0833333333333339</v>
      </c>
      <c r="DJ7" s="147">
        <f t="shared" si="8"/>
        <v>9.1666666666666661</v>
      </c>
      <c r="DK7" s="147">
        <f t="shared" si="8"/>
        <v>9.25</v>
      </c>
      <c r="DL7" s="147">
        <f t="shared" si="8"/>
        <v>9.3333333333333339</v>
      </c>
      <c r="DM7" s="147">
        <f t="shared" si="8"/>
        <v>9.4166666666666661</v>
      </c>
      <c r="DN7" s="147">
        <f t="shared" si="8"/>
        <v>9.5</v>
      </c>
      <c r="DO7" s="147">
        <f t="shared" si="8"/>
        <v>9.5833333333333339</v>
      </c>
      <c r="DP7" s="147">
        <f t="shared" si="8"/>
        <v>9.6666666666666661</v>
      </c>
      <c r="DQ7" s="147">
        <f t="shared" si="8"/>
        <v>9.75</v>
      </c>
      <c r="DR7" s="147">
        <f t="shared" si="8"/>
        <v>9.8333333333333339</v>
      </c>
      <c r="DS7" s="147">
        <f t="shared" si="8"/>
        <v>9.9166666666666661</v>
      </c>
      <c r="DT7" s="147">
        <f t="shared" si="8"/>
        <v>10</v>
      </c>
      <c r="DU7" s="147">
        <f t="shared" si="8"/>
        <v>10.083333333333334</v>
      </c>
      <c r="DV7" s="147">
        <f t="shared" si="8"/>
        <v>10.166666666666666</v>
      </c>
      <c r="DW7" s="147">
        <f t="shared" si="8"/>
        <v>10.25</v>
      </c>
      <c r="DX7" s="147">
        <f t="shared" si="8"/>
        <v>10.333333333333334</v>
      </c>
      <c r="DY7" s="147">
        <f t="shared" si="8"/>
        <v>10.416666666666666</v>
      </c>
      <c r="DZ7" s="147">
        <f t="shared" si="8"/>
        <v>10.5</v>
      </c>
      <c r="EA7" s="147">
        <f t="shared" si="8"/>
        <v>10.583333333333334</v>
      </c>
      <c r="EB7" s="147">
        <f t="shared" si="8"/>
        <v>10.666666666666666</v>
      </c>
      <c r="EC7" s="147">
        <f t="shared" si="8"/>
        <v>10.75</v>
      </c>
      <c r="ED7" s="147">
        <f t="shared" ref="ED7:GO7" si="9">ED6/12</f>
        <v>10.833333333333334</v>
      </c>
      <c r="EE7" s="147">
        <f t="shared" si="9"/>
        <v>10.916666666666666</v>
      </c>
      <c r="EF7" s="147">
        <f t="shared" si="9"/>
        <v>11</v>
      </c>
      <c r="EG7" s="147">
        <f t="shared" si="9"/>
        <v>11.083333333333334</v>
      </c>
      <c r="EH7" s="147">
        <f t="shared" si="9"/>
        <v>11.166666666666666</v>
      </c>
      <c r="EI7" s="147">
        <f t="shared" si="9"/>
        <v>11.25</v>
      </c>
      <c r="EJ7" s="147">
        <f t="shared" si="9"/>
        <v>11.333333333333334</v>
      </c>
      <c r="EK7" s="147">
        <f t="shared" si="9"/>
        <v>11.416666666666666</v>
      </c>
      <c r="EL7" s="147">
        <f t="shared" si="9"/>
        <v>11.5</v>
      </c>
      <c r="EM7" s="147">
        <f t="shared" si="9"/>
        <v>11.583333333333334</v>
      </c>
      <c r="EN7" s="147">
        <f t="shared" si="9"/>
        <v>11.666666666666666</v>
      </c>
      <c r="EO7" s="147">
        <f t="shared" si="9"/>
        <v>11.75</v>
      </c>
      <c r="EP7" s="147">
        <f t="shared" si="9"/>
        <v>11.833333333333334</v>
      </c>
      <c r="EQ7" s="147">
        <f t="shared" si="9"/>
        <v>11.916666666666666</v>
      </c>
      <c r="ER7" s="147">
        <f t="shared" si="9"/>
        <v>12</v>
      </c>
      <c r="ES7" s="147">
        <f t="shared" si="9"/>
        <v>12.083333333333334</v>
      </c>
      <c r="ET7" s="147">
        <f t="shared" si="9"/>
        <v>12.166666666666666</v>
      </c>
      <c r="EU7" s="147">
        <f t="shared" si="9"/>
        <v>12.25</v>
      </c>
      <c r="EV7" s="147">
        <f t="shared" si="9"/>
        <v>12.333333333333334</v>
      </c>
      <c r="EW7" s="147">
        <f t="shared" si="9"/>
        <v>12.416666666666666</v>
      </c>
      <c r="EX7" s="147">
        <f t="shared" si="9"/>
        <v>12.5</v>
      </c>
      <c r="EY7" s="147">
        <f t="shared" si="9"/>
        <v>12.583333333333334</v>
      </c>
      <c r="EZ7" s="147">
        <f t="shared" si="9"/>
        <v>12.666666666666666</v>
      </c>
      <c r="FA7" s="147">
        <f t="shared" si="9"/>
        <v>12.75</v>
      </c>
      <c r="FB7" s="147">
        <f t="shared" si="9"/>
        <v>12.833333333333334</v>
      </c>
      <c r="FC7" s="147">
        <f t="shared" si="9"/>
        <v>12.916666666666666</v>
      </c>
      <c r="FD7" s="147">
        <f t="shared" si="9"/>
        <v>13</v>
      </c>
      <c r="FE7" s="147">
        <f t="shared" si="9"/>
        <v>13.083333333333334</v>
      </c>
      <c r="FF7" s="147">
        <f t="shared" si="9"/>
        <v>13.166666666666666</v>
      </c>
      <c r="FG7" s="147">
        <f t="shared" si="9"/>
        <v>13.25</v>
      </c>
      <c r="FH7" s="147">
        <f t="shared" si="9"/>
        <v>13.333333333333334</v>
      </c>
      <c r="FI7" s="147">
        <f t="shared" si="9"/>
        <v>13.416666666666666</v>
      </c>
      <c r="FJ7" s="147">
        <f t="shared" si="9"/>
        <v>13.5</v>
      </c>
      <c r="FK7" s="147">
        <f t="shared" si="9"/>
        <v>13.583333333333334</v>
      </c>
      <c r="FL7" s="147">
        <f t="shared" si="9"/>
        <v>13.666666666666666</v>
      </c>
      <c r="FM7" s="147">
        <f t="shared" si="9"/>
        <v>13.75</v>
      </c>
      <c r="FN7" s="147">
        <f t="shared" si="9"/>
        <v>13.833333333333334</v>
      </c>
      <c r="FO7" s="147">
        <f t="shared" si="9"/>
        <v>13.916666666666666</v>
      </c>
      <c r="FP7" s="147">
        <f t="shared" si="9"/>
        <v>14</v>
      </c>
      <c r="FQ7" s="147">
        <f t="shared" si="9"/>
        <v>14.083333333333334</v>
      </c>
      <c r="FR7" s="147">
        <f t="shared" si="9"/>
        <v>14.166666666666666</v>
      </c>
      <c r="FS7" s="147">
        <f t="shared" si="9"/>
        <v>14.25</v>
      </c>
      <c r="FT7" s="147">
        <f t="shared" si="9"/>
        <v>14.333333333333334</v>
      </c>
      <c r="FU7" s="147">
        <f t="shared" si="9"/>
        <v>14.416666666666666</v>
      </c>
      <c r="FV7" s="147">
        <f t="shared" si="9"/>
        <v>14.5</v>
      </c>
      <c r="FW7" s="147">
        <f t="shared" si="9"/>
        <v>14.583333333333334</v>
      </c>
      <c r="FX7" s="147">
        <f t="shared" si="9"/>
        <v>14.666666666666666</v>
      </c>
      <c r="FY7" s="147">
        <f t="shared" si="9"/>
        <v>14.75</v>
      </c>
      <c r="FZ7" s="147">
        <f t="shared" si="9"/>
        <v>14.833333333333334</v>
      </c>
      <c r="GA7" s="147">
        <f t="shared" si="9"/>
        <v>14.916666666666666</v>
      </c>
      <c r="GB7" s="147">
        <f t="shared" si="9"/>
        <v>15</v>
      </c>
      <c r="GC7" s="279">
        <f t="shared" si="9"/>
        <v>15.083333333333334</v>
      </c>
      <c r="GD7" s="147">
        <f t="shared" si="9"/>
        <v>15.166666666666666</v>
      </c>
      <c r="GE7" s="147">
        <f t="shared" si="9"/>
        <v>15.25</v>
      </c>
      <c r="GF7" s="147">
        <f t="shared" si="9"/>
        <v>15.333333333333334</v>
      </c>
      <c r="GG7" s="147">
        <f t="shared" si="9"/>
        <v>15.416666666666666</v>
      </c>
      <c r="GH7" s="147">
        <f t="shared" si="9"/>
        <v>15.5</v>
      </c>
      <c r="GI7" s="147">
        <f t="shared" si="9"/>
        <v>15.583333333333334</v>
      </c>
      <c r="GJ7" s="147">
        <f t="shared" si="9"/>
        <v>15.666666666666666</v>
      </c>
      <c r="GK7" s="147">
        <f t="shared" si="9"/>
        <v>15.75</v>
      </c>
      <c r="GL7" s="147">
        <f t="shared" si="9"/>
        <v>15.833333333333334</v>
      </c>
      <c r="GM7" s="147">
        <f t="shared" si="9"/>
        <v>15.916666666666666</v>
      </c>
      <c r="GN7" s="147">
        <f t="shared" si="9"/>
        <v>16</v>
      </c>
      <c r="GO7" s="147">
        <f t="shared" si="9"/>
        <v>16.083333333333332</v>
      </c>
      <c r="GP7" s="147">
        <f t="shared" ref="GP7:JA7" si="10">GP6/12</f>
        <v>16.166666666666668</v>
      </c>
      <c r="GQ7" s="147">
        <f t="shared" si="10"/>
        <v>16.25</v>
      </c>
      <c r="GR7" s="147">
        <f t="shared" si="10"/>
        <v>16.333333333333332</v>
      </c>
      <c r="GS7" s="147">
        <f t="shared" si="10"/>
        <v>16.416666666666668</v>
      </c>
      <c r="GT7" s="147">
        <f t="shared" si="10"/>
        <v>16.5</v>
      </c>
      <c r="GU7" s="147">
        <f t="shared" si="10"/>
        <v>16.583333333333332</v>
      </c>
      <c r="GV7" s="147">
        <f t="shared" si="10"/>
        <v>16.666666666666668</v>
      </c>
      <c r="GW7" s="147">
        <f t="shared" si="10"/>
        <v>16.75</v>
      </c>
      <c r="GX7" s="147">
        <f t="shared" si="10"/>
        <v>16.833333333333332</v>
      </c>
      <c r="GY7" s="147">
        <f t="shared" si="10"/>
        <v>16.916666666666668</v>
      </c>
      <c r="GZ7" s="147">
        <f t="shared" si="10"/>
        <v>17</v>
      </c>
      <c r="HA7" s="147">
        <f t="shared" si="10"/>
        <v>17.083333333333332</v>
      </c>
      <c r="HB7" s="147">
        <f t="shared" si="10"/>
        <v>17.166666666666668</v>
      </c>
      <c r="HC7" s="147">
        <f t="shared" si="10"/>
        <v>17.25</v>
      </c>
      <c r="HD7" s="147">
        <f t="shared" si="10"/>
        <v>17.333333333333332</v>
      </c>
      <c r="HE7" s="147">
        <f t="shared" si="10"/>
        <v>17.416666666666668</v>
      </c>
      <c r="HF7" s="147">
        <f t="shared" si="10"/>
        <v>17.5</v>
      </c>
      <c r="HG7" s="147">
        <f t="shared" si="10"/>
        <v>17.583333333333332</v>
      </c>
      <c r="HH7" s="147">
        <f t="shared" si="10"/>
        <v>17.666666666666668</v>
      </c>
      <c r="HI7" s="147">
        <f t="shared" si="10"/>
        <v>17.75</v>
      </c>
      <c r="HJ7" s="147">
        <f t="shared" si="10"/>
        <v>17.833333333333332</v>
      </c>
      <c r="HK7" s="147">
        <f t="shared" si="10"/>
        <v>17.916666666666668</v>
      </c>
      <c r="HL7" s="147">
        <f t="shared" si="10"/>
        <v>18</v>
      </c>
      <c r="HM7" s="147">
        <f t="shared" si="10"/>
        <v>18.083333333333332</v>
      </c>
      <c r="HN7" s="147">
        <f t="shared" si="10"/>
        <v>18.166666666666668</v>
      </c>
      <c r="HO7" s="147">
        <f t="shared" si="10"/>
        <v>18.25</v>
      </c>
      <c r="HP7" s="147">
        <f t="shared" si="10"/>
        <v>18.333333333333332</v>
      </c>
      <c r="HQ7" s="147">
        <f t="shared" si="10"/>
        <v>18.416666666666668</v>
      </c>
      <c r="HR7" s="147">
        <f t="shared" si="10"/>
        <v>18.5</v>
      </c>
      <c r="HS7" s="147">
        <f t="shared" si="10"/>
        <v>18.583333333333332</v>
      </c>
      <c r="HT7" s="147">
        <f t="shared" si="10"/>
        <v>18.666666666666668</v>
      </c>
      <c r="HU7" s="147">
        <f t="shared" si="10"/>
        <v>18.75</v>
      </c>
      <c r="HV7" s="147">
        <f t="shared" si="10"/>
        <v>18.833333333333332</v>
      </c>
      <c r="HW7" s="147">
        <f t="shared" si="10"/>
        <v>18.916666666666668</v>
      </c>
      <c r="HX7" s="147">
        <f t="shared" si="10"/>
        <v>19</v>
      </c>
      <c r="HY7" s="147">
        <f t="shared" si="10"/>
        <v>19.083333333333332</v>
      </c>
      <c r="HZ7" s="147">
        <f t="shared" si="10"/>
        <v>19.166666666666668</v>
      </c>
      <c r="IA7" s="147">
        <f t="shared" si="10"/>
        <v>19.25</v>
      </c>
      <c r="IB7" s="147">
        <f t="shared" si="10"/>
        <v>19.333333333333332</v>
      </c>
      <c r="IC7" s="147">
        <f t="shared" si="10"/>
        <v>19.416666666666668</v>
      </c>
      <c r="ID7" s="147">
        <f t="shared" si="10"/>
        <v>19.5</v>
      </c>
      <c r="IE7" s="147">
        <f t="shared" si="10"/>
        <v>19.583333333333332</v>
      </c>
      <c r="IF7" s="147">
        <f t="shared" si="10"/>
        <v>19.666666666666668</v>
      </c>
      <c r="IG7" s="147">
        <f t="shared" si="10"/>
        <v>19.75</v>
      </c>
      <c r="IH7" s="147">
        <f t="shared" si="10"/>
        <v>19.833333333333332</v>
      </c>
      <c r="II7" s="147">
        <f t="shared" si="10"/>
        <v>19.916666666666668</v>
      </c>
      <c r="IJ7" s="147">
        <f t="shared" si="10"/>
        <v>20</v>
      </c>
      <c r="IK7" s="147">
        <f t="shared" si="10"/>
        <v>20.083333333333332</v>
      </c>
      <c r="IL7" s="147">
        <f t="shared" si="10"/>
        <v>20.166666666666668</v>
      </c>
      <c r="IM7" s="147">
        <f t="shared" si="10"/>
        <v>20.25</v>
      </c>
      <c r="IN7" s="147">
        <f t="shared" si="10"/>
        <v>20.333333333333332</v>
      </c>
      <c r="IO7" s="147">
        <f t="shared" si="10"/>
        <v>20.416666666666668</v>
      </c>
      <c r="IP7" s="147">
        <f t="shared" si="10"/>
        <v>20.5</v>
      </c>
      <c r="IQ7" s="147">
        <f t="shared" si="10"/>
        <v>20.583333333333332</v>
      </c>
      <c r="IR7" s="147">
        <f t="shared" si="10"/>
        <v>20.666666666666668</v>
      </c>
      <c r="IS7" s="147">
        <f t="shared" si="10"/>
        <v>20.75</v>
      </c>
      <c r="IT7" s="147">
        <f t="shared" si="10"/>
        <v>20.833333333333332</v>
      </c>
      <c r="IU7" s="147">
        <f t="shared" si="10"/>
        <v>20.916666666666668</v>
      </c>
      <c r="IV7" s="147">
        <f t="shared" si="10"/>
        <v>21</v>
      </c>
      <c r="IW7" s="147">
        <f t="shared" si="10"/>
        <v>21.083333333333332</v>
      </c>
      <c r="IX7" s="147">
        <f t="shared" si="10"/>
        <v>21.166666666666668</v>
      </c>
      <c r="IY7" s="147">
        <f t="shared" si="10"/>
        <v>21.25</v>
      </c>
      <c r="IZ7" s="147">
        <f t="shared" si="10"/>
        <v>21.333333333333332</v>
      </c>
      <c r="JA7" s="147">
        <f t="shared" si="10"/>
        <v>21.416666666666668</v>
      </c>
      <c r="JB7" s="147">
        <f t="shared" ref="JB7:LM7" si="11">JB6/12</f>
        <v>21.5</v>
      </c>
      <c r="JC7" s="147">
        <f t="shared" si="11"/>
        <v>21.583333333333332</v>
      </c>
      <c r="JD7" s="147">
        <f t="shared" si="11"/>
        <v>21.666666666666668</v>
      </c>
      <c r="JE7" s="147">
        <f t="shared" si="11"/>
        <v>21.75</v>
      </c>
      <c r="JF7" s="147">
        <f t="shared" si="11"/>
        <v>21.833333333333332</v>
      </c>
      <c r="JG7" s="147">
        <f t="shared" si="11"/>
        <v>21.916666666666668</v>
      </c>
      <c r="JH7" s="147">
        <f t="shared" si="11"/>
        <v>22</v>
      </c>
      <c r="JI7" s="147">
        <f t="shared" si="11"/>
        <v>22.083333333333332</v>
      </c>
      <c r="JJ7" s="147">
        <f t="shared" si="11"/>
        <v>22.166666666666668</v>
      </c>
      <c r="JK7" s="147">
        <f t="shared" si="11"/>
        <v>22.25</v>
      </c>
      <c r="JL7" s="147">
        <f t="shared" si="11"/>
        <v>22.333333333333332</v>
      </c>
      <c r="JM7" s="147">
        <f t="shared" si="11"/>
        <v>22.416666666666668</v>
      </c>
      <c r="JN7" s="147">
        <f t="shared" si="11"/>
        <v>22.5</v>
      </c>
      <c r="JO7" s="147">
        <f t="shared" si="11"/>
        <v>22.583333333333332</v>
      </c>
      <c r="JP7" s="147">
        <f t="shared" si="11"/>
        <v>22.666666666666668</v>
      </c>
      <c r="JQ7" s="147">
        <f t="shared" si="11"/>
        <v>22.75</v>
      </c>
      <c r="JR7" s="147">
        <f t="shared" si="11"/>
        <v>22.833333333333332</v>
      </c>
      <c r="JS7" s="147">
        <f t="shared" si="11"/>
        <v>22.916666666666668</v>
      </c>
      <c r="JT7" s="147">
        <f t="shared" si="11"/>
        <v>23</v>
      </c>
      <c r="JU7" s="147">
        <f t="shared" si="11"/>
        <v>23.083333333333332</v>
      </c>
      <c r="JV7" s="147">
        <f t="shared" si="11"/>
        <v>23.166666666666668</v>
      </c>
      <c r="JW7" s="147">
        <f t="shared" si="11"/>
        <v>23.25</v>
      </c>
      <c r="JX7" s="147">
        <f t="shared" si="11"/>
        <v>23.333333333333332</v>
      </c>
      <c r="JY7" s="147">
        <f t="shared" si="11"/>
        <v>23.416666666666668</v>
      </c>
      <c r="JZ7" s="147">
        <f t="shared" si="11"/>
        <v>23.5</v>
      </c>
      <c r="KA7" s="147">
        <f t="shared" si="11"/>
        <v>23.583333333333332</v>
      </c>
      <c r="KB7" s="147">
        <f t="shared" si="11"/>
        <v>23.666666666666668</v>
      </c>
      <c r="KC7" s="147">
        <f t="shared" si="11"/>
        <v>23.75</v>
      </c>
      <c r="KD7" s="147">
        <f t="shared" si="11"/>
        <v>23.833333333333332</v>
      </c>
      <c r="KE7" s="147">
        <f t="shared" si="11"/>
        <v>23.916666666666668</v>
      </c>
      <c r="KF7" s="147">
        <f t="shared" si="11"/>
        <v>24</v>
      </c>
      <c r="KG7" s="147">
        <f t="shared" si="11"/>
        <v>24.083333333333332</v>
      </c>
      <c r="KH7" s="147">
        <f t="shared" si="11"/>
        <v>24.166666666666668</v>
      </c>
      <c r="KI7" s="147">
        <f t="shared" si="11"/>
        <v>24.25</v>
      </c>
      <c r="KJ7" s="147">
        <f t="shared" si="11"/>
        <v>24.333333333333332</v>
      </c>
      <c r="KK7" s="147">
        <f t="shared" si="11"/>
        <v>24.416666666666668</v>
      </c>
      <c r="KL7" s="147">
        <f t="shared" si="11"/>
        <v>24.5</v>
      </c>
      <c r="KM7" s="147">
        <f t="shared" si="11"/>
        <v>24.583333333333332</v>
      </c>
      <c r="KN7" s="147">
        <f t="shared" si="11"/>
        <v>24.666666666666668</v>
      </c>
      <c r="KO7" s="147">
        <f t="shared" si="11"/>
        <v>24.75</v>
      </c>
      <c r="KP7" s="147">
        <f t="shared" si="11"/>
        <v>24.833333333333332</v>
      </c>
      <c r="KQ7" s="147">
        <f t="shared" si="11"/>
        <v>24.916666666666668</v>
      </c>
      <c r="KR7" s="147">
        <f t="shared" si="11"/>
        <v>25</v>
      </c>
      <c r="KS7" s="147">
        <f t="shared" si="11"/>
        <v>25.083333333333332</v>
      </c>
      <c r="KT7" s="147">
        <f t="shared" si="11"/>
        <v>25.166666666666668</v>
      </c>
      <c r="KU7" s="147">
        <f t="shared" si="11"/>
        <v>25.25</v>
      </c>
      <c r="KV7" s="147">
        <f t="shared" si="11"/>
        <v>25.333333333333332</v>
      </c>
      <c r="KW7" s="147">
        <f t="shared" si="11"/>
        <v>25.416666666666668</v>
      </c>
      <c r="KX7" s="147">
        <f t="shared" si="11"/>
        <v>25.5</v>
      </c>
      <c r="KY7" s="147">
        <f t="shared" si="11"/>
        <v>25.583333333333332</v>
      </c>
      <c r="KZ7" s="147">
        <f t="shared" si="11"/>
        <v>25.666666666666668</v>
      </c>
      <c r="LA7" s="147">
        <f t="shared" si="11"/>
        <v>25.75</v>
      </c>
      <c r="LB7" s="147">
        <f t="shared" si="11"/>
        <v>25.833333333333332</v>
      </c>
      <c r="LC7" s="147">
        <f t="shared" si="11"/>
        <v>25.916666666666668</v>
      </c>
      <c r="LD7" s="147">
        <f t="shared" si="11"/>
        <v>26</v>
      </c>
      <c r="LE7" s="147">
        <f t="shared" si="11"/>
        <v>26.083333333333332</v>
      </c>
      <c r="LF7" s="147">
        <f t="shared" si="11"/>
        <v>26.166666666666668</v>
      </c>
      <c r="LG7" s="147">
        <f t="shared" si="11"/>
        <v>26.25</v>
      </c>
      <c r="LH7" s="147">
        <f t="shared" si="11"/>
        <v>26.333333333333332</v>
      </c>
      <c r="LI7" s="147">
        <f t="shared" si="11"/>
        <v>26.416666666666668</v>
      </c>
      <c r="LJ7" s="147">
        <f t="shared" si="11"/>
        <v>26.5</v>
      </c>
      <c r="LK7" s="147">
        <f t="shared" si="11"/>
        <v>26.583333333333332</v>
      </c>
      <c r="LL7" s="147">
        <f t="shared" si="11"/>
        <v>26.666666666666668</v>
      </c>
      <c r="LM7" s="147">
        <f t="shared" si="11"/>
        <v>26.75</v>
      </c>
      <c r="LN7" s="147">
        <f t="shared" ref="LN7:NY7" si="12">LN6/12</f>
        <v>26.833333333333332</v>
      </c>
      <c r="LO7" s="147">
        <f t="shared" si="12"/>
        <v>26.916666666666668</v>
      </c>
      <c r="LP7" s="147">
        <f t="shared" si="12"/>
        <v>27</v>
      </c>
      <c r="LQ7" s="147">
        <f t="shared" si="12"/>
        <v>27.083333333333332</v>
      </c>
      <c r="LR7" s="147">
        <f t="shared" si="12"/>
        <v>27.166666666666668</v>
      </c>
      <c r="LS7" s="147">
        <f t="shared" si="12"/>
        <v>27.25</v>
      </c>
      <c r="LT7" s="147">
        <f t="shared" si="12"/>
        <v>27.333333333333332</v>
      </c>
      <c r="LU7" s="147">
        <f t="shared" si="12"/>
        <v>27.416666666666668</v>
      </c>
      <c r="LV7" s="147">
        <f t="shared" si="12"/>
        <v>27.5</v>
      </c>
      <c r="LW7" s="147">
        <f t="shared" si="12"/>
        <v>27.583333333333332</v>
      </c>
      <c r="LX7" s="147">
        <f t="shared" si="12"/>
        <v>27.666666666666668</v>
      </c>
      <c r="LY7" s="147">
        <f t="shared" si="12"/>
        <v>27.75</v>
      </c>
      <c r="LZ7" s="147">
        <f t="shared" si="12"/>
        <v>27.833333333333332</v>
      </c>
      <c r="MA7" s="147">
        <f t="shared" si="12"/>
        <v>27.916666666666668</v>
      </c>
      <c r="MB7" s="147">
        <f t="shared" si="12"/>
        <v>28</v>
      </c>
      <c r="MC7" s="147">
        <f t="shared" si="12"/>
        <v>28.083333333333332</v>
      </c>
      <c r="MD7" s="147">
        <f t="shared" si="12"/>
        <v>28.166666666666668</v>
      </c>
      <c r="ME7" s="147">
        <f t="shared" si="12"/>
        <v>28.25</v>
      </c>
      <c r="MF7" s="147">
        <f t="shared" si="12"/>
        <v>28.333333333333332</v>
      </c>
      <c r="MG7" s="147">
        <f t="shared" si="12"/>
        <v>28.416666666666668</v>
      </c>
      <c r="MH7" s="147">
        <f t="shared" si="12"/>
        <v>28.5</v>
      </c>
      <c r="MI7" s="147">
        <f t="shared" si="12"/>
        <v>28.583333333333332</v>
      </c>
      <c r="MJ7" s="147">
        <f t="shared" si="12"/>
        <v>28.666666666666668</v>
      </c>
      <c r="MK7" s="147">
        <f t="shared" si="12"/>
        <v>28.75</v>
      </c>
      <c r="ML7" s="147">
        <f t="shared" si="12"/>
        <v>28.833333333333332</v>
      </c>
      <c r="MM7" s="147">
        <f t="shared" si="12"/>
        <v>28.916666666666668</v>
      </c>
      <c r="MN7" s="147">
        <f t="shared" si="12"/>
        <v>29</v>
      </c>
      <c r="MO7" s="147">
        <f t="shared" si="12"/>
        <v>29.083333333333332</v>
      </c>
      <c r="MP7" s="147">
        <f t="shared" si="12"/>
        <v>29.166666666666668</v>
      </c>
      <c r="MQ7" s="147">
        <f t="shared" si="12"/>
        <v>29.25</v>
      </c>
      <c r="MR7" s="147">
        <f t="shared" si="12"/>
        <v>29.333333333333332</v>
      </c>
      <c r="MS7" s="147">
        <f t="shared" si="12"/>
        <v>29.416666666666668</v>
      </c>
      <c r="MT7" s="147">
        <f t="shared" si="12"/>
        <v>29.5</v>
      </c>
      <c r="MU7" s="147">
        <f t="shared" si="12"/>
        <v>29.583333333333332</v>
      </c>
      <c r="MV7" s="147">
        <f t="shared" si="12"/>
        <v>29.666666666666668</v>
      </c>
      <c r="MW7" s="147">
        <f t="shared" si="12"/>
        <v>29.75</v>
      </c>
      <c r="MX7" s="147">
        <f t="shared" si="12"/>
        <v>29.833333333333332</v>
      </c>
      <c r="MY7" s="147">
        <f t="shared" si="12"/>
        <v>29.916666666666668</v>
      </c>
      <c r="MZ7" s="147">
        <f t="shared" si="12"/>
        <v>30</v>
      </c>
      <c r="NA7" s="147">
        <f t="shared" si="12"/>
        <v>30.083333333333332</v>
      </c>
      <c r="NB7" s="147">
        <f t="shared" si="12"/>
        <v>30.166666666666668</v>
      </c>
      <c r="NC7" s="147">
        <f t="shared" si="12"/>
        <v>30.25</v>
      </c>
      <c r="ND7" s="147">
        <f t="shared" si="12"/>
        <v>30.333333333333332</v>
      </c>
      <c r="NE7" s="147">
        <f t="shared" si="12"/>
        <v>30.416666666666668</v>
      </c>
      <c r="NF7" s="147">
        <f t="shared" si="12"/>
        <v>30.5</v>
      </c>
      <c r="NG7" s="147">
        <f t="shared" si="12"/>
        <v>30.583333333333332</v>
      </c>
      <c r="NH7" s="147">
        <f t="shared" si="12"/>
        <v>30.666666666666668</v>
      </c>
      <c r="NI7" s="147">
        <f t="shared" si="12"/>
        <v>30.75</v>
      </c>
      <c r="NJ7" s="147">
        <f t="shared" si="12"/>
        <v>30.833333333333332</v>
      </c>
      <c r="NK7" s="147">
        <f t="shared" si="12"/>
        <v>30.916666666666668</v>
      </c>
      <c r="NL7" s="147">
        <f t="shared" si="12"/>
        <v>31</v>
      </c>
      <c r="NM7" s="147">
        <f t="shared" si="12"/>
        <v>31.083333333333332</v>
      </c>
      <c r="NN7" s="147">
        <f t="shared" si="12"/>
        <v>31.166666666666668</v>
      </c>
      <c r="NO7" s="147">
        <f t="shared" si="12"/>
        <v>31.25</v>
      </c>
      <c r="NP7" s="147">
        <f t="shared" si="12"/>
        <v>31.333333333333332</v>
      </c>
      <c r="NQ7" s="147">
        <f t="shared" si="12"/>
        <v>31.416666666666668</v>
      </c>
      <c r="NR7" s="147">
        <f t="shared" si="12"/>
        <v>31.5</v>
      </c>
      <c r="NS7" s="147">
        <f t="shared" si="12"/>
        <v>31.583333333333332</v>
      </c>
      <c r="NT7" s="147">
        <f t="shared" si="12"/>
        <v>31.666666666666668</v>
      </c>
      <c r="NU7" s="147">
        <f t="shared" si="12"/>
        <v>31.75</v>
      </c>
      <c r="NV7" s="147">
        <f t="shared" si="12"/>
        <v>31.833333333333332</v>
      </c>
      <c r="NW7" s="147">
        <f t="shared" si="12"/>
        <v>31.916666666666668</v>
      </c>
      <c r="NX7" s="147">
        <f t="shared" si="12"/>
        <v>32</v>
      </c>
      <c r="NY7" s="147">
        <f t="shared" si="12"/>
        <v>32.083333333333336</v>
      </c>
      <c r="NZ7" s="147">
        <f t="shared" ref="NZ7:QK7" si="13">NZ6/12</f>
        <v>32.166666666666664</v>
      </c>
      <c r="OA7" s="147">
        <f t="shared" si="13"/>
        <v>32.25</v>
      </c>
      <c r="OB7" s="147">
        <f t="shared" si="13"/>
        <v>32.333333333333336</v>
      </c>
      <c r="OC7" s="147">
        <f t="shared" si="13"/>
        <v>32.416666666666664</v>
      </c>
      <c r="OD7" s="147">
        <f t="shared" si="13"/>
        <v>32.5</v>
      </c>
      <c r="OE7" s="147">
        <f t="shared" si="13"/>
        <v>32.583333333333336</v>
      </c>
      <c r="OF7" s="147">
        <f t="shared" si="13"/>
        <v>32.666666666666664</v>
      </c>
      <c r="OG7" s="147">
        <f t="shared" si="13"/>
        <v>32.75</v>
      </c>
      <c r="OH7" s="147">
        <f t="shared" si="13"/>
        <v>32.833333333333336</v>
      </c>
      <c r="OI7" s="147">
        <f t="shared" si="13"/>
        <v>32.916666666666664</v>
      </c>
      <c r="OJ7" s="147">
        <f t="shared" si="13"/>
        <v>33</v>
      </c>
      <c r="OK7" s="147">
        <f t="shared" si="13"/>
        <v>33.083333333333336</v>
      </c>
      <c r="OL7" s="147">
        <f t="shared" si="13"/>
        <v>33.166666666666664</v>
      </c>
      <c r="OM7" s="147">
        <f t="shared" si="13"/>
        <v>33.25</v>
      </c>
      <c r="ON7" s="147">
        <f t="shared" si="13"/>
        <v>33.333333333333336</v>
      </c>
      <c r="OO7" s="147">
        <f t="shared" si="13"/>
        <v>33.416666666666664</v>
      </c>
      <c r="OP7" s="147">
        <f t="shared" si="13"/>
        <v>33.5</v>
      </c>
      <c r="OQ7" s="147">
        <f t="shared" si="13"/>
        <v>33.583333333333336</v>
      </c>
      <c r="OR7" s="147">
        <f t="shared" si="13"/>
        <v>33.666666666666664</v>
      </c>
      <c r="OS7" s="147">
        <f t="shared" si="13"/>
        <v>33.75</v>
      </c>
      <c r="OT7" s="147">
        <f t="shared" si="13"/>
        <v>33.833333333333336</v>
      </c>
      <c r="OU7" s="147">
        <f t="shared" si="13"/>
        <v>33.916666666666664</v>
      </c>
      <c r="OV7" s="147">
        <f t="shared" si="13"/>
        <v>34</v>
      </c>
      <c r="OW7" s="147">
        <f t="shared" si="13"/>
        <v>34.083333333333336</v>
      </c>
      <c r="OX7" s="147">
        <f t="shared" si="13"/>
        <v>34.166666666666664</v>
      </c>
      <c r="OY7" s="147">
        <f t="shared" si="13"/>
        <v>34.25</v>
      </c>
      <c r="OZ7" s="147">
        <f t="shared" si="13"/>
        <v>34.333333333333336</v>
      </c>
      <c r="PA7" s="147">
        <f t="shared" si="13"/>
        <v>34.416666666666664</v>
      </c>
      <c r="PB7" s="147">
        <f t="shared" si="13"/>
        <v>34.5</v>
      </c>
      <c r="PC7" s="147">
        <f t="shared" si="13"/>
        <v>34.583333333333336</v>
      </c>
      <c r="PD7" s="147">
        <f t="shared" si="13"/>
        <v>34.666666666666664</v>
      </c>
      <c r="PE7" s="147">
        <f t="shared" si="13"/>
        <v>34.75</v>
      </c>
      <c r="PF7" s="147">
        <f t="shared" si="13"/>
        <v>34.833333333333336</v>
      </c>
      <c r="PG7" s="147">
        <f t="shared" si="13"/>
        <v>34.916666666666664</v>
      </c>
      <c r="PH7" s="147">
        <f t="shared" si="13"/>
        <v>35</v>
      </c>
      <c r="PI7" s="147">
        <f t="shared" si="13"/>
        <v>35.083333333333336</v>
      </c>
      <c r="PJ7" s="147">
        <f t="shared" si="13"/>
        <v>35.166666666666664</v>
      </c>
      <c r="PK7" s="147">
        <f t="shared" si="13"/>
        <v>35.25</v>
      </c>
      <c r="PL7" s="147">
        <f t="shared" si="13"/>
        <v>35.333333333333336</v>
      </c>
      <c r="PM7" s="147">
        <f t="shared" si="13"/>
        <v>35.416666666666664</v>
      </c>
      <c r="PN7" s="147">
        <f t="shared" si="13"/>
        <v>35.5</v>
      </c>
      <c r="PO7" s="147">
        <f t="shared" si="13"/>
        <v>35.583333333333336</v>
      </c>
      <c r="PP7" s="147">
        <f t="shared" si="13"/>
        <v>35.666666666666664</v>
      </c>
      <c r="PQ7" s="147">
        <f t="shared" si="13"/>
        <v>35.75</v>
      </c>
      <c r="PR7" s="147">
        <f t="shared" si="13"/>
        <v>35.833333333333336</v>
      </c>
      <c r="PS7" s="147">
        <f t="shared" si="13"/>
        <v>35.916666666666664</v>
      </c>
      <c r="PT7" s="147">
        <f t="shared" si="13"/>
        <v>36</v>
      </c>
      <c r="PU7" s="147">
        <f t="shared" si="13"/>
        <v>36.083333333333336</v>
      </c>
      <c r="PV7" s="147">
        <f t="shared" si="13"/>
        <v>36.166666666666664</v>
      </c>
      <c r="PW7" s="147">
        <f t="shared" si="13"/>
        <v>36.25</v>
      </c>
      <c r="PX7" s="147">
        <f t="shared" si="13"/>
        <v>36.333333333333336</v>
      </c>
      <c r="PY7" s="147">
        <f t="shared" si="13"/>
        <v>36.416666666666664</v>
      </c>
      <c r="PZ7" s="147">
        <f t="shared" si="13"/>
        <v>36.5</v>
      </c>
      <c r="QA7" s="147">
        <f t="shared" si="13"/>
        <v>36.583333333333336</v>
      </c>
      <c r="QB7" s="147">
        <f t="shared" si="13"/>
        <v>36.666666666666664</v>
      </c>
      <c r="QC7" s="147">
        <f t="shared" si="13"/>
        <v>36.75</v>
      </c>
      <c r="QD7" s="147">
        <f t="shared" si="13"/>
        <v>36.833333333333336</v>
      </c>
      <c r="QE7" s="147">
        <f t="shared" si="13"/>
        <v>36.916666666666664</v>
      </c>
      <c r="QF7" s="147">
        <f t="shared" si="13"/>
        <v>37</v>
      </c>
      <c r="QG7" s="147">
        <f t="shared" si="13"/>
        <v>37.083333333333336</v>
      </c>
      <c r="QH7" s="147">
        <f t="shared" si="13"/>
        <v>37.166666666666664</v>
      </c>
      <c r="QI7" s="147">
        <f t="shared" si="13"/>
        <v>37.25</v>
      </c>
      <c r="QJ7" s="147">
        <f t="shared" si="13"/>
        <v>37.333333333333336</v>
      </c>
      <c r="QK7" s="147">
        <f t="shared" si="13"/>
        <v>37.416666666666664</v>
      </c>
      <c r="QL7" s="147">
        <f t="shared" ref="QL7:RP7" si="14">QL6/12</f>
        <v>37.5</v>
      </c>
      <c r="QM7" s="147">
        <f t="shared" si="14"/>
        <v>37.583333333333336</v>
      </c>
      <c r="QN7" s="147">
        <f t="shared" si="14"/>
        <v>37.666666666666664</v>
      </c>
      <c r="QO7" s="147">
        <f t="shared" si="14"/>
        <v>37.75</v>
      </c>
      <c r="QP7" s="147">
        <f t="shared" si="14"/>
        <v>37.833333333333336</v>
      </c>
      <c r="QQ7" s="147">
        <f t="shared" si="14"/>
        <v>37.916666666666664</v>
      </c>
      <c r="QR7" s="147">
        <f t="shared" si="14"/>
        <v>38</v>
      </c>
      <c r="QS7" s="147">
        <f t="shared" si="14"/>
        <v>38.083333333333336</v>
      </c>
      <c r="QT7" s="147">
        <f t="shared" si="14"/>
        <v>38.166666666666664</v>
      </c>
      <c r="QU7" s="147">
        <f t="shared" si="14"/>
        <v>38.25</v>
      </c>
      <c r="QV7" s="147">
        <f t="shared" si="14"/>
        <v>38.333333333333336</v>
      </c>
      <c r="QW7" s="147">
        <f t="shared" si="14"/>
        <v>38.416666666666664</v>
      </c>
      <c r="QX7" s="147">
        <f t="shared" si="14"/>
        <v>38.5</v>
      </c>
      <c r="QY7" s="147">
        <f t="shared" si="14"/>
        <v>38.583333333333336</v>
      </c>
      <c r="QZ7" s="147">
        <f t="shared" si="14"/>
        <v>38.666666666666664</v>
      </c>
      <c r="RA7" s="147">
        <f t="shared" si="14"/>
        <v>38.75</v>
      </c>
      <c r="RB7" s="147">
        <f t="shared" si="14"/>
        <v>38.833333333333336</v>
      </c>
      <c r="RC7" s="147">
        <f t="shared" si="14"/>
        <v>38.916666666666664</v>
      </c>
      <c r="RD7" s="147">
        <f t="shared" si="14"/>
        <v>39</v>
      </c>
      <c r="RE7" s="147">
        <f t="shared" si="14"/>
        <v>39.083333333333336</v>
      </c>
      <c r="RF7" s="147">
        <f t="shared" si="14"/>
        <v>39.166666666666664</v>
      </c>
      <c r="RG7" s="147">
        <f t="shared" si="14"/>
        <v>39.25</v>
      </c>
      <c r="RH7" s="147">
        <f t="shared" si="14"/>
        <v>39.333333333333336</v>
      </c>
      <c r="RI7" s="147">
        <f t="shared" si="14"/>
        <v>39.416666666666664</v>
      </c>
      <c r="RJ7" s="147">
        <f t="shared" si="14"/>
        <v>39.5</v>
      </c>
      <c r="RK7" s="147">
        <f t="shared" si="14"/>
        <v>39.583333333333336</v>
      </c>
      <c r="RL7" s="147">
        <f t="shared" si="14"/>
        <v>39.666666666666664</v>
      </c>
      <c r="RM7" s="147">
        <f t="shared" si="14"/>
        <v>39.75</v>
      </c>
      <c r="RN7" s="147">
        <f t="shared" si="14"/>
        <v>39.833333333333336</v>
      </c>
      <c r="RO7" s="147">
        <f t="shared" si="14"/>
        <v>39.916666666666664</v>
      </c>
      <c r="RP7" s="147">
        <f t="shared" si="14"/>
        <v>40</v>
      </c>
      <c r="RQ7" s="93"/>
      <c r="RR7" s="93"/>
      <c r="RS7" s="93"/>
      <c r="RT7" s="93"/>
      <c r="RU7" s="93"/>
      <c r="RV7" s="93"/>
      <c r="RW7" s="93"/>
      <c r="RX7" s="93"/>
      <c r="RY7" s="93"/>
      <c r="RZ7" s="93"/>
      <c r="SA7" s="93"/>
    </row>
    <row r="8" spans="1:495" ht="12.95" customHeight="1" x14ac:dyDescent="0.2">
      <c r="B8" s="21" t="s">
        <v>1027</v>
      </c>
      <c r="C8" s="21"/>
      <c r="D8" s="21"/>
      <c r="E8" s="81"/>
      <c r="GB8" s="250"/>
      <c r="GC8" s="250" t="s">
        <v>906</v>
      </c>
      <c r="GN8" s="250" t="s">
        <v>908</v>
      </c>
    </row>
    <row r="9" spans="1:495" ht="12.95" customHeight="1" x14ac:dyDescent="0.2">
      <c r="B9" s="253" t="s">
        <v>905</v>
      </c>
      <c r="E9" s="147">
        <f>IF(E7&gt;THIN!$F$9,E7-THIN!$F$9,0)</f>
        <v>0</v>
      </c>
      <c r="F9" s="147">
        <f>IF(F7&gt;THIN!$F$9,F7-THIN!$F$9,0)</f>
        <v>0</v>
      </c>
      <c r="G9" s="147">
        <f>IF(G7&gt;THIN!$F$9,G7-THIN!$F$9,0)</f>
        <v>0</v>
      </c>
      <c r="H9" s="147">
        <f>IF(H7&gt;THIN!$F$9,H7-THIN!$F$9,0)</f>
        <v>0</v>
      </c>
      <c r="I9" s="147">
        <f>IF(I7&gt;THIN!$F$9,I7-THIN!$F$9,0)</f>
        <v>0</v>
      </c>
      <c r="J9" s="147">
        <f>IF(J7&gt;THIN!$F$9,J7-THIN!$F$9,0)</f>
        <v>0</v>
      </c>
      <c r="K9" s="147">
        <f>IF(K7&gt;THIN!$F$9,K7-THIN!$F$9,0)</f>
        <v>0</v>
      </c>
      <c r="L9" s="147">
        <f>IF(L7&gt;THIN!$F$9,L7-THIN!$F$9,0)</f>
        <v>0</v>
      </c>
      <c r="M9" s="147">
        <f>IF(M7&gt;THIN!$F$9,M7-THIN!$F$9,0)</f>
        <v>0</v>
      </c>
      <c r="N9" s="147">
        <f>IF(N7&gt;THIN!$F$9,N7-THIN!$F$9,0)</f>
        <v>0</v>
      </c>
      <c r="O9" s="147">
        <f>IF(O7&gt;THIN!$F$9,O7-THIN!$F$9,0)</f>
        <v>0</v>
      </c>
      <c r="P9" s="147">
        <f>IF(P7&gt;THIN!$F$9,P7-THIN!$F$9,0)</f>
        <v>0</v>
      </c>
      <c r="Q9" s="147">
        <f>IF(Q7&gt;THIN!$F$9,Q7-THIN!$F$9,0)</f>
        <v>0</v>
      </c>
      <c r="R9" s="147">
        <f>IF(R7&gt;THIN!$F$9,R7-THIN!$F$9,0)</f>
        <v>0</v>
      </c>
      <c r="S9" s="147">
        <f>IF(S7&gt;THIN!$F$9,S7-THIN!$F$9,0)</f>
        <v>0</v>
      </c>
      <c r="T9" s="147">
        <f>IF(T7&gt;THIN!$F$9,T7-THIN!$F$9,0)</f>
        <v>0</v>
      </c>
      <c r="U9" s="147">
        <f>IF(U7&gt;THIN!$F$9,U7-THIN!$F$9,0)</f>
        <v>0</v>
      </c>
      <c r="V9" s="147">
        <f>IF(V7&gt;THIN!$F$9,V7-THIN!$F$9,0)</f>
        <v>0</v>
      </c>
      <c r="W9" s="147">
        <f>IF(W7&gt;THIN!$F$9,W7-THIN!$F$9,0)</f>
        <v>0</v>
      </c>
      <c r="X9" s="147">
        <f>IF(X7&gt;THIN!$F$9,X7-THIN!$F$9,0)</f>
        <v>0</v>
      </c>
      <c r="Y9" s="147">
        <f>IF(Y7&gt;THIN!$F$9,Y7-THIN!$F$9,0)</f>
        <v>0</v>
      </c>
      <c r="Z9" s="147">
        <f>IF(Z7&gt;THIN!$F$9,Z7-THIN!$F$9,0)</f>
        <v>0</v>
      </c>
      <c r="AA9" s="147">
        <f>IF(AA7&gt;THIN!$F$9,AA7-THIN!$F$9,0)</f>
        <v>0</v>
      </c>
      <c r="AB9" s="147">
        <f>IF(AB7&gt;THIN!$F$9,AB7-THIN!$F$9,0)</f>
        <v>0</v>
      </c>
      <c r="AC9" s="147">
        <f>IF(AC7&gt;THIN!$F$9,AC7-THIN!$F$9,0)</f>
        <v>0</v>
      </c>
      <c r="AD9" s="147">
        <f>IF(AD7&gt;THIN!$F$9,AD7-THIN!$F$9,0)</f>
        <v>0</v>
      </c>
      <c r="AE9" s="147">
        <f>IF(AE7&gt;THIN!$F$9,AE7-THIN!$F$9,0)</f>
        <v>0</v>
      </c>
      <c r="AF9" s="147">
        <f>IF(AF7&gt;THIN!$F$9,AF7-THIN!$F$9,0)</f>
        <v>0</v>
      </c>
      <c r="AG9" s="147">
        <f>IF(AG7&gt;THIN!$F$9,AG7-THIN!$F$9,0)</f>
        <v>0</v>
      </c>
      <c r="AH9" s="147">
        <f>IF(AH7&gt;THIN!$F$9,AH7-THIN!$F$9,0)</f>
        <v>0</v>
      </c>
      <c r="AI9" s="147">
        <f>IF(AI7&gt;THIN!$F$9,AI7-THIN!$F$9,0)</f>
        <v>0</v>
      </c>
      <c r="AJ9" s="147">
        <f>IF(AJ7&gt;THIN!$F$9,AJ7-THIN!$F$9,0)</f>
        <v>0</v>
      </c>
      <c r="AK9" s="147">
        <f>IF(AK7&gt;THIN!$F$9,AK7-THIN!$F$9,0)</f>
        <v>0</v>
      </c>
      <c r="AL9" s="147">
        <f>IF(AL7&gt;THIN!$F$9,AL7-THIN!$F$9,0)</f>
        <v>0</v>
      </c>
      <c r="AM9" s="147">
        <f>IF(AM7&gt;THIN!$F$9,AM7-THIN!$F$9,0)</f>
        <v>0</v>
      </c>
      <c r="AN9" s="147">
        <f>IF(AN7&gt;THIN!$F$9,AN7-THIN!$F$9,0)</f>
        <v>0</v>
      </c>
      <c r="AO9" s="147">
        <f>IF(AO7&gt;THIN!$F$9,AO7-THIN!$F$9,0)</f>
        <v>0</v>
      </c>
      <c r="AP9" s="147">
        <f>IF(AP7&gt;THIN!$F$9,AP7-THIN!$F$9,0)</f>
        <v>0</v>
      </c>
      <c r="AQ9" s="147">
        <f>IF(AQ7&gt;THIN!$F$9,AQ7-THIN!$F$9,0)</f>
        <v>0</v>
      </c>
      <c r="AR9" s="147">
        <f>IF(AR7&gt;THIN!$F$9,AR7-THIN!$F$9,0)</f>
        <v>0</v>
      </c>
      <c r="AS9" s="147">
        <f>IF(AS7&gt;THIN!$F$9,AS7-THIN!$F$9,0)</f>
        <v>0</v>
      </c>
      <c r="AT9" s="147">
        <f>IF(AT7&gt;THIN!$F$9,AT7-THIN!$F$9,0)</f>
        <v>0</v>
      </c>
      <c r="AU9" s="147">
        <f>IF(AU7&gt;THIN!$F$9,AU7-THIN!$F$9,0)</f>
        <v>0</v>
      </c>
      <c r="AV9" s="147">
        <f>IF(AV7&gt;THIN!$F$9,AV7-THIN!$F$9,0)</f>
        <v>0</v>
      </c>
      <c r="AW9" s="147">
        <f>IF(AW7&gt;THIN!$F$9,AW7-THIN!$F$9,0)</f>
        <v>0</v>
      </c>
      <c r="AX9" s="147">
        <f>IF(AX7&gt;THIN!$F$9,AX7-THIN!$F$9,0)</f>
        <v>0</v>
      </c>
      <c r="AY9" s="147">
        <f>IF(AY7&gt;THIN!$F$9,AY7-THIN!$F$9,0)</f>
        <v>0</v>
      </c>
      <c r="AZ9" s="147">
        <f>IF(AZ7&gt;THIN!$F$9,AZ7-THIN!$F$9,0)</f>
        <v>0</v>
      </c>
      <c r="BA9" s="147">
        <f>IF(BA7&gt;THIN!$F$9,BA7-THIN!$F$9,0)</f>
        <v>0</v>
      </c>
      <c r="BB9" s="147">
        <f>IF(BB7&gt;THIN!$F$9,BB7-THIN!$F$9,0)</f>
        <v>0</v>
      </c>
      <c r="BC9" s="147">
        <f>IF(BC7&gt;THIN!$F$9,BC7-THIN!$F$9,0)</f>
        <v>0</v>
      </c>
      <c r="BD9" s="147">
        <f>IF(BD7&gt;THIN!$F$9,BD7-THIN!$F$9,0)</f>
        <v>0</v>
      </c>
      <c r="BE9" s="147">
        <f>IF(BE7&gt;THIN!$F$9,BE7-THIN!$F$9,0)</f>
        <v>0</v>
      </c>
      <c r="BF9" s="147">
        <f>IF(BF7&gt;THIN!$F$9,BF7-THIN!$F$9,0)</f>
        <v>0</v>
      </c>
      <c r="BG9" s="147">
        <f>IF(BG7&gt;THIN!$F$9,BG7-THIN!$F$9,0)</f>
        <v>0</v>
      </c>
      <c r="BH9" s="147">
        <f>IF(BH7&gt;THIN!$F$9,BH7-THIN!$F$9,0)</f>
        <v>0</v>
      </c>
      <c r="BI9" s="147">
        <f>IF(BI7&gt;THIN!$F$9,BI7-THIN!$F$9,0)</f>
        <v>0</v>
      </c>
      <c r="BJ9" s="147">
        <f>IF(BJ7&gt;THIN!$F$9,BJ7-THIN!$F$9,0)</f>
        <v>0</v>
      </c>
      <c r="BK9" s="147">
        <f>IF(BK7&gt;THIN!$F$9,BK7-THIN!$F$9,0)</f>
        <v>0</v>
      </c>
      <c r="BL9" s="147">
        <f>IF(BL7&gt;THIN!$F$9,BL7-THIN!$F$9,0)</f>
        <v>0</v>
      </c>
      <c r="BM9" s="147">
        <f>IF(BM7&gt;THIN!$F$9,BM7-THIN!$F$9,0)</f>
        <v>0</v>
      </c>
      <c r="BN9" s="147">
        <f>IF(BN7&gt;THIN!$F$9,BN7-THIN!$F$9,0)</f>
        <v>0</v>
      </c>
      <c r="BO9" s="147">
        <f>IF(BO7&gt;THIN!$F$9,BO7-THIN!$F$9,0)</f>
        <v>0</v>
      </c>
      <c r="BP9" s="147">
        <f>IF(BP7&gt;THIN!$F$9,BP7-THIN!$F$9,0)</f>
        <v>0</v>
      </c>
      <c r="BQ9" s="147">
        <f>IF(BQ7&gt;THIN!$F$9,BQ7-THIN!$F$9,0)</f>
        <v>0</v>
      </c>
      <c r="BR9" s="147">
        <f>IF(BR7&gt;THIN!$F$9,BR7-THIN!$F$9,0)</f>
        <v>0</v>
      </c>
      <c r="BS9" s="147">
        <f>IF(BS7&gt;THIN!$F$9,BS7-THIN!$F$9,0)</f>
        <v>0</v>
      </c>
      <c r="BT9" s="147">
        <f>IF(BT7&gt;THIN!$F$9,BT7-THIN!$F$9,0)</f>
        <v>0</v>
      </c>
      <c r="BU9" s="147">
        <f>IF(BU7&gt;THIN!$F$9,BU7-THIN!$F$9,0)</f>
        <v>0</v>
      </c>
      <c r="BV9" s="147">
        <f>IF(BV7&gt;THIN!$F$9,BV7-THIN!$F$9,0)</f>
        <v>0</v>
      </c>
      <c r="BW9" s="147">
        <f>IF(BW7&gt;THIN!$F$9,BW7-THIN!$F$9,0)</f>
        <v>0</v>
      </c>
      <c r="BX9" s="147">
        <f>IF(BX7&gt;THIN!$F$9,BX7-THIN!$F$9,0)</f>
        <v>0</v>
      </c>
      <c r="BY9" s="147">
        <f>IF(BY7&gt;THIN!$F$9,BY7-THIN!$F$9,0)</f>
        <v>0</v>
      </c>
      <c r="BZ9" s="147">
        <f>IF(BZ7&gt;THIN!$F$9,BZ7-THIN!$F$9,0)</f>
        <v>0</v>
      </c>
      <c r="CA9" s="147">
        <f>IF(CA7&gt;THIN!$F$9,CA7-THIN!$F$9,0)</f>
        <v>0</v>
      </c>
      <c r="CB9" s="147">
        <f>IF(CB7&gt;THIN!$F$9,CB7-THIN!$F$9,0)</f>
        <v>0</v>
      </c>
      <c r="CC9" s="147">
        <f>IF(CC7&gt;THIN!$F$9,CC7-THIN!$F$9,0)</f>
        <v>0</v>
      </c>
      <c r="CD9" s="147">
        <f>IF(CD7&gt;THIN!$F$9,CD7-THIN!$F$9,0)</f>
        <v>0</v>
      </c>
      <c r="CE9" s="147">
        <f>IF(CE7&gt;THIN!$F$9,CE7-THIN!$F$9,0)</f>
        <v>0</v>
      </c>
      <c r="CF9" s="147">
        <f>IF(CF7&gt;THIN!$F$9,CF7-THIN!$F$9,0)</f>
        <v>0</v>
      </c>
      <c r="CG9" s="147">
        <f>IF(CG7&gt;THIN!$F$9,CG7-THIN!$F$9,0)</f>
        <v>0</v>
      </c>
      <c r="CH9" s="147">
        <f>IF(CH7&gt;THIN!$F$9,CH7-THIN!$F$9,0)</f>
        <v>0</v>
      </c>
      <c r="CI9" s="147">
        <f>IF(CI7&gt;THIN!$F$9,CI7-THIN!$F$9,0)</f>
        <v>0</v>
      </c>
      <c r="CJ9" s="147">
        <f>IF(CJ7&gt;THIN!$F$9,CJ7-THIN!$F$9,0)</f>
        <v>0</v>
      </c>
      <c r="CK9" s="147">
        <f>IF(CK7&gt;THIN!$F$9,CK7-THIN!$F$9,0)</f>
        <v>0</v>
      </c>
      <c r="CL9" s="147">
        <f>IF(CL7&gt;THIN!$F$9,CL7-THIN!$F$9,0)</f>
        <v>0</v>
      </c>
      <c r="CM9" s="147">
        <f>IF(CM7&gt;THIN!$F$9,CM7-THIN!$F$9,0)</f>
        <v>0</v>
      </c>
      <c r="CN9" s="147">
        <f>IF(CN7&gt;THIN!$F$9,CN7-THIN!$F$9,0)</f>
        <v>0</v>
      </c>
      <c r="CO9" s="147">
        <f>IF(CO7&gt;THIN!$F$9,CO7-THIN!$F$9,0)</f>
        <v>0</v>
      </c>
      <c r="CP9" s="147">
        <f>IF(CP7&gt;THIN!$F$9,CP7-THIN!$F$9,0)</f>
        <v>0</v>
      </c>
      <c r="CQ9" s="147">
        <f>IF(CQ7&gt;THIN!$F$9,CQ7-THIN!$F$9,0)</f>
        <v>0</v>
      </c>
      <c r="CR9" s="147">
        <f>IF(CR7&gt;THIN!$F$9,CR7-THIN!$F$9,0)</f>
        <v>0</v>
      </c>
      <c r="CS9" s="147">
        <f>IF(CS7&gt;THIN!$F$9,CS7-THIN!$F$9,0)</f>
        <v>0</v>
      </c>
      <c r="CT9" s="147">
        <f>IF(CT7&gt;THIN!$F$9,CT7-THIN!$F$9,0)</f>
        <v>0</v>
      </c>
      <c r="CU9" s="147">
        <f>IF(CU7&gt;THIN!$F$9,CU7-THIN!$F$9,0)</f>
        <v>0</v>
      </c>
      <c r="CV9" s="147">
        <f>IF(CV7&gt;THIN!$F$9,CV7-THIN!$F$9,0)</f>
        <v>0</v>
      </c>
      <c r="CW9" s="147">
        <f>IF(CW7&gt;THIN!$F$9,CW7-THIN!$F$9,0)</f>
        <v>0</v>
      </c>
      <c r="CX9" s="147">
        <f>IF(CX7&gt;THIN!$F$9,CX7-THIN!$F$9,0)</f>
        <v>0</v>
      </c>
      <c r="CY9" s="147">
        <f>IF(CY7&gt;THIN!$F$9,CY7-THIN!$F$9,0)</f>
        <v>0</v>
      </c>
      <c r="CZ9" s="147">
        <f>IF(CZ7&gt;THIN!$F$9,CZ7-THIN!$F$9,0)</f>
        <v>0</v>
      </c>
      <c r="DA9" s="147">
        <f>IF(DA7&gt;THIN!$F$9,DA7-THIN!$F$9,0)</f>
        <v>0</v>
      </c>
      <c r="DB9" s="147">
        <f>IF(DB7&gt;THIN!$F$9,DB7-THIN!$F$9,0)</f>
        <v>0</v>
      </c>
      <c r="DC9" s="147">
        <f>IF(DC7&gt;THIN!$F$9,DC7-THIN!$F$9,0)</f>
        <v>0</v>
      </c>
      <c r="DD9" s="147">
        <f>IF(DD7&gt;THIN!$F$9,DD7-THIN!$F$9,0)</f>
        <v>0</v>
      </c>
      <c r="DE9" s="147">
        <f>IF(DE7&gt;THIN!$F$9,DE7-THIN!$F$9,0)</f>
        <v>0</v>
      </c>
      <c r="DF9" s="147">
        <f>IF(DF7&gt;THIN!$F$9,DF7-THIN!$F$9,0)</f>
        <v>0</v>
      </c>
      <c r="DG9" s="147">
        <f>IF(DG7&gt;THIN!$F$9,DG7-THIN!$F$9,0)</f>
        <v>0</v>
      </c>
      <c r="DH9" s="147">
        <f>IF(DH7&gt;THIN!$F$9,DH7-THIN!$F$9,0)</f>
        <v>0</v>
      </c>
      <c r="DI9" s="147">
        <f>IF(DI7&gt;THIN!$F$9,DI7-THIN!$F$9,0)</f>
        <v>0</v>
      </c>
      <c r="DJ9" s="147">
        <f>IF(DJ7&gt;THIN!$F$9,DJ7-THIN!$F$9,0)</f>
        <v>0</v>
      </c>
      <c r="DK9" s="147">
        <f>IF(DK7&gt;THIN!$F$9,DK7-THIN!$F$9,0)</f>
        <v>0</v>
      </c>
      <c r="DL9" s="147">
        <f>IF(DL7&gt;THIN!$F$9,DL7-THIN!$F$9,0)</f>
        <v>0</v>
      </c>
      <c r="DM9" s="147">
        <f>IF(DM7&gt;THIN!$F$9,DM7-THIN!$F$9,0)</f>
        <v>0</v>
      </c>
      <c r="DN9" s="147">
        <f>IF(DN7&gt;THIN!$F$9,DN7-THIN!$F$9,0)</f>
        <v>0</v>
      </c>
      <c r="DO9" s="147">
        <f>IF(DO7&gt;THIN!$F$9,DO7-THIN!$F$9,0)</f>
        <v>0</v>
      </c>
      <c r="DP9" s="147">
        <f>IF(DP7&gt;THIN!$F$9,DP7-THIN!$F$9,0)</f>
        <v>0</v>
      </c>
      <c r="DQ9" s="147">
        <f>IF(DQ7&gt;THIN!$F$9,DQ7-THIN!$F$9,0)</f>
        <v>0</v>
      </c>
      <c r="DR9" s="147">
        <f>IF(DR7&gt;THIN!$F$9,DR7-THIN!$F$9,0)</f>
        <v>0</v>
      </c>
      <c r="DS9" s="147">
        <f>IF(DS7&gt;THIN!$F$9,DS7-THIN!$F$9,0)</f>
        <v>0</v>
      </c>
      <c r="DT9" s="147">
        <f>IF(DT7&gt;THIN!$F$9,DT7-THIN!$F$9,0)</f>
        <v>0</v>
      </c>
      <c r="DU9" s="147">
        <f>IF(DU7&gt;THIN!$F$9,DU7-THIN!$F$9,0)</f>
        <v>0</v>
      </c>
      <c r="DV9" s="147">
        <f>IF(DV7&gt;THIN!$F$9,DV7-THIN!$F$9,0)</f>
        <v>0</v>
      </c>
      <c r="DW9" s="147">
        <f>IF(DW7&gt;THIN!$F$9,DW7-THIN!$F$9,0)</f>
        <v>0</v>
      </c>
      <c r="DX9" s="147">
        <f>IF(DX7&gt;THIN!$F$9,DX7-THIN!$F$9,0)</f>
        <v>0</v>
      </c>
      <c r="DY9" s="147">
        <f>IF(DY7&gt;THIN!$F$9,DY7-THIN!$F$9,0)</f>
        <v>0</v>
      </c>
      <c r="DZ9" s="147">
        <f>IF(DZ7&gt;THIN!$F$9,DZ7-THIN!$F$9,0)</f>
        <v>0</v>
      </c>
      <c r="EA9" s="147">
        <f>IF(EA7&gt;THIN!$F$9,EA7-THIN!$F$9,0)</f>
        <v>0</v>
      </c>
      <c r="EB9" s="147">
        <f>IF(EB7&gt;THIN!$F$9,EB7-THIN!$F$9,0)</f>
        <v>0</v>
      </c>
      <c r="EC9" s="147">
        <f>IF(EC7&gt;THIN!$F$9,EC7-THIN!$F$9,0)</f>
        <v>0</v>
      </c>
      <c r="ED9" s="147">
        <f>IF(ED7&gt;THIN!$F$9,ED7-THIN!$F$9,0)</f>
        <v>0</v>
      </c>
      <c r="EE9" s="147">
        <f>IF(EE7&gt;THIN!$F$9,EE7-THIN!$F$9,0)</f>
        <v>0</v>
      </c>
      <c r="EF9" s="147">
        <f>IF(EF7&gt;THIN!$F$9,EF7-THIN!$F$9,0)</f>
        <v>0</v>
      </c>
      <c r="EG9" s="147">
        <f>IF(EG7&gt;THIN!$F$9,EG7-THIN!$F$9,0)</f>
        <v>0</v>
      </c>
      <c r="EH9" s="147">
        <f>IF(EH7&gt;THIN!$F$9,EH7-THIN!$F$9,0)</f>
        <v>0</v>
      </c>
      <c r="EI9" s="147">
        <f>IF(EI7&gt;THIN!$F$9,EI7-THIN!$F$9,0)</f>
        <v>0</v>
      </c>
      <c r="EJ9" s="147">
        <f>IF(EJ7&gt;THIN!$F$9,EJ7-THIN!$F$9,0)</f>
        <v>0</v>
      </c>
      <c r="EK9" s="147">
        <f>IF(EK7&gt;THIN!$F$9,EK7-THIN!$F$9,0)</f>
        <v>0</v>
      </c>
      <c r="EL9" s="147">
        <f>IF(EL7&gt;THIN!$F$9,EL7-THIN!$F$9,0)</f>
        <v>0</v>
      </c>
      <c r="EM9" s="147">
        <f>IF(EM7&gt;THIN!$F$9,EM7-THIN!$F$9,0)</f>
        <v>0</v>
      </c>
      <c r="EN9" s="147">
        <f>IF(EN7&gt;THIN!$F$9,EN7-THIN!$F$9,0)</f>
        <v>0</v>
      </c>
      <c r="EO9" s="147">
        <f>IF(EO7&gt;THIN!$F$9,EO7-THIN!$F$9,0)</f>
        <v>0</v>
      </c>
      <c r="EP9" s="147">
        <f>IF(EP7&gt;THIN!$F$9,EP7-THIN!$F$9,0)</f>
        <v>0</v>
      </c>
      <c r="EQ9" s="147">
        <f>IF(EQ7&gt;THIN!$F$9,EQ7-THIN!$F$9,0)</f>
        <v>0</v>
      </c>
      <c r="ER9" s="147">
        <f>IF(ER7&gt;THIN!$F$9,ER7-THIN!$F$9,0)</f>
        <v>0</v>
      </c>
      <c r="ES9" s="147">
        <f>IF(ES7&gt;THIN!$F$9,ES7-THIN!$F$9,0)</f>
        <v>0</v>
      </c>
      <c r="ET9" s="147">
        <f>IF(ET7&gt;THIN!$F$9,ET7-THIN!$F$9,0)</f>
        <v>0</v>
      </c>
      <c r="EU9" s="147">
        <f>IF(EU7&gt;THIN!$F$9,EU7-THIN!$F$9,0)</f>
        <v>0</v>
      </c>
      <c r="EV9" s="147">
        <f>IF(EV7&gt;THIN!$F$9,EV7-THIN!$F$9,0)</f>
        <v>0</v>
      </c>
      <c r="EW9" s="147">
        <f>IF(EW7&gt;THIN!$F$9,EW7-THIN!$F$9,0)</f>
        <v>0</v>
      </c>
      <c r="EX9" s="147">
        <f>IF(EX7&gt;THIN!$F$9,EX7-THIN!$F$9,0)</f>
        <v>0</v>
      </c>
      <c r="EY9" s="147">
        <f>IF(EY7&gt;THIN!$F$9,EY7-THIN!$F$9,0)</f>
        <v>0</v>
      </c>
      <c r="EZ9" s="147">
        <f>IF(EZ7&gt;THIN!$F$9,EZ7-THIN!$F$9,0)</f>
        <v>0</v>
      </c>
      <c r="FA9" s="147">
        <f>IF(FA7&gt;THIN!$F$9,FA7-THIN!$F$9,0)</f>
        <v>0</v>
      </c>
      <c r="FB9" s="147">
        <f>IF(FB7&gt;THIN!$F$9,FB7-THIN!$F$9,0)</f>
        <v>0</v>
      </c>
      <c r="FC9" s="147">
        <f>IF(FC7&gt;THIN!$F$9,FC7-THIN!$F$9,0)</f>
        <v>0</v>
      </c>
      <c r="FD9" s="147">
        <f>IF(FD7&gt;THIN!$F$9,FD7-THIN!$F$9,0)</f>
        <v>0</v>
      </c>
      <c r="FE9" s="147">
        <f>IF(FE7&gt;THIN!$F$9,FE7-THIN!$F$9,0)</f>
        <v>0</v>
      </c>
      <c r="FF9" s="147">
        <f>IF(FF7&gt;THIN!$F$9,FF7-THIN!$F$9,0)</f>
        <v>0</v>
      </c>
      <c r="FG9" s="147">
        <f>IF(FG7&gt;THIN!$F$9,FG7-THIN!$F$9,0)</f>
        <v>0</v>
      </c>
      <c r="FH9" s="147">
        <f>IF(FH7&gt;THIN!$F$9,FH7-THIN!$F$9,0)</f>
        <v>0</v>
      </c>
      <c r="FI9" s="147">
        <f>IF(FI7&gt;THIN!$F$9,FI7-THIN!$F$9,0)</f>
        <v>0</v>
      </c>
      <c r="FJ9" s="147">
        <f>IF(FJ7&gt;THIN!$F$9,FJ7-THIN!$F$9,0)</f>
        <v>0</v>
      </c>
      <c r="FK9" s="147">
        <f>IF(FK7&gt;THIN!$F$9,FK7-THIN!$F$9,0)</f>
        <v>0</v>
      </c>
      <c r="FL9" s="147">
        <f>IF(FL7&gt;THIN!$F$9,FL7-THIN!$F$9,0)</f>
        <v>0</v>
      </c>
      <c r="FM9" s="147">
        <f>IF(FM7&gt;THIN!$F$9,FM7-THIN!$F$9,0)</f>
        <v>0</v>
      </c>
      <c r="FN9" s="147">
        <f>IF(FN7&gt;THIN!$F$9,FN7-THIN!$F$9,0)</f>
        <v>0</v>
      </c>
      <c r="FO9" s="147">
        <f>IF(FO7&gt;THIN!$F$9,FO7-THIN!$F$9,0)</f>
        <v>0</v>
      </c>
      <c r="FP9" s="147">
        <f>IF(FP7&gt;THIN!$F$9,FP7-THIN!$F$9,0)</f>
        <v>0</v>
      </c>
      <c r="FQ9" s="147">
        <f>IF(FQ7&gt;THIN!$F$9,FQ7-THIN!$F$9,0)</f>
        <v>0</v>
      </c>
      <c r="FR9" s="147">
        <f>IF(FR7&gt;THIN!$F$9,FR7-THIN!$F$9,0)</f>
        <v>0</v>
      </c>
      <c r="FS9" s="147">
        <f>IF(FS7&gt;THIN!$F$9,FS7-THIN!$F$9,0)</f>
        <v>0</v>
      </c>
      <c r="FT9" s="147">
        <f>IF(FT7&gt;THIN!$F$9,FT7-THIN!$F$9,0)</f>
        <v>0</v>
      </c>
      <c r="FU9" s="147">
        <f>IF(FU7&gt;THIN!$F$9,FU7-THIN!$F$9,0)</f>
        <v>0</v>
      </c>
      <c r="FV9" s="147">
        <f>IF(FV7&gt;THIN!$F$9,FV7-THIN!$F$9,0)</f>
        <v>0</v>
      </c>
      <c r="FW9" s="147">
        <f>IF(FW7&gt;THIN!$F$9,FW7-THIN!$F$9,0)</f>
        <v>0</v>
      </c>
      <c r="FX9" s="147">
        <f>IF(FX7&gt;THIN!$F$9,FX7-THIN!$F$9,0)</f>
        <v>0</v>
      </c>
      <c r="FY9" s="147">
        <f>IF(FY7&gt;THIN!$F$9,FY7-THIN!$F$9,0)</f>
        <v>0</v>
      </c>
      <c r="FZ9" s="147">
        <f>IF(FZ7&gt;THIN!$F$9,FZ7-THIN!$F$9,0)</f>
        <v>0</v>
      </c>
      <c r="GA9" s="147">
        <f>IF(GA7&gt;THIN!$F$9,GA7-THIN!$F$9,0)</f>
        <v>0</v>
      </c>
      <c r="GB9" s="147">
        <f>IF(GB7&gt;THIN!$F$9,GB7-THIN!$F$9,0)</f>
        <v>0</v>
      </c>
      <c r="GC9" s="147">
        <f>IF(GC7&gt;THIN!$F$9,GC7-THIN!$F$9,0)</f>
        <v>8.3333333333333925E-2</v>
      </c>
      <c r="GD9" s="147">
        <f>IF(GD7&gt;THIN!$F$9,GD7-THIN!$F$9,0)</f>
        <v>0.16666666666666607</v>
      </c>
      <c r="GE9" s="147">
        <f>IF(GE7&gt;THIN!$F$9,GE7-THIN!$F$9,0)</f>
        <v>0.25</v>
      </c>
      <c r="GF9" s="147">
        <f>IF(GF7&gt;THIN!$F$9,GF7-THIN!$F$9,0)</f>
        <v>0.33333333333333393</v>
      </c>
      <c r="GG9" s="147">
        <f>IF(GG7&gt;THIN!$F$9,GG7-THIN!$F$9,0)</f>
        <v>0.41666666666666607</v>
      </c>
      <c r="GH9" s="147">
        <f>IF(GH7&gt;THIN!$F$9,GH7-THIN!$F$9,0)</f>
        <v>0.5</v>
      </c>
      <c r="GI9" s="147">
        <f>IF(GI7&gt;THIN!$F$9,GI7-THIN!$F$9,0)</f>
        <v>0.58333333333333393</v>
      </c>
      <c r="GJ9" s="147">
        <f>IF(GJ7&gt;THIN!$F$9,GJ7-THIN!$F$9,0)</f>
        <v>0.66666666666666607</v>
      </c>
      <c r="GK9" s="147">
        <f>IF(GK7&gt;THIN!$F$9,GK7-THIN!$F$9,0)</f>
        <v>0.75</v>
      </c>
      <c r="GL9" s="147">
        <f>IF(GL7&gt;THIN!$F$9,GL7-THIN!$F$9,0)</f>
        <v>0.83333333333333393</v>
      </c>
      <c r="GM9" s="147">
        <f>IF(GM7&gt;THIN!$F$9,GM7-THIN!$F$9,0)</f>
        <v>0.91666666666666607</v>
      </c>
      <c r="GN9" s="147">
        <f>IF(GN7&gt;THIN!$F$9,GN7-THIN!$F$9,0)</f>
        <v>1</v>
      </c>
      <c r="GO9" s="147">
        <f>IF(GO7&gt;THIN!$F$9,GO7-THIN!$F$9,0)</f>
        <v>1.0833333333333321</v>
      </c>
      <c r="GP9" s="147">
        <f>IF(GP7&gt;THIN!$F$9,GP7-THIN!$F$9,0)</f>
        <v>1.1666666666666679</v>
      </c>
      <c r="GQ9" s="147">
        <f>IF(GQ7&gt;THIN!$F$9,GQ7-THIN!$F$9,0)</f>
        <v>1.25</v>
      </c>
      <c r="GR9" s="147">
        <f>IF(GR7&gt;THIN!$F$9,GR7-THIN!$F$9,0)</f>
        <v>1.3333333333333321</v>
      </c>
      <c r="GS9" s="147">
        <f>IF(GS7&gt;THIN!$F$9,GS7-THIN!$F$9,0)</f>
        <v>1.4166666666666679</v>
      </c>
      <c r="GT9" s="147">
        <f>IF(GT7&gt;THIN!$F$9,GT7-THIN!$F$9,0)</f>
        <v>1.5</v>
      </c>
      <c r="GU9" s="147">
        <f>IF(GU7&gt;THIN!$F$9,GU7-THIN!$F$9,0)</f>
        <v>1.5833333333333321</v>
      </c>
      <c r="GV9" s="147">
        <f>IF(GV7&gt;THIN!$F$9,GV7-THIN!$F$9,0)</f>
        <v>1.6666666666666679</v>
      </c>
      <c r="GW9" s="147">
        <f>IF(GW7&gt;THIN!$F$9,GW7-THIN!$F$9,0)</f>
        <v>1.75</v>
      </c>
      <c r="GX9" s="147">
        <f>IF(GX7&gt;THIN!$F$9,GX7-THIN!$F$9,0)</f>
        <v>1.8333333333333321</v>
      </c>
      <c r="GY9" s="147">
        <f>IF(GY7&gt;THIN!$F$9,GY7-THIN!$F$9,0)</f>
        <v>1.9166666666666679</v>
      </c>
      <c r="GZ9" s="147">
        <f>IF(GZ7&gt;THIN!$F$9,GZ7-THIN!$F$9,0)</f>
        <v>2</v>
      </c>
      <c r="HA9" s="147">
        <f>IF(HA7&gt;THIN!$F$9,HA7-THIN!$F$9,0)</f>
        <v>2.0833333333333321</v>
      </c>
      <c r="HB9" s="147">
        <f>IF(HB7&gt;THIN!$F$9,HB7-THIN!$F$9,0)</f>
        <v>2.1666666666666679</v>
      </c>
      <c r="HC9" s="147">
        <f>IF(HC7&gt;THIN!$F$9,HC7-THIN!$F$9,0)</f>
        <v>2.25</v>
      </c>
      <c r="HD9" s="147">
        <f>IF(HD7&gt;THIN!$F$9,HD7-THIN!$F$9,0)</f>
        <v>2.3333333333333321</v>
      </c>
      <c r="HE9" s="147">
        <f>IF(HE7&gt;THIN!$F$9,HE7-THIN!$F$9,0)</f>
        <v>2.4166666666666679</v>
      </c>
      <c r="HF9" s="147">
        <f>IF(HF7&gt;THIN!$F$9,HF7-THIN!$F$9,0)</f>
        <v>2.5</v>
      </c>
      <c r="HG9" s="147">
        <f>IF(HG7&gt;THIN!$F$9,HG7-THIN!$F$9,0)</f>
        <v>2.5833333333333321</v>
      </c>
      <c r="HH9" s="147">
        <f>IF(HH7&gt;THIN!$F$9,HH7-THIN!$F$9,0)</f>
        <v>2.6666666666666679</v>
      </c>
      <c r="HI9" s="147">
        <f>IF(HI7&gt;THIN!$F$9,HI7-THIN!$F$9,0)</f>
        <v>2.75</v>
      </c>
      <c r="HJ9" s="147">
        <f>IF(HJ7&gt;THIN!$F$9,HJ7-THIN!$F$9,0)</f>
        <v>2.8333333333333321</v>
      </c>
      <c r="HK9" s="147">
        <f>IF(HK7&gt;THIN!$F$9,HK7-THIN!$F$9,0)</f>
        <v>2.9166666666666679</v>
      </c>
      <c r="HL9" s="147">
        <f>IF(HL7&gt;THIN!$F$9,HL7-THIN!$F$9,0)</f>
        <v>3</v>
      </c>
      <c r="HM9" s="147">
        <f>IF(HM7&gt;THIN!$F$9,HM7-THIN!$F$9,0)</f>
        <v>3.0833333333333321</v>
      </c>
      <c r="HN9" s="147">
        <f>IF(HN7&gt;THIN!$F$9,HN7-THIN!$F$9,0)</f>
        <v>3.1666666666666679</v>
      </c>
      <c r="HO9" s="147">
        <f>IF(HO7&gt;THIN!$F$9,HO7-THIN!$F$9,0)</f>
        <v>3.25</v>
      </c>
      <c r="HP9" s="147">
        <f>IF(HP7&gt;THIN!$F$9,HP7-THIN!$F$9,0)</f>
        <v>3.3333333333333321</v>
      </c>
      <c r="HQ9" s="147">
        <f>IF(HQ7&gt;THIN!$F$9,HQ7-THIN!$F$9,0)</f>
        <v>3.4166666666666679</v>
      </c>
      <c r="HR9" s="147">
        <f>IF(HR7&gt;THIN!$F$9,HR7-THIN!$F$9,0)</f>
        <v>3.5</v>
      </c>
      <c r="HS9" s="147">
        <f>IF(HS7&gt;THIN!$F$9,HS7-THIN!$F$9,0)</f>
        <v>3.5833333333333321</v>
      </c>
      <c r="HT9" s="147">
        <f>IF(HT7&gt;THIN!$F$9,HT7-THIN!$F$9,0)</f>
        <v>3.6666666666666679</v>
      </c>
      <c r="HU9" s="147">
        <f>IF(HU7&gt;THIN!$F$9,HU7-THIN!$F$9,0)</f>
        <v>3.75</v>
      </c>
      <c r="HV9" s="147">
        <f>IF(HV7&gt;THIN!$F$9,HV7-THIN!$F$9,0)</f>
        <v>3.8333333333333321</v>
      </c>
      <c r="HW9" s="147">
        <f>IF(HW7&gt;THIN!$F$9,HW7-THIN!$F$9,0)</f>
        <v>3.9166666666666679</v>
      </c>
      <c r="HX9" s="147">
        <f>IF(HX7&gt;THIN!$F$9,HX7-THIN!$F$9,0)</f>
        <v>4</v>
      </c>
      <c r="HY9" s="147">
        <f>IF(HY7&gt;THIN!$F$9,HY7-THIN!$F$9,0)</f>
        <v>4.0833333333333321</v>
      </c>
      <c r="HZ9" s="147">
        <f>IF(HZ7&gt;THIN!$F$9,HZ7-THIN!$F$9,0)</f>
        <v>4.1666666666666679</v>
      </c>
      <c r="IA9" s="147">
        <f>IF(IA7&gt;THIN!$F$9,IA7-THIN!$F$9,0)</f>
        <v>4.25</v>
      </c>
      <c r="IB9" s="147">
        <f>IF(IB7&gt;THIN!$F$9,IB7-THIN!$F$9,0)</f>
        <v>4.3333333333333321</v>
      </c>
      <c r="IC9" s="147">
        <f>IF(IC7&gt;THIN!$F$9,IC7-THIN!$F$9,0)</f>
        <v>4.4166666666666679</v>
      </c>
      <c r="ID9" s="147">
        <f>IF(ID7&gt;THIN!$F$9,ID7-THIN!$F$9,0)</f>
        <v>4.5</v>
      </c>
      <c r="IE9" s="147">
        <f>IF(IE7&gt;THIN!$F$9,IE7-THIN!$F$9,0)</f>
        <v>4.5833333333333321</v>
      </c>
      <c r="IF9" s="147">
        <f>IF(IF7&gt;THIN!$F$9,IF7-THIN!$F$9,0)</f>
        <v>4.6666666666666679</v>
      </c>
      <c r="IG9" s="147">
        <f>IF(IG7&gt;THIN!$F$9,IG7-THIN!$F$9,0)</f>
        <v>4.75</v>
      </c>
      <c r="IH9" s="147">
        <f>IF(IH7&gt;THIN!$F$9,IH7-THIN!$F$9,0)</f>
        <v>4.8333333333333321</v>
      </c>
      <c r="II9" s="147">
        <f>IF(II7&gt;THIN!$F$9,II7-THIN!$F$9,0)</f>
        <v>4.9166666666666679</v>
      </c>
      <c r="IJ9" s="147">
        <f>IF(IJ7&gt;THIN!$F$9,IJ7-THIN!$F$9,0)</f>
        <v>5</v>
      </c>
      <c r="IK9" s="147">
        <f>IF(IK7&gt;THIN!$F$9,IK7-THIN!$F$9,0)</f>
        <v>5.0833333333333321</v>
      </c>
      <c r="IL9" s="147">
        <f>IF(IL7&gt;THIN!$F$9,IL7-THIN!$F$9,0)</f>
        <v>5.1666666666666679</v>
      </c>
      <c r="IM9" s="147">
        <f>IF(IM7&gt;THIN!$F$9,IM7-THIN!$F$9,0)</f>
        <v>5.25</v>
      </c>
      <c r="IN9" s="147">
        <f>IF(IN7&gt;THIN!$F$9,IN7-THIN!$F$9,0)</f>
        <v>5.3333333333333321</v>
      </c>
      <c r="IO9" s="147">
        <f>IF(IO7&gt;THIN!$F$9,IO7-THIN!$F$9,0)</f>
        <v>5.4166666666666679</v>
      </c>
      <c r="IP9" s="147">
        <f>IF(IP7&gt;THIN!$F$9,IP7-THIN!$F$9,0)</f>
        <v>5.5</v>
      </c>
      <c r="IQ9" s="147">
        <f>IF(IQ7&gt;THIN!$F$9,IQ7-THIN!$F$9,0)</f>
        <v>5.5833333333333321</v>
      </c>
      <c r="IR9" s="147">
        <f>IF(IR7&gt;THIN!$F$9,IR7-THIN!$F$9,0)</f>
        <v>5.6666666666666679</v>
      </c>
      <c r="IS9" s="147">
        <f>IF(IS7&gt;THIN!$F$9,IS7-THIN!$F$9,0)</f>
        <v>5.75</v>
      </c>
      <c r="IT9" s="147">
        <f>IF(IT7&gt;THIN!$F$9,IT7-THIN!$F$9,0)</f>
        <v>5.8333333333333321</v>
      </c>
      <c r="IU9" s="147">
        <f>IF(IU7&gt;THIN!$F$9,IU7-THIN!$F$9,0)</f>
        <v>5.9166666666666679</v>
      </c>
      <c r="IV9" s="147">
        <f>IF(IV7&gt;THIN!$F$9,IV7-THIN!$F$9,0)</f>
        <v>6</v>
      </c>
      <c r="IW9" s="147">
        <f>IF(IW7&gt;THIN!$F$9,IW7-THIN!$F$9,0)</f>
        <v>6.0833333333333321</v>
      </c>
      <c r="IX9" s="147">
        <f>IF(IX7&gt;THIN!$F$9,IX7-THIN!$F$9,0)</f>
        <v>6.1666666666666679</v>
      </c>
      <c r="IY9" s="147">
        <f>IF(IY7&gt;THIN!$F$9,IY7-THIN!$F$9,0)</f>
        <v>6.25</v>
      </c>
      <c r="IZ9" s="147">
        <f>IF(IZ7&gt;THIN!$F$9,IZ7-THIN!$F$9,0)</f>
        <v>6.3333333333333321</v>
      </c>
      <c r="JA9" s="147">
        <f>IF(JA7&gt;THIN!$F$9,JA7-THIN!$F$9,0)</f>
        <v>6.4166666666666679</v>
      </c>
      <c r="JB9" s="147">
        <f>IF(JB7&gt;THIN!$F$9,JB7-THIN!$F$9,0)</f>
        <v>6.5</v>
      </c>
      <c r="JC9" s="147">
        <f>IF(JC7&gt;THIN!$F$9,JC7-THIN!$F$9,0)</f>
        <v>6.5833333333333321</v>
      </c>
      <c r="JD9" s="147">
        <f>IF(JD7&gt;THIN!$F$9,JD7-THIN!$F$9,0)</f>
        <v>6.6666666666666679</v>
      </c>
      <c r="JE9" s="147">
        <f>IF(JE7&gt;THIN!$F$9,JE7-THIN!$F$9,0)</f>
        <v>6.75</v>
      </c>
      <c r="JF9" s="147">
        <f>IF(JF7&gt;THIN!$F$9,JF7-THIN!$F$9,0)</f>
        <v>6.8333333333333321</v>
      </c>
      <c r="JG9" s="147">
        <f>IF(JG7&gt;THIN!$F$9,JG7-THIN!$F$9,0)</f>
        <v>6.9166666666666679</v>
      </c>
      <c r="JH9" s="147">
        <f>IF(JH7&gt;THIN!$F$9,JH7-THIN!$F$9,0)</f>
        <v>7</v>
      </c>
      <c r="JI9" s="147">
        <f>IF(JI7&gt;THIN!$F$9,JI7-THIN!$F$9,0)</f>
        <v>7.0833333333333321</v>
      </c>
      <c r="JJ9" s="147">
        <f>IF(JJ7&gt;THIN!$F$9,JJ7-THIN!$F$9,0)</f>
        <v>7.1666666666666679</v>
      </c>
      <c r="JK9" s="147">
        <f>IF(JK7&gt;THIN!$F$9,JK7-THIN!$F$9,0)</f>
        <v>7.25</v>
      </c>
      <c r="JL9" s="147">
        <f>IF(JL7&gt;THIN!$F$9,JL7-THIN!$F$9,0)</f>
        <v>7.3333333333333321</v>
      </c>
      <c r="JM9" s="147">
        <f>IF(JM7&gt;THIN!$F$9,JM7-THIN!$F$9,0)</f>
        <v>7.4166666666666679</v>
      </c>
      <c r="JN9" s="147">
        <f>IF(JN7&gt;THIN!$F$9,JN7-THIN!$F$9,0)</f>
        <v>7.5</v>
      </c>
      <c r="JO9" s="147">
        <f>IF(JO7&gt;THIN!$F$9,JO7-THIN!$F$9,0)</f>
        <v>7.5833333333333321</v>
      </c>
      <c r="JP9" s="147">
        <f>IF(JP7&gt;THIN!$F$9,JP7-THIN!$F$9,0)</f>
        <v>7.6666666666666679</v>
      </c>
      <c r="JQ9" s="147">
        <f>IF(JQ7&gt;THIN!$F$9,JQ7-THIN!$F$9,0)</f>
        <v>7.75</v>
      </c>
      <c r="JR9" s="147">
        <f>IF(JR7&gt;THIN!$F$9,JR7-THIN!$F$9,0)</f>
        <v>7.8333333333333321</v>
      </c>
      <c r="JS9" s="147">
        <f>IF(JS7&gt;THIN!$F$9,JS7-THIN!$F$9,0)</f>
        <v>7.9166666666666679</v>
      </c>
      <c r="JT9" s="147">
        <f>IF(JT7&gt;THIN!$F$9,JT7-THIN!$F$9,0)</f>
        <v>8</v>
      </c>
      <c r="JU9" s="147">
        <f>IF(JU7&gt;THIN!$F$9,JU7-THIN!$F$9,0)</f>
        <v>8.0833333333333321</v>
      </c>
      <c r="JV9" s="147">
        <f>IF(JV7&gt;THIN!$F$9,JV7-THIN!$F$9,0)</f>
        <v>8.1666666666666679</v>
      </c>
      <c r="JW9" s="147">
        <f>IF(JW7&gt;THIN!$F$9,JW7-THIN!$F$9,0)</f>
        <v>8.25</v>
      </c>
      <c r="JX9" s="147">
        <f>IF(JX7&gt;THIN!$F$9,JX7-THIN!$F$9,0)</f>
        <v>8.3333333333333321</v>
      </c>
      <c r="JY9" s="147">
        <f>IF(JY7&gt;THIN!$F$9,JY7-THIN!$F$9,0)</f>
        <v>8.4166666666666679</v>
      </c>
      <c r="JZ9" s="147">
        <f>IF(JZ7&gt;THIN!$F$9,JZ7-THIN!$F$9,0)</f>
        <v>8.5</v>
      </c>
      <c r="KA9" s="147">
        <f>IF(KA7&gt;THIN!$F$9,KA7-THIN!$F$9,0)</f>
        <v>8.5833333333333321</v>
      </c>
      <c r="KB9" s="147">
        <f>IF(KB7&gt;THIN!$F$9,KB7-THIN!$F$9,0)</f>
        <v>8.6666666666666679</v>
      </c>
      <c r="KC9" s="147">
        <f>IF(KC7&gt;THIN!$F$9,KC7-THIN!$F$9,0)</f>
        <v>8.75</v>
      </c>
      <c r="KD9" s="147">
        <f>IF(KD7&gt;THIN!$F$9,KD7-THIN!$F$9,0)</f>
        <v>8.8333333333333321</v>
      </c>
      <c r="KE9" s="147">
        <f>IF(KE7&gt;THIN!$F$9,KE7-THIN!$F$9,0)</f>
        <v>8.9166666666666679</v>
      </c>
      <c r="KF9" s="147">
        <f>IF(KF7&gt;THIN!$F$9,KF7-THIN!$F$9,0)</f>
        <v>9</v>
      </c>
      <c r="KG9" s="147">
        <f>IF(KG7&gt;THIN!$F$9,KG7-THIN!$F$9,0)</f>
        <v>9.0833333333333321</v>
      </c>
      <c r="KH9" s="147">
        <f>IF(KH7&gt;THIN!$F$9,KH7-THIN!$F$9,0)</f>
        <v>9.1666666666666679</v>
      </c>
      <c r="KI9" s="147">
        <f>IF(KI7&gt;THIN!$F$9,KI7-THIN!$F$9,0)</f>
        <v>9.25</v>
      </c>
      <c r="KJ9" s="147">
        <f>IF(KJ7&gt;THIN!$F$9,KJ7-THIN!$F$9,0)</f>
        <v>9.3333333333333321</v>
      </c>
      <c r="KK9" s="147">
        <f>IF(KK7&gt;THIN!$F$9,KK7-THIN!$F$9,0)</f>
        <v>9.4166666666666679</v>
      </c>
      <c r="KL9" s="147">
        <f>IF(KL7&gt;THIN!$F$9,KL7-THIN!$F$9,0)</f>
        <v>9.5</v>
      </c>
      <c r="KM9" s="147">
        <f>IF(KM7&gt;THIN!$F$9,KM7-THIN!$F$9,0)</f>
        <v>9.5833333333333321</v>
      </c>
      <c r="KN9" s="147">
        <f>IF(KN7&gt;THIN!$F$9,KN7-THIN!$F$9,0)</f>
        <v>9.6666666666666679</v>
      </c>
      <c r="KO9" s="147">
        <f>IF(KO7&gt;THIN!$F$9,KO7-THIN!$F$9,0)</f>
        <v>9.75</v>
      </c>
      <c r="KP9" s="147">
        <f>IF(KP7&gt;THIN!$F$9,KP7-THIN!$F$9,0)</f>
        <v>9.8333333333333321</v>
      </c>
      <c r="KQ9" s="147">
        <f>IF(KQ7&gt;THIN!$F$9,KQ7-THIN!$F$9,0)</f>
        <v>9.9166666666666679</v>
      </c>
      <c r="KR9" s="147">
        <f>IF(KR7&gt;THIN!$F$9,KR7-THIN!$F$9,0)</f>
        <v>10</v>
      </c>
      <c r="KS9" s="147">
        <f>IF(KS7&gt;THIN!$F$9,KS7-THIN!$F$9,0)</f>
        <v>10.083333333333332</v>
      </c>
      <c r="KT9" s="147">
        <f>IF(KT7&gt;THIN!$F$9,KT7-THIN!$F$9,0)</f>
        <v>10.166666666666668</v>
      </c>
      <c r="KU9" s="147">
        <f>IF(KU7&gt;THIN!$F$9,KU7-THIN!$F$9,0)</f>
        <v>10.25</v>
      </c>
      <c r="KV9" s="147">
        <f>IF(KV7&gt;THIN!$F$9,KV7-THIN!$F$9,0)</f>
        <v>10.333333333333332</v>
      </c>
      <c r="KW9" s="147">
        <f>IF(KW7&gt;THIN!$F$9,KW7-THIN!$F$9,0)</f>
        <v>10.416666666666668</v>
      </c>
      <c r="KX9" s="147">
        <f>IF(KX7&gt;THIN!$F$9,KX7-THIN!$F$9,0)</f>
        <v>10.5</v>
      </c>
      <c r="KY9" s="147">
        <f>IF(KY7&gt;THIN!$F$9,KY7-THIN!$F$9,0)</f>
        <v>10.583333333333332</v>
      </c>
      <c r="KZ9" s="147">
        <f>IF(KZ7&gt;THIN!$F$9,KZ7-THIN!$F$9,0)</f>
        <v>10.666666666666668</v>
      </c>
      <c r="LA9" s="147">
        <f>IF(LA7&gt;THIN!$F$9,LA7-THIN!$F$9,0)</f>
        <v>10.75</v>
      </c>
      <c r="LB9" s="147">
        <f>IF(LB7&gt;THIN!$F$9,LB7-THIN!$F$9,0)</f>
        <v>10.833333333333332</v>
      </c>
      <c r="LC9" s="147">
        <f>IF(LC7&gt;THIN!$F$9,LC7-THIN!$F$9,0)</f>
        <v>10.916666666666668</v>
      </c>
      <c r="LD9" s="147">
        <f>IF(LD7&gt;THIN!$F$9,LD7-THIN!$F$9,0)</f>
        <v>11</v>
      </c>
      <c r="LE9" s="147">
        <f>IF(LE7&gt;THIN!$F$9,LE7-THIN!$F$9,0)</f>
        <v>11.083333333333332</v>
      </c>
      <c r="LF9" s="147">
        <f>IF(LF7&gt;THIN!$F$9,LF7-THIN!$F$9,0)</f>
        <v>11.166666666666668</v>
      </c>
      <c r="LG9" s="147">
        <f>IF(LG7&gt;THIN!$F$9,LG7-THIN!$F$9,0)</f>
        <v>11.25</v>
      </c>
      <c r="LH9" s="147">
        <f>IF(LH7&gt;THIN!$F$9,LH7-THIN!$F$9,0)</f>
        <v>11.333333333333332</v>
      </c>
      <c r="LI9" s="147">
        <f>IF(LI7&gt;THIN!$F$9,LI7-THIN!$F$9,0)</f>
        <v>11.416666666666668</v>
      </c>
      <c r="LJ9" s="147">
        <f>IF(LJ7&gt;THIN!$F$9,LJ7-THIN!$F$9,0)</f>
        <v>11.5</v>
      </c>
      <c r="LK9" s="147">
        <f>IF(LK7&gt;THIN!$F$9,LK7-THIN!$F$9,0)</f>
        <v>11.583333333333332</v>
      </c>
      <c r="LL9" s="147">
        <f>IF(LL7&gt;THIN!$F$9,LL7-THIN!$F$9,0)</f>
        <v>11.666666666666668</v>
      </c>
      <c r="LM9" s="147">
        <f>IF(LM7&gt;THIN!$F$9,LM7-THIN!$F$9,0)</f>
        <v>11.75</v>
      </c>
      <c r="LN9" s="147">
        <f>IF(LN7&gt;THIN!$F$9,LN7-THIN!$F$9,0)</f>
        <v>11.833333333333332</v>
      </c>
      <c r="LO9" s="147">
        <f>IF(LO7&gt;THIN!$F$9,LO7-THIN!$F$9,0)</f>
        <v>11.916666666666668</v>
      </c>
      <c r="LP9" s="147">
        <f>IF(LP7&gt;THIN!$F$9,LP7-THIN!$F$9,0)</f>
        <v>12</v>
      </c>
      <c r="LQ9" s="147">
        <f>IF(LQ7&gt;THIN!$F$9,LQ7-THIN!$F$9,0)</f>
        <v>12.083333333333332</v>
      </c>
      <c r="LR9" s="147">
        <f>IF(LR7&gt;THIN!$F$9,LR7-THIN!$F$9,0)</f>
        <v>12.166666666666668</v>
      </c>
      <c r="LS9" s="147">
        <f>IF(LS7&gt;THIN!$F$9,LS7-THIN!$F$9,0)</f>
        <v>12.25</v>
      </c>
      <c r="LT9" s="147">
        <f>IF(LT7&gt;THIN!$F$9,LT7-THIN!$F$9,0)</f>
        <v>12.333333333333332</v>
      </c>
      <c r="LU9" s="147">
        <f>IF(LU7&gt;THIN!$F$9,LU7-THIN!$F$9,0)</f>
        <v>12.416666666666668</v>
      </c>
      <c r="LV9" s="147">
        <f>IF(LV7&gt;THIN!$F$9,LV7-THIN!$F$9,0)</f>
        <v>12.5</v>
      </c>
      <c r="LW9" s="147">
        <f>IF(LW7&gt;THIN!$F$9,LW7-THIN!$F$9,0)</f>
        <v>12.583333333333332</v>
      </c>
      <c r="LX9" s="147">
        <f>IF(LX7&gt;THIN!$F$9,LX7-THIN!$F$9,0)</f>
        <v>12.666666666666668</v>
      </c>
      <c r="LY9" s="147">
        <f>IF(LY7&gt;THIN!$F$9,LY7-THIN!$F$9,0)</f>
        <v>12.75</v>
      </c>
      <c r="LZ9" s="147">
        <f>IF(LZ7&gt;THIN!$F$9,LZ7-THIN!$F$9,0)</f>
        <v>12.833333333333332</v>
      </c>
      <c r="MA9" s="147">
        <f>IF(MA7&gt;THIN!$F$9,MA7-THIN!$F$9,0)</f>
        <v>12.916666666666668</v>
      </c>
      <c r="MB9" s="147">
        <f>IF(MB7&gt;THIN!$F$9,MB7-THIN!$F$9,0)</f>
        <v>13</v>
      </c>
      <c r="MC9" s="147">
        <f>IF(MC7&gt;THIN!$F$9,MC7-THIN!$F$9,0)</f>
        <v>13.083333333333332</v>
      </c>
      <c r="MD9" s="147">
        <f>IF(MD7&gt;THIN!$F$9,MD7-THIN!$F$9,0)</f>
        <v>13.166666666666668</v>
      </c>
      <c r="ME9" s="147">
        <f>IF(ME7&gt;THIN!$F$9,ME7-THIN!$F$9,0)</f>
        <v>13.25</v>
      </c>
      <c r="MF9" s="147">
        <f>IF(MF7&gt;THIN!$F$9,MF7-THIN!$F$9,0)</f>
        <v>13.333333333333332</v>
      </c>
      <c r="MG9" s="147">
        <f>IF(MG7&gt;THIN!$F$9,MG7-THIN!$F$9,0)</f>
        <v>13.416666666666668</v>
      </c>
      <c r="MH9" s="147">
        <f>IF(MH7&gt;THIN!$F$9,MH7-THIN!$F$9,0)</f>
        <v>13.5</v>
      </c>
      <c r="MI9" s="147">
        <f>IF(MI7&gt;THIN!$F$9,MI7-THIN!$F$9,0)</f>
        <v>13.583333333333332</v>
      </c>
      <c r="MJ9" s="147">
        <f>IF(MJ7&gt;THIN!$F$9,MJ7-THIN!$F$9,0)</f>
        <v>13.666666666666668</v>
      </c>
      <c r="MK9" s="147">
        <f>IF(MK7&gt;THIN!$F$9,MK7-THIN!$F$9,0)</f>
        <v>13.75</v>
      </c>
      <c r="ML9" s="147">
        <f>IF(ML7&gt;THIN!$F$9,ML7-THIN!$F$9,0)</f>
        <v>13.833333333333332</v>
      </c>
      <c r="MM9" s="147">
        <f>IF(MM7&gt;THIN!$F$9,MM7-THIN!$F$9,0)</f>
        <v>13.916666666666668</v>
      </c>
      <c r="MN9" s="147">
        <f>IF(MN7&gt;THIN!$F$9,MN7-THIN!$F$9,0)</f>
        <v>14</v>
      </c>
      <c r="MO9" s="147">
        <f>IF(MO7&gt;THIN!$F$9,MO7-THIN!$F$9,0)</f>
        <v>14.083333333333332</v>
      </c>
      <c r="MP9" s="147">
        <f>IF(MP7&gt;THIN!$F$9,MP7-THIN!$F$9,0)</f>
        <v>14.166666666666668</v>
      </c>
      <c r="MQ9" s="147">
        <f>IF(MQ7&gt;THIN!$F$9,MQ7-THIN!$F$9,0)</f>
        <v>14.25</v>
      </c>
      <c r="MR9" s="147">
        <f>IF(MR7&gt;THIN!$F$9,MR7-THIN!$F$9,0)</f>
        <v>14.333333333333332</v>
      </c>
      <c r="MS9" s="147">
        <f>IF(MS7&gt;THIN!$F$9,MS7-THIN!$F$9,0)</f>
        <v>14.416666666666668</v>
      </c>
      <c r="MT9" s="147">
        <f>IF(MT7&gt;THIN!$F$9,MT7-THIN!$F$9,0)</f>
        <v>14.5</v>
      </c>
      <c r="MU9" s="147">
        <f>IF(MU7&gt;THIN!$F$9,MU7-THIN!$F$9,0)</f>
        <v>14.583333333333332</v>
      </c>
      <c r="MV9" s="147">
        <f>IF(MV7&gt;THIN!$F$9,MV7-THIN!$F$9,0)</f>
        <v>14.666666666666668</v>
      </c>
      <c r="MW9" s="147">
        <f>IF(MW7&gt;THIN!$F$9,MW7-THIN!$F$9,0)</f>
        <v>14.75</v>
      </c>
      <c r="MX9" s="147">
        <f>IF(MX7&gt;THIN!$F$9,MX7-THIN!$F$9,0)</f>
        <v>14.833333333333332</v>
      </c>
      <c r="MY9" s="147">
        <f>IF(MY7&gt;THIN!$F$9,MY7-THIN!$F$9,0)</f>
        <v>14.916666666666668</v>
      </c>
      <c r="MZ9" s="147">
        <f>IF(MZ7&gt;THIN!$F$9,MZ7-THIN!$F$9,0)</f>
        <v>15</v>
      </c>
      <c r="NA9" s="147">
        <f>IF(NA7&gt;THIN!$F$9,NA7-THIN!$F$9,0)</f>
        <v>15.083333333333332</v>
      </c>
      <c r="NB9" s="147">
        <f>IF(NB7&gt;THIN!$F$9,NB7-THIN!$F$9,0)</f>
        <v>15.166666666666668</v>
      </c>
      <c r="NC9" s="147">
        <f>IF(NC7&gt;THIN!$F$9,NC7-THIN!$F$9,0)</f>
        <v>15.25</v>
      </c>
      <c r="ND9" s="147">
        <f>IF(ND7&gt;THIN!$F$9,ND7-THIN!$F$9,0)</f>
        <v>15.333333333333332</v>
      </c>
      <c r="NE9" s="147">
        <f>IF(NE7&gt;THIN!$F$9,NE7-THIN!$F$9,0)</f>
        <v>15.416666666666668</v>
      </c>
      <c r="NF9" s="147">
        <f>IF(NF7&gt;THIN!$F$9,NF7-THIN!$F$9,0)</f>
        <v>15.5</v>
      </c>
      <c r="NG9" s="147">
        <f>IF(NG7&gt;THIN!$F$9,NG7-THIN!$F$9,0)</f>
        <v>15.583333333333332</v>
      </c>
      <c r="NH9" s="147">
        <f>IF(NH7&gt;THIN!$F$9,NH7-THIN!$F$9,0)</f>
        <v>15.666666666666668</v>
      </c>
      <c r="NI9" s="147">
        <f>IF(NI7&gt;THIN!$F$9,NI7-THIN!$F$9,0)</f>
        <v>15.75</v>
      </c>
      <c r="NJ9" s="147">
        <f>IF(NJ7&gt;THIN!$F$9,NJ7-THIN!$F$9,0)</f>
        <v>15.833333333333332</v>
      </c>
      <c r="NK9" s="147">
        <f>IF(NK7&gt;THIN!$F$9,NK7-THIN!$F$9,0)</f>
        <v>15.916666666666668</v>
      </c>
      <c r="NL9" s="147">
        <f>IF(NL7&gt;THIN!$F$9,NL7-THIN!$F$9,0)</f>
        <v>16</v>
      </c>
      <c r="NM9" s="147">
        <f>IF(NM7&gt;THIN!$F$9,NM7-THIN!$F$9,0)</f>
        <v>16.083333333333332</v>
      </c>
      <c r="NN9" s="147">
        <f>IF(NN7&gt;THIN!$F$9,NN7-THIN!$F$9,0)</f>
        <v>16.166666666666668</v>
      </c>
      <c r="NO9" s="147">
        <f>IF(NO7&gt;THIN!$F$9,NO7-THIN!$F$9,0)</f>
        <v>16.25</v>
      </c>
      <c r="NP9" s="147">
        <f>IF(NP7&gt;THIN!$F$9,NP7-THIN!$F$9,0)</f>
        <v>16.333333333333332</v>
      </c>
      <c r="NQ9" s="147">
        <f>IF(NQ7&gt;THIN!$F$9,NQ7-THIN!$F$9,0)</f>
        <v>16.416666666666668</v>
      </c>
      <c r="NR9" s="147">
        <f>IF(NR7&gt;THIN!$F$9,NR7-THIN!$F$9,0)</f>
        <v>16.5</v>
      </c>
      <c r="NS9" s="147">
        <f>IF(NS7&gt;THIN!$F$9,NS7-THIN!$F$9,0)</f>
        <v>16.583333333333332</v>
      </c>
      <c r="NT9" s="147">
        <f>IF(NT7&gt;THIN!$F$9,NT7-THIN!$F$9,0)</f>
        <v>16.666666666666668</v>
      </c>
      <c r="NU9" s="147">
        <f>IF(NU7&gt;THIN!$F$9,NU7-THIN!$F$9,0)</f>
        <v>16.75</v>
      </c>
      <c r="NV9" s="147">
        <f>IF(NV7&gt;THIN!$F$9,NV7-THIN!$F$9,0)</f>
        <v>16.833333333333332</v>
      </c>
      <c r="NW9" s="147">
        <f>IF(NW7&gt;THIN!$F$9,NW7-THIN!$F$9,0)</f>
        <v>16.916666666666668</v>
      </c>
      <c r="NX9" s="147">
        <f>IF(NX7&gt;THIN!$F$9,NX7-THIN!$F$9,0)</f>
        <v>17</v>
      </c>
      <c r="NY9" s="147">
        <f>IF(NY7&gt;THIN!$F$9,NY7-THIN!$F$9,0)</f>
        <v>17.083333333333336</v>
      </c>
      <c r="NZ9" s="147">
        <f>IF(NZ7&gt;THIN!$F$9,NZ7-THIN!$F$9,0)</f>
        <v>17.166666666666664</v>
      </c>
      <c r="OA9" s="147">
        <f>IF(OA7&gt;THIN!$F$9,OA7-THIN!$F$9,0)</f>
        <v>17.25</v>
      </c>
      <c r="OB9" s="147">
        <f>IF(OB7&gt;THIN!$F$9,OB7-THIN!$F$9,0)</f>
        <v>17.333333333333336</v>
      </c>
      <c r="OC9" s="147">
        <f>IF(OC7&gt;THIN!$F$9,OC7-THIN!$F$9,0)</f>
        <v>17.416666666666664</v>
      </c>
      <c r="OD9" s="147">
        <f>IF(OD7&gt;THIN!$F$9,OD7-THIN!$F$9,0)</f>
        <v>17.5</v>
      </c>
      <c r="OE9" s="147">
        <f>IF(OE7&gt;THIN!$F$9,OE7-THIN!$F$9,0)</f>
        <v>17.583333333333336</v>
      </c>
      <c r="OF9" s="147">
        <f>IF(OF7&gt;THIN!$F$9,OF7-THIN!$F$9,0)</f>
        <v>17.666666666666664</v>
      </c>
      <c r="OG9" s="147">
        <f>IF(OG7&gt;THIN!$F$9,OG7-THIN!$F$9,0)</f>
        <v>17.75</v>
      </c>
      <c r="OH9" s="147">
        <f>IF(OH7&gt;THIN!$F$9,OH7-THIN!$F$9,0)</f>
        <v>17.833333333333336</v>
      </c>
      <c r="OI9" s="147">
        <f>IF(OI7&gt;THIN!$F$9,OI7-THIN!$F$9,0)</f>
        <v>17.916666666666664</v>
      </c>
      <c r="OJ9" s="147">
        <f>IF(OJ7&gt;THIN!$F$9,OJ7-THIN!$F$9,0)</f>
        <v>18</v>
      </c>
      <c r="OK9" s="147">
        <f>IF(OK7&gt;THIN!$F$9,OK7-THIN!$F$9,0)</f>
        <v>18.083333333333336</v>
      </c>
      <c r="OL9" s="147">
        <f>IF(OL7&gt;THIN!$F$9,OL7-THIN!$F$9,0)</f>
        <v>18.166666666666664</v>
      </c>
      <c r="OM9" s="147">
        <f>IF(OM7&gt;THIN!$F$9,OM7-THIN!$F$9,0)</f>
        <v>18.25</v>
      </c>
      <c r="ON9" s="147">
        <f>IF(ON7&gt;THIN!$F$9,ON7-THIN!$F$9,0)</f>
        <v>18.333333333333336</v>
      </c>
      <c r="OO9" s="147">
        <f>IF(OO7&gt;THIN!$F$9,OO7-THIN!$F$9,0)</f>
        <v>18.416666666666664</v>
      </c>
      <c r="OP9" s="147">
        <f>IF(OP7&gt;THIN!$F$9,OP7-THIN!$F$9,0)</f>
        <v>18.5</v>
      </c>
      <c r="OQ9" s="147">
        <f>IF(OQ7&gt;THIN!$F$9,OQ7-THIN!$F$9,0)</f>
        <v>18.583333333333336</v>
      </c>
      <c r="OR9" s="147">
        <f>IF(OR7&gt;THIN!$F$9,OR7-THIN!$F$9,0)</f>
        <v>18.666666666666664</v>
      </c>
      <c r="OS9" s="147">
        <f>IF(OS7&gt;THIN!$F$9,OS7-THIN!$F$9,0)</f>
        <v>18.75</v>
      </c>
      <c r="OT9" s="147">
        <f>IF(OT7&gt;THIN!$F$9,OT7-THIN!$F$9,0)</f>
        <v>18.833333333333336</v>
      </c>
      <c r="OU9" s="147">
        <f>IF(OU7&gt;THIN!$F$9,OU7-THIN!$F$9,0)</f>
        <v>18.916666666666664</v>
      </c>
      <c r="OV9" s="147">
        <f>IF(OV7&gt;THIN!$F$9,OV7-THIN!$F$9,0)</f>
        <v>19</v>
      </c>
      <c r="OW9" s="147">
        <f>IF(OW7&gt;THIN!$F$9,OW7-THIN!$F$9,0)</f>
        <v>19.083333333333336</v>
      </c>
      <c r="OX9" s="147">
        <f>IF(OX7&gt;THIN!$F$9,OX7-THIN!$F$9,0)</f>
        <v>19.166666666666664</v>
      </c>
      <c r="OY9" s="147">
        <f>IF(OY7&gt;THIN!$F$9,OY7-THIN!$F$9,0)</f>
        <v>19.25</v>
      </c>
      <c r="OZ9" s="147">
        <f>IF(OZ7&gt;THIN!$F$9,OZ7-THIN!$F$9,0)</f>
        <v>19.333333333333336</v>
      </c>
      <c r="PA9" s="147">
        <f>IF(PA7&gt;THIN!$F$9,PA7-THIN!$F$9,0)</f>
        <v>19.416666666666664</v>
      </c>
      <c r="PB9" s="147">
        <f>IF(PB7&gt;THIN!$F$9,PB7-THIN!$F$9,0)</f>
        <v>19.5</v>
      </c>
      <c r="PC9" s="147">
        <f>IF(PC7&gt;THIN!$F$9,PC7-THIN!$F$9,0)</f>
        <v>19.583333333333336</v>
      </c>
      <c r="PD9" s="147">
        <f>IF(PD7&gt;THIN!$F$9,PD7-THIN!$F$9,0)</f>
        <v>19.666666666666664</v>
      </c>
      <c r="PE9" s="147">
        <f>IF(PE7&gt;THIN!$F$9,PE7-THIN!$F$9,0)</f>
        <v>19.75</v>
      </c>
      <c r="PF9" s="147">
        <f>IF(PF7&gt;THIN!$F$9,PF7-THIN!$F$9,0)</f>
        <v>19.833333333333336</v>
      </c>
      <c r="PG9" s="147">
        <f>IF(PG7&gt;THIN!$F$9,PG7-THIN!$F$9,0)</f>
        <v>19.916666666666664</v>
      </c>
      <c r="PH9" s="147">
        <f>IF(PH7&gt;THIN!$F$9,PH7-THIN!$F$9,0)</f>
        <v>20</v>
      </c>
      <c r="PI9" s="147">
        <f>IF(PI7&gt;THIN!$F$9,PI7-THIN!$F$9,0)</f>
        <v>20.083333333333336</v>
      </c>
      <c r="PJ9" s="147">
        <f>IF(PJ7&gt;THIN!$F$9,PJ7-THIN!$F$9,0)</f>
        <v>20.166666666666664</v>
      </c>
      <c r="PK9" s="147">
        <f>IF(PK7&gt;THIN!$F$9,PK7-THIN!$F$9,0)</f>
        <v>20.25</v>
      </c>
      <c r="PL9" s="147">
        <f>IF(PL7&gt;THIN!$F$9,PL7-THIN!$F$9,0)</f>
        <v>20.333333333333336</v>
      </c>
      <c r="PM9" s="147">
        <f>IF(PM7&gt;THIN!$F$9,PM7-THIN!$F$9,0)</f>
        <v>20.416666666666664</v>
      </c>
      <c r="PN9" s="147">
        <f>IF(PN7&gt;THIN!$F$9,PN7-THIN!$F$9,0)</f>
        <v>20.5</v>
      </c>
      <c r="PO9" s="147">
        <f>IF(PO7&gt;THIN!$F$9,PO7-THIN!$F$9,0)</f>
        <v>20.583333333333336</v>
      </c>
      <c r="PP9" s="147">
        <f>IF(PP7&gt;THIN!$F$9,PP7-THIN!$F$9,0)</f>
        <v>20.666666666666664</v>
      </c>
      <c r="PQ9" s="147">
        <f>IF(PQ7&gt;THIN!$F$9,PQ7-THIN!$F$9,0)</f>
        <v>20.75</v>
      </c>
      <c r="PR9" s="147">
        <f>IF(PR7&gt;THIN!$F$9,PR7-THIN!$F$9,0)</f>
        <v>20.833333333333336</v>
      </c>
      <c r="PS9" s="147">
        <f>IF(PS7&gt;THIN!$F$9,PS7-THIN!$F$9,0)</f>
        <v>20.916666666666664</v>
      </c>
      <c r="PT9" s="147">
        <f>IF(PT7&gt;THIN!$F$9,PT7-THIN!$F$9,0)</f>
        <v>21</v>
      </c>
      <c r="PU9" s="147">
        <f>IF(PU7&gt;THIN!$F$9,PU7-THIN!$F$9,0)</f>
        <v>21.083333333333336</v>
      </c>
      <c r="PV9" s="147">
        <f>IF(PV7&gt;THIN!$F$9,PV7-THIN!$F$9,0)</f>
        <v>21.166666666666664</v>
      </c>
      <c r="PW9" s="147">
        <f>IF(PW7&gt;THIN!$F$9,PW7-THIN!$F$9,0)</f>
        <v>21.25</v>
      </c>
      <c r="PX9" s="147">
        <f>IF(PX7&gt;THIN!$F$9,PX7-THIN!$F$9,0)</f>
        <v>21.333333333333336</v>
      </c>
      <c r="PY9" s="147">
        <f>IF(PY7&gt;THIN!$F$9,PY7-THIN!$F$9,0)</f>
        <v>21.416666666666664</v>
      </c>
      <c r="PZ9" s="147">
        <f>IF(PZ7&gt;THIN!$F$9,PZ7-THIN!$F$9,0)</f>
        <v>21.5</v>
      </c>
      <c r="QA9" s="147">
        <f>IF(QA7&gt;THIN!$F$9,QA7-THIN!$F$9,0)</f>
        <v>21.583333333333336</v>
      </c>
      <c r="QB9" s="147">
        <f>IF(QB7&gt;THIN!$F$9,QB7-THIN!$F$9,0)</f>
        <v>21.666666666666664</v>
      </c>
      <c r="QC9" s="147">
        <f>IF(QC7&gt;THIN!$F$9,QC7-THIN!$F$9,0)</f>
        <v>21.75</v>
      </c>
      <c r="QD9" s="147">
        <f>IF(QD7&gt;THIN!$F$9,QD7-THIN!$F$9,0)</f>
        <v>21.833333333333336</v>
      </c>
      <c r="QE9" s="147">
        <f>IF(QE7&gt;THIN!$F$9,QE7-THIN!$F$9,0)</f>
        <v>21.916666666666664</v>
      </c>
      <c r="QF9" s="147">
        <f>IF(QF7&gt;THIN!$F$9,QF7-THIN!$F$9,0)</f>
        <v>22</v>
      </c>
      <c r="QG9" s="147">
        <f>IF(QG7&gt;THIN!$F$9,QG7-THIN!$F$9,0)</f>
        <v>22.083333333333336</v>
      </c>
      <c r="QH9" s="147">
        <f>IF(QH7&gt;THIN!$F$9,QH7-THIN!$F$9,0)</f>
        <v>22.166666666666664</v>
      </c>
      <c r="QI9" s="147">
        <f>IF(QI7&gt;THIN!$F$9,QI7-THIN!$F$9,0)</f>
        <v>22.25</v>
      </c>
      <c r="QJ9" s="147">
        <f>IF(QJ7&gt;THIN!$F$9,QJ7-THIN!$F$9,0)</f>
        <v>22.333333333333336</v>
      </c>
      <c r="QK9" s="147">
        <f>IF(QK7&gt;THIN!$F$9,QK7-THIN!$F$9,0)</f>
        <v>22.416666666666664</v>
      </c>
      <c r="QL9" s="147">
        <f>IF(QL7&gt;THIN!$F$9,QL7-THIN!$F$9,0)</f>
        <v>22.5</v>
      </c>
      <c r="QM9" s="147">
        <f>IF(QM7&gt;THIN!$F$9,QM7-THIN!$F$9,0)</f>
        <v>22.583333333333336</v>
      </c>
      <c r="QN9" s="147">
        <f>IF(QN7&gt;THIN!$F$9,QN7-THIN!$F$9,0)</f>
        <v>22.666666666666664</v>
      </c>
      <c r="QO9" s="147">
        <f>IF(QO7&gt;THIN!$F$9,QO7-THIN!$F$9,0)</f>
        <v>22.75</v>
      </c>
      <c r="QP9" s="147">
        <f>IF(QP7&gt;THIN!$F$9,QP7-THIN!$F$9,0)</f>
        <v>22.833333333333336</v>
      </c>
      <c r="QQ9" s="147">
        <f>IF(QQ7&gt;THIN!$F$9,QQ7-THIN!$F$9,0)</f>
        <v>22.916666666666664</v>
      </c>
      <c r="QR9" s="147">
        <f>IF(QR7&gt;THIN!$F$9,QR7-THIN!$F$9,0)</f>
        <v>23</v>
      </c>
      <c r="QS9" s="147">
        <f>IF(QS7&gt;THIN!$F$9,QS7-THIN!$F$9,0)</f>
        <v>23.083333333333336</v>
      </c>
      <c r="QT9" s="147">
        <f>IF(QT7&gt;THIN!$F$9,QT7-THIN!$F$9,0)</f>
        <v>23.166666666666664</v>
      </c>
      <c r="QU9" s="147">
        <f>IF(QU7&gt;THIN!$F$9,QU7-THIN!$F$9,0)</f>
        <v>23.25</v>
      </c>
      <c r="QV9" s="147">
        <f>IF(QV7&gt;THIN!$F$9,QV7-THIN!$F$9,0)</f>
        <v>23.333333333333336</v>
      </c>
      <c r="QW9" s="147">
        <f>IF(QW7&gt;THIN!$F$9,QW7-THIN!$F$9,0)</f>
        <v>23.416666666666664</v>
      </c>
      <c r="QX9" s="147">
        <f>IF(QX7&gt;THIN!$F$9,QX7-THIN!$F$9,0)</f>
        <v>23.5</v>
      </c>
      <c r="QY9" s="147">
        <f>IF(QY7&gt;THIN!$F$9,QY7-THIN!$F$9,0)</f>
        <v>23.583333333333336</v>
      </c>
      <c r="QZ9" s="147">
        <f>IF(QZ7&gt;THIN!$F$9,QZ7-THIN!$F$9,0)</f>
        <v>23.666666666666664</v>
      </c>
      <c r="RA9" s="147">
        <f>IF(RA7&gt;THIN!$F$9,RA7-THIN!$F$9,0)</f>
        <v>23.75</v>
      </c>
      <c r="RB9" s="147">
        <f>IF(RB7&gt;THIN!$F$9,RB7-THIN!$F$9,0)</f>
        <v>23.833333333333336</v>
      </c>
      <c r="RC9" s="147">
        <f>IF(RC7&gt;THIN!$F$9,RC7-THIN!$F$9,0)</f>
        <v>23.916666666666664</v>
      </c>
      <c r="RD9" s="147">
        <f>IF(RD7&gt;THIN!$F$9,RD7-THIN!$F$9,0)</f>
        <v>24</v>
      </c>
      <c r="RE9" s="147">
        <f>IF(RE7&gt;THIN!$F$9,RE7-THIN!$F$9,0)</f>
        <v>24.083333333333336</v>
      </c>
      <c r="RF9" s="147">
        <f>IF(RF7&gt;THIN!$F$9,RF7-THIN!$F$9,0)</f>
        <v>24.166666666666664</v>
      </c>
      <c r="RG9" s="147">
        <f>IF(RG7&gt;THIN!$F$9,RG7-THIN!$F$9,0)</f>
        <v>24.25</v>
      </c>
      <c r="RH9" s="147">
        <f>IF(RH7&gt;THIN!$F$9,RH7-THIN!$F$9,0)</f>
        <v>24.333333333333336</v>
      </c>
      <c r="RI9" s="147">
        <f>IF(RI7&gt;THIN!$F$9,RI7-THIN!$F$9,0)</f>
        <v>24.416666666666664</v>
      </c>
      <c r="RJ9" s="147">
        <f>IF(RJ7&gt;THIN!$F$9,RJ7-THIN!$F$9,0)</f>
        <v>24.5</v>
      </c>
      <c r="RK9" s="147">
        <f>IF(RK7&gt;THIN!$F$9,RK7-THIN!$F$9,0)</f>
        <v>24.583333333333336</v>
      </c>
      <c r="RL9" s="147">
        <f>IF(RL7&gt;THIN!$F$9,RL7-THIN!$F$9,0)</f>
        <v>24.666666666666664</v>
      </c>
      <c r="RM9" s="147">
        <f>IF(RM7&gt;THIN!$F$9,RM7-THIN!$F$9,0)</f>
        <v>24.75</v>
      </c>
      <c r="RN9" s="147">
        <f>IF(RN7&gt;THIN!$F$9,RN7-THIN!$F$9,0)</f>
        <v>24.833333333333336</v>
      </c>
      <c r="RO9" s="147">
        <f>IF(RO7&gt;THIN!$F$9,RO7-THIN!$F$9,0)</f>
        <v>24.916666666666664</v>
      </c>
      <c r="RP9" s="147">
        <f>IF(RP7&gt;THIN!$F$9,RP7-THIN!$F$9,0)</f>
        <v>25</v>
      </c>
      <c r="RQ9" s="93"/>
      <c r="RR9" s="93"/>
      <c r="RS9" s="93"/>
      <c r="RT9" s="93"/>
      <c r="RU9" s="93"/>
      <c r="RV9" s="93"/>
      <c r="RW9" s="93"/>
      <c r="RX9" s="93"/>
      <c r="RY9" s="93"/>
      <c r="RZ9" s="93"/>
      <c r="SA9" s="93"/>
    </row>
    <row r="10" spans="1:495" ht="12.95" customHeight="1" x14ac:dyDescent="0.2">
      <c r="B10" s="152" t="s">
        <v>902</v>
      </c>
      <c r="C10" s="152"/>
      <c r="D10" s="152"/>
      <c r="E10" s="147">
        <f>IF(E$9&gt;0,THIN!$F$36*EXP(-THIN!$F$14*E$9),0)</f>
        <v>0</v>
      </c>
      <c r="F10" s="147">
        <f>IF(F$9&gt;0,THIN!$F$36*EXP(-THIN!$F$14*F$9),0)</f>
        <v>0</v>
      </c>
      <c r="G10" s="147">
        <f>IF(G$9&gt;0,THIN!$F$36*EXP(-THIN!$F$14*G$9),0)</f>
        <v>0</v>
      </c>
      <c r="H10" s="147">
        <f>IF(H$9&gt;0,THIN!$F$36*EXP(-THIN!$F$14*H$9),0)</f>
        <v>0</v>
      </c>
      <c r="I10" s="147">
        <f>IF(I$9&gt;0,THIN!$F$36*EXP(-THIN!$F$14*I$9),0)</f>
        <v>0</v>
      </c>
      <c r="J10" s="147">
        <f>IF(J$9&gt;0,THIN!$F$36*EXP(-THIN!$F$14*J$9),0)</f>
        <v>0</v>
      </c>
      <c r="K10" s="147">
        <f>IF(K$9&gt;0,THIN!$F$36*EXP(-THIN!$F$14*K$9),0)</f>
        <v>0</v>
      </c>
      <c r="L10" s="147">
        <f>IF(L$9&gt;0,THIN!$F$36*EXP(-THIN!$F$14*L$9),0)</f>
        <v>0</v>
      </c>
      <c r="M10" s="147">
        <f>IF(M$9&gt;0,THIN!$F$36*EXP(-THIN!$F$14*M$9),0)</f>
        <v>0</v>
      </c>
      <c r="N10" s="147">
        <f>IF(N$9&gt;0,THIN!$F$36*EXP(-THIN!$F$14*N$9),0)</f>
        <v>0</v>
      </c>
      <c r="O10" s="147">
        <f>IF(O$9&gt;0,THIN!$F$36*EXP(-THIN!$F$14*O$9),0)</f>
        <v>0</v>
      </c>
      <c r="P10" s="147">
        <f>IF(P$9&gt;0,THIN!$F$36*EXP(-THIN!$F$14*P$9),0)</f>
        <v>0</v>
      </c>
      <c r="Q10" s="147">
        <f>IF(Q$9&gt;0,THIN!$F$36*EXP(-THIN!$F$14*Q$9),0)</f>
        <v>0</v>
      </c>
      <c r="R10" s="147">
        <f>IF(R$9&gt;0,THIN!$F$36*EXP(-THIN!$F$14*R$9),0)</f>
        <v>0</v>
      </c>
      <c r="S10" s="147">
        <f>IF(S$9&gt;0,THIN!$F$36*EXP(-THIN!$F$14*S$9),0)</f>
        <v>0</v>
      </c>
      <c r="T10" s="147">
        <f>IF(T$9&gt;0,THIN!$F$36*EXP(-THIN!$F$14*T$9),0)</f>
        <v>0</v>
      </c>
      <c r="U10" s="147">
        <f>IF(U$9&gt;0,THIN!$F$36*EXP(-THIN!$F$14*U$9),0)</f>
        <v>0</v>
      </c>
      <c r="V10" s="147">
        <f>IF(V$9&gt;0,THIN!$F$36*EXP(-THIN!$F$14*V$9),0)</f>
        <v>0</v>
      </c>
      <c r="W10" s="147">
        <f>IF(W$9&gt;0,THIN!$F$36*EXP(-THIN!$F$14*W$9),0)</f>
        <v>0</v>
      </c>
      <c r="X10" s="147">
        <f>IF(X$9&gt;0,THIN!$F$36*EXP(-THIN!$F$14*X$9),0)</f>
        <v>0</v>
      </c>
      <c r="Y10" s="147">
        <f>IF(Y$9&gt;0,THIN!$F$36*EXP(-THIN!$F$14*Y$9),0)</f>
        <v>0</v>
      </c>
      <c r="Z10" s="147">
        <f>IF(Z$9&gt;0,THIN!$F$36*EXP(-THIN!$F$14*Z$9),0)</f>
        <v>0</v>
      </c>
      <c r="AA10" s="147">
        <f>IF(AA$9&gt;0,THIN!$F$36*EXP(-THIN!$F$14*AA$9),0)</f>
        <v>0</v>
      </c>
      <c r="AB10" s="147">
        <f>IF(AB$9&gt;0,THIN!$F$36*EXP(-THIN!$F$14*AB$9),0)</f>
        <v>0</v>
      </c>
      <c r="AC10" s="147">
        <f>IF(AC$9&gt;0,THIN!$F$36*EXP(-THIN!$F$14*AC$9),0)</f>
        <v>0</v>
      </c>
      <c r="AD10" s="147">
        <f>IF(AD$9&gt;0,THIN!$F$36*EXP(-THIN!$F$14*AD$9),0)</f>
        <v>0</v>
      </c>
      <c r="AE10" s="147">
        <f>IF(AE$9&gt;0,THIN!$F$36*EXP(-THIN!$F$14*AE$9),0)</f>
        <v>0</v>
      </c>
      <c r="AF10" s="147">
        <f>IF(AF$9&gt;0,THIN!$F$36*EXP(-THIN!$F$14*AF$9),0)</f>
        <v>0</v>
      </c>
      <c r="AG10" s="147">
        <f>IF(AG$9&gt;0,THIN!$F$36*EXP(-THIN!$F$14*AG$9),0)</f>
        <v>0</v>
      </c>
      <c r="AH10" s="147">
        <f>IF(AH$9&gt;0,THIN!$F$36*EXP(-THIN!$F$14*AH$9),0)</f>
        <v>0</v>
      </c>
      <c r="AI10" s="147">
        <f>IF(AI$9&gt;0,THIN!$F$36*EXP(-THIN!$F$14*AI$9),0)</f>
        <v>0</v>
      </c>
      <c r="AJ10" s="147">
        <f>IF(AJ$9&gt;0,THIN!$F$36*EXP(-THIN!$F$14*AJ$9),0)</f>
        <v>0</v>
      </c>
      <c r="AK10" s="147">
        <f>IF(AK$9&gt;0,THIN!$F$36*EXP(-THIN!$F$14*AK$9),0)</f>
        <v>0</v>
      </c>
      <c r="AL10" s="147">
        <f>IF(AL$9&gt;0,THIN!$F$36*EXP(-THIN!$F$14*AL$9),0)</f>
        <v>0</v>
      </c>
      <c r="AM10" s="147">
        <f>IF(AM$9&gt;0,THIN!$F$36*EXP(-THIN!$F$14*AM$9),0)</f>
        <v>0</v>
      </c>
      <c r="AN10" s="147">
        <f>IF(AN$9&gt;0,THIN!$F$36*EXP(-THIN!$F$14*AN$9),0)</f>
        <v>0</v>
      </c>
      <c r="AO10" s="147">
        <f>IF(AO$9&gt;0,THIN!$F$36*EXP(-THIN!$F$14*AO$9),0)</f>
        <v>0</v>
      </c>
      <c r="AP10" s="147">
        <f>IF(AP$9&gt;0,THIN!$F$36*EXP(-THIN!$F$14*AP$9),0)</f>
        <v>0</v>
      </c>
      <c r="AQ10" s="147">
        <f>IF(AQ$9&gt;0,THIN!$F$36*EXP(-THIN!$F$14*AQ$9),0)</f>
        <v>0</v>
      </c>
      <c r="AR10" s="147">
        <f>IF(AR$9&gt;0,THIN!$F$36*EXP(-THIN!$F$14*AR$9),0)</f>
        <v>0</v>
      </c>
      <c r="AS10" s="147">
        <f>IF(AS$9&gt;0,THIN!$F$36*EXP(-THIN!$F$14*AS$9),0)</f>
        <v>0</v>
      </c>
      <c r="AT10" s="147">
        <f>IF(AT$9&gt;0,THIN!$F$36*EXP(-THIN!$F$14*AT$9),0)</f>
        <v>0</v>
      </c>
      <c r="AU10" s="147">
        <f>IF(AU$9&gt;0,THIN!$F$36*EXP(-THIN!$F$14*AU$9),0)</f>
        <v>0</v>
      </c>
      <c r="AV10" s="147">
        <f>IF(AV$9&gt;0,THIN!$F$36*EXP(-THIN!$F$14*AV$9),0)</f>
        <v>0</v>
      </c>
      <c r="AW10" s="147">
        <f>IF(AW$9&gt;0,THIN!$F$36*EXP(-THIN!$F$14*AW$9),0)</f>
        <v>0</v>
      </c>
      <c r="AX10" s="147">
        <f>IF(AX$9&gt;0,THIN!$F$36*EXP(-THIN!$F$14*AX$9),0)</f>
        <v>0</v>
      </c>
      <c r="AY10" s="147">
        <f>IF(AY$9&gt;0,THIN!$F$36*EXP(-THIN!$F$14*AY$9),0)</f>
        <v>0</v>
      </c>
      <c r="AZ10" s="147">
        <f>IF(AZ$9&gt;0,THIN!$F$36*EXP(-THIN!$F$14*AZ$9),0)</f>
        <v>0</v>
      </c>
      <c r="BA10" s="147">
        <f>IF(BA$9&gt;0,THIN!$F$36*EXP(-THIN!$F$14*BA$9),0)</f>
        <v>0</v>
      </c>
      <c r="BB10" s="147">
        <f>IF(BB$9&gt;0,THIN!$F$36*EXP(-THIN!$F$14*BB$9),0)</f>
        <v>0</v>
      </c>
      <c r="BC10" s="147">
        <f>IF(BC$9&gt;0,THIN!$F$36*EXP(-THIN!$F$14*BC$9),0)</f>
        <v>0</v>
      </c>
      <c r="BD10" s="147">
        <f>IF(BD$9&gt;0,THIN!$F$36*EXP(-THIN!$F$14*BD$9),0)</f>
        <v>0</v>
      </c>
      <c r="BE10" s="147">
        <f>IF(BE$9&gt;0,THIN!$F$36*EXP(-THIN!$F$14*BE$9),0)</f>
        <v>0</v>
      </c>
      <c r="BF10" s="147">
        <f>IF(BF$9&gt;0,THIN!$F$36*EXP(-THIN!$F$14*BF$9),0)</f>
        <v>0</v>
      </c>
      <c r="BG10" s="147">
        <f>IF(BG$9&gt;0,THIN!$F$36*EXP(-THIN!$F$14*BG$9),0)</f>
        <v>0</v>
      </c>
      <c r="BH10" s="147">
        <f>IF(BH$9&gt;0,THIN!$F$36*EXP(-THIN!$F$14*BH$9),0)</f>
        <v>0</v>
      </c>
      <c r="BI10" s="147">
        <f>IF(BI$9&gt;0,THIN!$F$36*EXP(-THIN!$F$14*BI$9),0)</f>
        <v>0</v>
      </c>
      <c r="BJ10" s="147">
        <f>IF(BJ$9&gt;0,THIN!$F$36*EXP(-THIN!$F$14*BJ$9),0)</f>
        <v>0</v>
      </c>
      <c r="BK10" s="147">
        <f>IF(BK$9&gt;0,THIN!$F$36*EXP(-THIN!$F$14*BK$9),0)</f>
        <v>0</v>
      </c>
      <c r="BL10" s="147">
        <f>IF(BL$9&gt;0,THIN!$F$36*EXP(-THIN!$F$14*BL$9),0)</f>
        <v>0</v>
      </c>
      <c r="BM10" s="147">
        <f>IF(BM$9&gt;0,THIN!$F$36*EXP(-THIN!$F$14*BM$9),0)</f>
        <v>0</v>
      </c>
      <c r="BN10" s="147">
        <f>IF(BN$9&gt;0,THIN!$F$36*EXP(-THIN!$F$14*BN$9),0)</f>
        <v>0</v>
      </c>
      <c r="BO10" s="147">
        <f>IF(BO$9&gt;0,THIN!$F$36*EXP(-THIN!$F$14*BO$9),0)</f>
        <v>0</v>
      </c>
      <c r="BP10" s="147">
        <f>IF(BP$9&gt;0,THIN!$F$36*EXP(-THIN!$F$14*BP$9),0)</f>
        <v>0</v>
      </c>
      <c r="BQ10" s="147">
        <f>IF(BQ$9&gt;0,THIN!$F$36*EXP(-THIN!$F$14*BQ$9),0)</f>
        <v>0</v>
      </c>
      <c r="BR10" s="147">
        <f>IF(BR$9&gt;0,THIN!$F$36*EXP(-THIN!$F$14*BR$9),0)</f>
        <v>0</v>
      </c>
      <c r="BS10" s="147">
        <f>IF(BS$9&gt;0,THIN!$F$36*EXP(-THIN!$F$14*BS$9),0)</f>
        <v>0</v>
      </c>
      <c r="BT10" s="147">
        <f>IF(BT$9&gt;0,THIN!$F$36*EXP(-THIN!$F$14*BT$9),0)</f>
        <v>0</v>
      </c>
      <c r="BU10" s="147">
        <f>IF(BU$9&gt;0,THIN!$F$36*EXP(-THIN!$F$14*BU$9),0)</f>
        <v>0</v>
      </c>
      <c r="BV10" s="147">
        <f>IF(BV$9&gt;0,THIN!$F$36*EXP(-THIN!$F$14*BV$9),0)</f>
        <v>0</v>
      </c>
      <c r="BW10" s="147">
        <f>IF(BW$9&gt;0,THIN!$F$36*EXP(-THIN!$F$14*BW$9),0)</f>
        <v>0</v>
      </c>
      <c r="BX10" s="147">
        <f>IF(BX$9&gt;0,THIN!$F$36*EXP(-THIN!$F$14*BX$9),0)</f>
        <v>0</v>
      </c>
      <c r="BY10" s="147">
        <f>IF(BY$9&gt;0,THIN!$F$36*EXP(-THIN!$F$14*BY$9),0)</f>
        <v>0</v>
      </c>
      <c r="BZ10" s="147">
        <f>IF(BZ$9&gt;0,THIN!$F$36*EXP(-THIN!$F$14*BZ$9),0)</f>
        <v>0</v>
      </c>
      <c r="CA10" s="147">
        <f>IF(CA$9&gt;0,THIN!$F$36*EXP(-THIN!$F$14*CA$9),0)</f>
        <v>0</v>
      </c>
      <c r="CB10" s="147">
        <f>IF(CB$9&gt;0,THIN!$F$36*EXP(-THIN!$F$14*CB$9),0)</f>
        <v>0</v>
      </c>
      <c r="CC10" s="147">
        <f>IF(CC$9&gt;0,THIN!$F$36*EXP(-THIN!$F$14*CC$9),0)</f>
        <v>0</v>
      </c>
      <c r="CD10" s="147">
        <f>IF(CD$9&gt;0,THIN!$F$36*EXP(-THIN!$F$14*CD$9),0)</f>
        <v>0</v>
      </c>
      <c r="CE10" s="147">
        <f>IF(CE$9&gt;0,THIN!$F$36*EXP(-THIN!$F$14*CE$9),0)</f>
        <v>0</v>
      </c>
      <c r="CF10" s="147">
        <f>IF(CF$9&gt;0,THIN!$F$36*EXP(-THIN!$F$14*CF$9),0)</f>
        <v>0</v>
      </c>
      <c r="CG10" s="147">
        <f>IF(CG$9&gt;0,THIN!$F$36*EXP(-THIN!$F$14*CG$9),0)</f>
        <v>0</v>
      </c>
      <c r="CH10" s="147">
        <f>IF(CH$9&gt;0,THIN!$F$36*EXP(-THIN!$F$14*CH$9),0)</f>
        <v>0</v>
      </c>
      <c r="CI10" s="147">
        <f>IF(CI$9&gt;0,THIN!$F$36*EXP(-THIN!$F$14*CI$9),0)</f>
        <v>0</v>
      </c>
      <c r="CJ10" s="147">
        <f>IF(CJ$9&gt;0,THIN!$F$36*EXP(-THIN!$F$14*CJ$9),0)</f>
        <v>0</v>
      </c>
      <c r="CK10" s="147">
        <f>IF(CK$9&gt;0,THIN!$F$36*EXP(-THIN!$F$14*CK$9),0)</f>
        <v>0</v>
      </c>
      <c r="CL10" s="147">
        <f>IF(CL$9&gt;0,THIN!$F$36*EXP(-THIN!$F$14*CL$9),0)</f>
        <v>0</v>
      </c>
      <c r="CM10" s="147">
        <f>IF(CM$9&gt;0,THIN!$F$36*EXP(-THIN!$F$14*CM$9),0)</f>
        <v>0</v>
      </c>
      <c r="CN10" s="147">
        <f>IF(CN$9&gt;0,THIN!$F$36*EXP(-THIN!$F$14*CN$9),0)</f>
        <v>0</v>
      </c>
      <c r="CO10" s="147">
        <f>IF(CO$9&gt;0,THIN!$F$36*EXP(-THIN!$F$14*CO$9),0)</f>
        <v>0</v>
      </c>
      <c r="CP10" s="147">
        <f>IF(CP$9&gt;0,THIN!$F$36*EXP(-THIN!$F$14*CP$9),0)</f>
        <v>0</v>
      </c>
      <c r="CQ10" s="147">
        <f>IF(CQ$9&gt;0,THIN!$F$36*EXP(-THIN!$F$14*CQ$9),0)</f>
        <v>0</v>
      </c>
      <c r="CR10" s="147">
        <f>IF(CR$9&gt;0,THIN!$F$36*EXP(-THIN!$F$14*CR$9),0)</f>
        <v>0</v>
      </c>
      <c r="CS10" s="147">
        <f>IF(CS$9&gt;0,THIN!$F$36*EXP(-THIN!$F$14*CS$9),0)</f>
        <v>0</v>
      </c>
      <c r="CT10" s="147">
        <f>IF(CT$9&gt;0,THIN!$F$36*EXP(-THIN!$F$14*CT$9),0)</f>
        <v>0</v>
      </c>
      <c r="CU10" s="147">
        <f>IF(CU$9&gt;0,THIN!$F$36*EXP(-THIN!$F$14*CU$9),0)</f>
        <v>0</v>
      </c>
      <c r="CV10" s="147">
        <f>IF(CV$9&gt;0,THIN!$F$36*EXP(-THIN!$F$14*CV$9),0)</f>
        <v>0</v>
      </c>
      <c r="CW10" s="147">
        <f>IF(CW$9&gt;0,THIN!$F$36*EXP(-THIN!$F$14*CW$9),0)</f>
        <v>0</v>
      </c>
      <c r="CX10" s="147">
        <f>IF(CX$9&gt;0,THIN!$F$36*EXP(-THIN!$F$14*CX$9),0)</f>
        <v>0</v>
      </c>
      <c r="CY10" s="147">
        <f>IF(CY$9&gt;0,THIN!$F$36*EXP(-THIN!$F$14*CY$9),0)</f>
        <v>0</v>
      </c>
      <c r="CZ10" s="147">
        <f>IF(CZ$9&gt;0,THIN!$F$36*EXP(-THIN!$F$14*CZ$9),0)</f>
        <v>0</v>
      </c>
      <c r="DA10" s="147">
        <f>IF(DA$9&gt;0,THIN!$F$36*EXP(-THIN!$F$14*DA$9),0)</f>
        <v>0</v>
      </c>
      <c r="DB10" s="147">
        <f>IF(DB$9&gt;0,THIN!$F$36*EXP(-THIN!$F$14*DB$9),0)</f>
        <v>0</v>
      </c>
      <c r="DC10" s="147">
        <f>IF(DC$9&gt;0,THIN!$F$36*EXP(-THIN!$F$14*DC$9),0)</f>
        <v>0</v>
      </c>
      <c r="DD10" s="147">
        <f>IF(DD$9&gt;0,THIN!$F$36*EXP(-THIN!$F$14*DD$9),0)</f>
        <v>0</v>
      </c>
      <c r="DE10" s="147">
        <f>IF(DE$9&gt;0,THIN!$F$36*EXP(-THIN!$F$14*DE$9),0)</f>
        <v>0</v>
      </c>
      <c r="DF10" s="147">
        <f>IF(DF$9&gt;0,THIN!$F$36*EXP(-THIN!$F$14*DF$9),0)</f>
        <v>0</v>
      </c>
      <c r="DG10" s="147">
        <f>IF(DG$9&gt;0,THIN!$F$36*EXP(-THIN!$F$14*DG$9),0)</f>
        <v>0</v>
      </c>
      <c r="DH10" s="147">
        <f>IF(DH$9&gt;0,THIN!$F$36*EXP(-THIN!$F$14*DH$9),0)</f>
        <v>0</v>
      </c>
      <c r="DI10" s="147">
        <f>IF(DI$9&gt;0,THIN!$F$36*EXP(-THIN!$F$14*DI$9),0)</f>
        <v>0</v>
      </c>
      <c r="DJ10" s="147">
        <f>IF(DJ$9&gt;0,THIN!$F$36*EXP(-THIN!$F$14*DJ$9),0)</f>
        <v>0</v>
      </c>
      <c r="DK10" s="147">
        <f>IF(DK$9&gt;0,THIN!$F$36*EXP(-THIN!$F$14*DK$9),0)</f>
        <v>0</v>
      </c>
      <c r="DL10" s="147">
        <f>IF(DL$9&gt;0,THIN!$F$36*EXP(-THIN!$F$14*DL$9),0)</f>
        <v>0</v>
      </c>
      <c r="DM10" s="147">
        <f>IF(DM$9&gt;0,THIN!$F$36*EXP(-THIN!$F$14*DM$9),0)</f>
        <v>0</v>
      </c>
      <c r="DN10" s="147">
        <f>IF(DN$9&gt;0,THIN!$F$36*EXP(-THIN!$F$14*DN$9),0)</f>
        <v>0</v>
      </c>
      <c r="DO10" s="147">
        <f>IF(DO$9&gt;0,THIN!$F$36*EXP(-THIN!$F$14*DO$9),0)</f>
        <v>0</v>
      </c>
      <c r="DP10" s="147">
        <f>IF(DP$9&gt;0,THIN!$F$36*EXP(-THIN!$F$14*DP$9),0)</f>
        <v>0</v>
      </c>
      <c r="DQ10" s="147">
        <f>IF(DQ$9&gt;0,THIN!$F$36*EXP(-THIN!$F$14*DQ$9),0)</f>
        <v>0</v>
      </c>
      <c r="DR10" s="147">
        <f>IF(DR$9&gt;0,THIN!$F$36*EXP(-THIN!$F$14*DR$9),0)</f>
        <v>0</v>
      </c>
      <c r="DS10" s="147">
        <f>IF(DS$9&gt;0,THIN!$F$36*EXP(-THIN!$F$14*DS$9),0)</f>
        <v>0</v>
      </c>
      <c r="DT10" s="147">
        <f>IF(DT$9&gt;0,THIN!$F$36*EXP(-THIN!$F$14*DT$9),0)</f>
        <v>0</v>
      </c>
      <c r="DU10" s="147">
        <f>IF(DU$9&gt;0,THIN!$F$36*EXP(-THIN!$F$14*DU$9),0)</f>
        <v>0</v>
      </c>
      <c r="DV10" s="147">
        <f>IF(DV$9&gt;0,THIN!$F$36*EXP(-THIN!$F$14*DV$9),0)</f>
        <v>0</v>
      </c>
      <c r="DW10" s="147">
        <f>IF(DW$9&gt;0,THIN!$F$36*EXP(-THIN!$F$14*DW$9),0)</f>
        <v>0</v>
      </c>
      <c r="DX10" s="147">
        <f>IF(DX$9&gt;0,THIN!$F$36*EXP(-THIN!$F$14*DX$9),0)</f>
        <v>0</v>
      </c>
      <c r="DY10" s="147">
        <f>IF(DY$9&gt;0,THIN!$F$36*EXP(-THIN!$F$14*DY$9),0)</f>
        <v>0</v>
      </c>
      <c r="DZ10" s="147">
        <f>IF(DZ$9&gt;0,THIN!$F$36*EXP(-THIN!$F$14*DZ$9),0)</f>
        <v>0</v>
      </c>
      <c r="EA10" s="147">
        <f>IF(EA$9&gt;0,THIN!$F$36*EXP(-THIN!$F$14*EA$9),0)</f>
        <v>0</v>
      </c>
      <c r="EB10" s="147">
        <f>IF(EB$9&gt;0,THIN!$F$36*EXP(-THIN!$F$14*EB$9),0)</f>
        <v>0</v>
      </c>
      <c r="EC10" s="147">
        <f>IF(EC$9&gt;0,THIN!$F$36*EXP(-THIN!$F$14*EC$9),0)</f>
        <v>0</v>
      </c>
      <c r="ED10" s="147">
        <f>IF(ED$9&gt;0,THIN!$F$36*EXP(-THIN!$F$14*ED$9),0)</f>
        <v>0</v>
      </c>
      <c r="EE10" s="147">
        <f>IF(EE$9&gt;0,THIN!$F$36*EXP(-THIN!$F$14*EE$9),0)</f>
        <v>0</v>
      </c>
      <c r="EF10" s="147">
        <f>IF(EF$9&gt;0,THIN!$F$36*EXP(-THIN!$F$14*EF$9),0)</f>
        <v>0</v>
      </c>
      <c r="EG10" s="147">
        <f>IF(EG$9&gt;0,THIN!$F$36*EXP(-THIN!$F$14*EG$9),0)</f>
        <v>0</v>
      </c>
      <c r="EH10" s="147">
        <f>IF(EH$9&gt;0,THIN!$F$36*EXP(-THIN!$F$14*EH$9),0)</f>
        <v>0</v>
      </c>
      <c r="EI10" s="147">
        <f>IF(EI$9&gt;0,THIN!$F$36*EXP(-THIN!$F$14*EI$9),0)</f>
        <v>0</v>
      </c>
      <c r="EJ10" s="147">
        <f>IF(EJ$9&gt;0,THIN!$F$36*EXP(-THIN!$F$14*EJ$9),0)</f>
        <v>0</v>
      </c>
      <c r="EK10" s="147">
        <f>IF(EK$9&gt;0,THIN!$F$36*EXP(-THIN!$F$14*EK$9),0)</f>
        <v>0</v>
      </c>
      <c r="EL10" s="147">
        <f>IF(EL$9&gt;0,THIN!$F$36*EXP(-THIN!$F$14*EL$9),0)</f>
        <v>0</v>
      </c>
      <c r="EM10" s="147">
        <f>IF(EM$9&gt;0,THIN!$F$36*EXP(-THIN!$F$14*EM$9),0)</f>
        <v>0</v>
      </c>
      <c r="EN10" s="147">
        <f>IF(EN$9&gt;0,THIN!$F$36*EXP(-THIN!$F$14*EN$9),0)</f>
        <v>0</v>
      </c>
      <c r="EO10" s="147">
        <f>IF(EO$9&gt;0,THIN!$F$36*EXP(-THIN!$F$14*EO$9),0)</f>
        <v>0</v>
      </c>
      <c r="EP10" s="147">
        <f>IF(EP$9&gt;0,THIN!$F$36*EXP(-THIN!$F$14*EP$9),0)</f>
        <v>0</v>
      </c>
      <c r="EQ10" s="147">
        <f>IF(EQ$9&gt;0,THIN!$F$36*EXP(-THIN!$F$14*EQ$9),0)</f>
        <v>0</v>
      </c>
      <c r="ER10" s="147">
        <f>IF(ER$9&gt;0,THIN!$F$36*EXP(-THIN!$F$14*ER$9),0)</f>
        <v>0</v>
      </c>
      <c r="ES10" s="147">
        <f>IF(ES$9&gt;0,THIN!$F$36*EXP(-THIN!$F$14*ES$9),0)</f>
        <v>0</v>
      </c>
      <c r="ET10" s="147">
        <f>IF(ET$9&gt;0,THIN!$F$36*EXP(-THIN!$F$14*ET$9),0)</f>
        <v>0</v>
      </c>
      <c r="EU10" s="147">
        <f>IF(EU$9&gt;0,THIN!$F$36*EXP(-THIN!$F$14*EU$9),0)</f>
        <v>0</v>
      </c>
      <c r="EV10" s="147">
        <f>IF(EV$9&gt;0,THIN!$F$36*EXP(-THIN!$F$14*EV$9),0)</f>
        <v>0</v>
      </c>
      <c r="EW10" s="147">
        <f>IF(EW$9&gt;0,THIN!$F$36*EXP(-THIN!$F$14*EW$9),0)</f>
        <v>0</v>
      </c>
      <c r="EX10" s="147">
        <f>IF(EX$9&gt;0,THIN!$F$36*EXP(-THIN!$F$14*EX$9),0)</f>
        <v>0</v>
      </c>
      <c r="EY10" s="147">
        <f>IF(EY$9&gt;0,THIN!$F$36*EXP(-THIN!$F$14*EY$9),0)</f>
        <v>0</v>
      </c>
      <c r="EZ10" s="147">
        <f>IF(EZ$9&gt;0,THIN!$F$36*EXP(-THIN!$F$14*EZ$9),0)</f>
        <v>0</v>
      </c>
      <c r="FA10" s="147">
        <f>IF(FA$9&gt;0,THIN!$F$36*EXP(-THIN!$F$14*FA$9),0)</f>
        <v>0</v>
      </c>
      <c r="FB10" s="147">
        <f>IF(FB$9&gt;0,THIN!$F$36*EXP(-THIN!$F$14*FB$9),0)</f>
        <v>0</v>
      </c>
      <c r="FC10" s="147">
        <f>IF(FC$9&gt;0,THIN!$F$36*EXP(-THIN!$F$14*FC$9),0)</f>
        <v>0</v>
      </c>
      <c r="FD10" s="147">
        <f>IF(FD$9&gt;0,THIN!$F$36*EXP(-THIN!$F$14*FD$9),0)</f>
        <v>0</v>
      </c>
      <c r="FE10" s="147">
        <f>IF(FE$9&gt;0,THIN!$F$36*EXP(-THIN!$F$14*FE$9),0)</f>
        <v>0</v>
      </c>
      <c r="FF10" s="147">
        <f>IF(FF$9&gt;0,THIN!$F$36*EXP(-THIN!$F$14*FF$9),0)</f>
        <v>0</v>
      </c>
      <c r="FG10" s="147">
        <f>IF(FG$9&gt;0,THIN!$F$36*EXP(-THIN!$F$14*FG$9),0)</f>
        <v>0</v>
      </c>
      <c r="FH10" s="147">
        <f>IF(FH$9&gt;0,THIN!$F$36*EXP(-THIN!$F$14*FH$9),0)</f>
        <v>0</v>
      </c>
      <c r="FI10" s="147">
        <f>IF(FI$9&gt;0,THIN!$F$36*EXP(-THIN!$F$14*FI$9),0)</f>
        <v>0</v>
      </c>
      <c r="FJ10" s="147">
        <f>IF(FJ$9&gt;0,THIN!$F$36*EXP(-THIN!$F$14*FJ$9),0)</f>
        <v>0</v>
      </c>
      <c r="FK10" s="147">
        <f>IF(FK$9&gt;0,THIN!$F$36*EXP(-THIN!$F$14*FK$9),0)</f>
        <v>0</v>
      </c>
      <c r="FL10" s="147">
        <f>IF(FL$9&gt;0,THIN!$F$36*EXP(-THIN!$F$14*FL$9),0)</f>
        <v>0</v>
      </c>
      <c r="FM10" s="147">
        <f>IF(FM$9&gt;0,THIN!$F$36*EXP(-THIN!$F$14*FM$9),0)</f>
        <v>0</v>
      </c>
      <c r="FN10" s="147">
        <f>IF(FN$9&gt;0,THIN!$F$36*EXP(-THIN!$F$14*FN$9),0)</f>
        <v>0</v>
      </c>
      <c r="FO10" s="147">
        <f>IF(FO$9&gt;0,THIN!$F$36*EXP(-THIN!$F$14*FO$9),0)</f>
        <v>0</v>
      </c>
      <c r="FP10" s="147">
        <f>IF(FP$9&gt;0,THIN!$F$36*EXP(-THIN!$F$14*FP$9),0)</f>
        <v>0</v>
      </c>
      <c r="FQ10" s="147">
        <f>IF(FQ$9&gt;0,THIN!$F$36*EXP(-THIN!$F$14*FQ$9),0)</f>
        <v>0</v>
      </c>
      <c r="FR10" s="147">
        <f>IF(FR$9&gt;0,THIN!$F$36*EXP(-THIN!$F$14*FR$9),0)</f>
        <v>0</v>
      </c>
      <c r="FS10" s="147">
        <f>IF(FS$9&gt;0,THIN!$F$36*EXP(-THIN!$F$14*FS$9),0)</f>
        <v>0</v>
      </c>
      <c r="FT10" s="147">
        <f>IF(FT$9&gt;0,THIN!$F$36*EXP(-THIN!$F$14*FT$9),0)</f>
        <v>0</v>
      </c>
      <c r="FU10" s="147">
        <f>IF(FU$9&gt;0,THIN!$F$36*EXP(-THIN!$F$14*FU$9),0)</f>
        <v>0</v>
      </c>
      <c r="FV10" s="147">
        <f>IF(FV$9&gt;0,THIN!$F$36*EXP(-THIN!$F$14*FV$9),0)</f>
        <v>0</v>
      </c>
      <c r="FW10" s="147">
        <f>IF(FW$9&gt;0,THIN!$F$36*EXP(-THIN!$F$14*FW$9),0)</f>
        <v>0</v>
      </c>
      <c r="FX10" s="147">
        <f>IF(FX$9&gt;0,THIN!$F$36*EXP(-THIN!$F$14*FX$9),0)</f>
        <v>0</v>
      </c>
      <c r="FY10" s="147">
        <f>IF(FY$9&gt;0,THIN!$F$36*EXP(-THIN!$F$14*FY$9),0)</f>
        <v>0</v>
      </c>
      <c r="FZ10" s="147">
        <f>IF(FZ$9&gt;0,THIN!$F$36*EXP(-THIN!$F$14*FZ$9),0)</f>
        <v>0</v>
      </c>
      <c r="GA10" s="147">
        <f>IF(GA$9&gt;0,THIN!$F$36*EXP(-THIN!$F$14*GA$9),0)</f>
        <v>0</v>
      </c>
      <c r="GB10" s="147">
        <f>IF(GB$9&gt;0,THIN!$F$36*EXP(-THIN!$F$14*GB$9),0)</f>
        <v>0</v>
      </c>
      <c r="GC10" s="279">
        <f>IF(GC$9&gt;0,THIN!$F$36*EXP(-THIN!$F$14*GC$9),0)</f>
        <v>0.34094640252590885</v>
      </c>
      <c r="GD10" s="147">
        <f>IF(GD$9&gt;0,THIN!$F$36*EXP(-THIN!$F$14*GD$9),0)</f>
        <v>0.33803246942376741</v>
      </c>
      <c r="GE10" s="147">
        <f>IF(GE$9&gt;0,THIN!$F$36*EXP(-THIN!$F$14*GE$9),0)</f>
        <v>0.33514344054721928</v>
      </c>
      <c r="GF10" s="147">
        <f>IF(GF$9&gt;0,THIN!$F$36*EXP(-THIN!$F$14*GF$9),0)</f>
        <v>0.33227910304976782</v>
      </c>
      <c r="GG10" s="147">
        <f>IF(GG$9&gt;0,THIN!$F$36*EXP(-THIN!$F$14*GG$9),0)</f>
        <v>0.32943924590403068</v>
      </c>
      <c r="GH10" s="147">
        <f>IF(GH$9&gt;0,THIN!$F$36*EXP(-THIN!$F$14*GH$9),0)</f>
        <v>0.32662365988619219</v>
      </c>
      <c r="GI10" s="147">
        <f>IF(GI$9&gt;0,THIN!$F$36*EXP(-THIN!$F$14*GI$9),0)</f>
        <v>0.32383213756058948</v>
      </c>
      <c r="GJ10" s="147">
        <f>IF(GJ$9&gt;0,THIN!$F$36*EXP(-THIN!$F$14*GJ$9),0)</f>
        <v>0.32106447326442988</v>
      </c>
      <c r="GK10" s="147">
        <f>IF(GK$9&gt;0,THIN!$F$36*EXP(-THIN!$F$14*GK$9),0)</f>
        <v>0.31832046309263828</v>
      </c>
      <c r="GL10" s="147">
        <f>IF(GL$9&gt;0,THIN!$F$36*EXP(-THIN!$F$14*GL$9),0)</f>
        <v>0.31559990488283535</v>
      </c>
      <c r="GM10" s="147">
        <f>IF(GM$9&gt;0,THIN!$F$36*EXP(-THIN!$F$14*GM$9),0)</f>
        <v>0.31290259820044292</v>
      </c>
      <c r="GN10" s="147">
        <f>IF(GN$9&gt;0,THIN!$F$36*EXP(-THIN!$F$14*GN$9),0)</f>
        <v>0.31022834432391738</v>
      </c>
      <c r="GO10" s="147">
        <f>IF(GO$9&gt;0,THIN!$F$36*EXP(-THIN!$F$14*GO$9),0)</f>
        <v>0.30757694623010906</v>
      </c>
      <c r="GP10" s="147">
        <f>IF(GP$9&gt;0,THIN!$F$36*EXP(-THIN!$F$14*GP$9),0)</f>
        <v>0.30494820857974647</v>
      </c>
      <c r="GQ10" s="147">
        <f>IF(GQ$9&gt;0,THIN!$F$36*EXP(-THIN!$F$14*GQ$9),0)</f>
        <v>0.30234193770304546</v>
      </c>
      <c r="GR10" s="147">
        <f>IF(GR$9&gt;0,THIN!$F$36*EXP(-THIN!$F$14*GR$9),0)</f>
        <v>0.29975794158544006</v>
      </c>
      <c r="GS10" s="147">
        <f>IF(GS$9&gt;0,THIN!$F$36*EXP(-THIN!$F$14*GS$9),0)</f>
        <v>0.29719602985343618</v>
      </c>
      <c r="GT10" s="147">
        <f>IF(GT$9&gt;0,THIN!$F$36*EXP(-THIN!$F$14*GT$9),0)</f>
        <v>0.29465601376058675</v>
      </c>
      <c r="GU10" s="147">
        <f>IF(GU$9&gt;0,THIN!$F$36*EXP(-THIN!$F$14*GU$9),0)</f>
        <v>0.29213770617358475</v>
      </c>
      <c r="GV10" s="147">
        <f>IF(GV$9&gt;0,THIN!$F$36*EXP(-THIN!$F$14*GV$9),0)</f>
        <v>0.28964092155847732</v>
      </c>
      <c r="GW10" s="147">
        <f>IF(GW$9&gt;0,THIN!$F$36*EXP(-THIN!$F$14*GW$9),0)</f>
        <v>0.28716547596699654</v>
      </c>
      <c r="GX10" s="147">
        <f>IF(GX$9&gt;0,THIN!$F$36*EXP(-THIN!$F$14*GX$9),0)</f>
        <v>0.28471118702300674</v>
      </c>
      <c r="GY10" s="147">
        <f>IF(GY$9&gt;0,THIN!$F$36*EXP(-THIN!$F$14*GY$9),0)</f>
        <v>0.28227787390906856</v>
      </c>
      <c r="GZ10" s="147">
        <f>IF(GZ$9&gt;0,THIN!$F$36*EXP(-THIN!$F$14*GZ$9),0)</f>
        <v>0.27986535735311735</v>
      </c>
      <c r="HA10" s="147">
        <f>IF(HA$9&gt;0,THIN!$F$36*EXP(-THIN!$F$14*HA$9),0)</f>
        <v>0.27747345961525538</v>
      </c>
      <c r="HB10" s="147">
        <f>IF(HB$9&gt;0,THIN!$F$36*EXP(-THIN!$F$14*HB$9),0)</f>
        <v>0.27510200447465694</v>
      </c>
      <c r="HC10" s="147">
        <f>IF(HC$9&gt;0,THIN!$F$36*EXP(-THIN!$F$14*HC$9),0)</f>
        <v>0.27275081721658562</v>
      </c>
      <c r="HD10" s="147">
        <f>IF(HD$9&gt;0,THIN!$F$36*EXP(-THIN!$F$14*HD$9),0)</f>
        <v>0.27041972461952224</v>
      </c>
      <c r="HE10" s="147">
        <f>IF(HE$9&gt;0,THIN!$F$36*EXP(-THIN!$F$14*HE$9),0)</f>
        <v>0.26810855494240282</v>
      </c>
      <c r="HF10" s="147">
        <f>IF(HF$9&gt;0,THIN!$F$36*EXP(-THIN!$F$14*HF$9),0)</f>
        <v>0.26581713791196615</v>
      </c>
      <c r="HG10" s="147">
        <f>IF(HG$9&gt;0,THIN!$F$36*EXP(-THIN!$F$14*HG$9),0)</f>
        <v>0.26354530471020859</v>
      </c>
      <c r="HH10" s="147">
        <f>IF(HH$9&gt;0,THIN!$F$36*EXP(-THIN!$F$14*HH$9),0)</f>
        <v>0.2612928879619465</v>
      </c>
      <c r="HI10" s="147">
        <f>IF(HI$9&gt;0,THIN!$F$36*EXP(-THIN!$F$14*HI$9),0)</f>
        <v>0.25905972172248576</v>
      </c>
      <c r="HJ10" s="147">
        <f>IF(HJ$9&gt;0,THIN!$F$36*EXP(-THIN!$F$14*HJ$9),0)</f>
        <v>0.25684564146539507</v>
      </c>
      <c r="HK10" s="147">
        <f>IF(HK$9&gt;0,THIN!$F$36*EXP(-THIN!$F$14*HK$9),0)</f>
        <v>0.2546504840703851</v>
      </c>
      <c r="HL10" s="147">
        <f>IF(HL$9&gt;0,THIN!$F$36*EXP(-THIN!$F$14*HL$9),0)</f>
        <v>0.25247408781129083</v>
      </c>
      <c r="HM10" s="147">
        <f>IF(HM$9&gt;0,THIN!$F$36*EXP(-THIN!$F$14*HM$9),0)</f>
        <v>0.25031629234415614</v>
      </c>
      <c r="HN10" s="147">
        <f>IF(HN$9&gt;0,THIN!$F$36*EXP(-THIN!$F$14*HN$9),0)</f>
        <v>0.24817693869542085</v>
      </c>
      <c r="HO10" s="147">
        <f>IF(HO$9&gt;0,THIN!$F$36*EXP(-THIN!$F$14*HO$9),0)</f>
        <v>0.24605586925020867</v>
      </c>
      <c r="HP10" s="147">
        <f>IF(HP$9&gt;0,THIN!$F$36*EXP(-THIN!$F$14*HP$9),0)</f>
        <v>0.2439529277407147</v>
      </c>
      <c r="HQ10" s="147">
        <f>IF(HQ$9&gt;0,THIN!$F$36*EXP(-THIN!$F$14*HQ$9),0)</f>
        <v>0.24186795923469273</v>
      </c>
      <c r="HR10" s="147">
        <f>IF(HR$9&gt;0,THIN!$F$36*EXP(-THIN!$F$14*HR$9),0)</f>
        <v>0.23980081012404092</v>
      </c>
      <c r="HS10" s="147">
        <f>IF(HS$9&gt;0,THIN!$F$36*EXP(-THIN!$F$14*HS$9),0)</f>
        <v>0.23775132811348448</v>
      </c>
      <c r="HT10" s="147">
        <f>IF(HT$9&gt;0,THIN!$F$36*EXP(-THIN!$F$14*HT$9),0)</f>
        <v>0.23571936220935577</v>
      </c>
      <c r="HU10" s="147">
        <f>IF(HU$9&gt;0,THIN!$F$36*EXP(-THIN!$F$14*HU$9),0)</f>
        <v>0.23370476270846996</v>
      </c>
      <c r="HV10" s="147">
        <f>IF(HV$9&gt;0,THIN!$F$36*EXP(-THIN!$F$14*HV$9),0)</f>
        <v>0.23170738118709555</v>
      </c>
      <c r="HW10" s="147">
        <f>IF(HW$9&gt;0,THIN!$F$36*EXP(-THIN!$F$14*HW$9),0)</f>
        <v>0.22972707049001964</v>
      </c>
      <c r="HX10" s="147">
        <f>IF(HX$9&gt;0,THIN!$F$36*EXP(-THIN!$F$14*HX$9),0)</f>
        <v>0.22776368471970646</v>
      </c>
      <c r="HY10" s="147">
        <f>IF(HY$9&gt;0,THIN!$F$36*EXP(-THIN!$F$14*HY$9),0)</f>
        <v>0.22581707922554811</v>
      </c>
      <c r="HZ10" s="147">
        <f>IF(HZ$9&gt;0,THIN!$F$36*EXP(-THIN!$F$14*HZ$9),0)</f>
        <v>0.22388711059320787</v>
      </c>
      <c r="IA10" s="147">
        <f>IF(IA$9&gt;0,THIN!$F$36*EXP(-THIN!$F$14*IA$9),0)</f>
        <v>0.22197363663405448</v>
      </c>
      <c r="IB10" s="147">
        <f>IF(IB$9&gt;0,THIN!$F$36*EXP(-THIN!$F$14*IB$9),0)</f>
        <v>0.22007651637468606</v>
      </c>
      <c r="IC10" s="147">
        <f>IF(IC$9&gt;0,THIN!$F$36*EXP(-THIN!$F$14*IC$9),0)</f>
        <v>0.21819561004654417</v>
      </c>
      <c r="ID10" s="147">
        <f>IF(ID$9&gt;0,THIN!$F$36*EXP(-THIN!$F$14*ID$9),0)</f>
        <v>0.21633077907561682</v>
      </c>
      <c r="IE10" s="147">
        <f>IF(IE$9&gt;0,THIN!$F$36*EXP(-THIN!$F$14*IE$9),0)</f>
        <v>0.21448188607222876</v>
      </c>
      <c r="IF10" s="147">
        <f>IF(IF$9&gt;0,THIN!$F$36*EXP(-THIN!$F$14*IF$9),0)</f>
        <v>0.21264879482091947</v>
      </c>
      <c r="IG10" s="147">
        <f>IF(IG$9&gt;0,THIN!$F$36*EXP(-THIN!$F$14*IG$9),0)</f>
        <v>0.21083137027040796</v>
      </c>
      <c r="IH10" s="147">
        <f>IF(IH$9&gt;0,THIN!$F$36*EXP(-THIN!$F$14*IH$9),0)</f>
        <v>0.20902947852364259</v>
      </c>
      <c r="II10" s="147">
        <f>IF(II$9&gt;0,THIN!$F$36*EXP(-THIN!$F$14*II$9),0)</f>
        <v>0.2072429868279364</v>
      </c>
      <c r="IJ10" s="147">
        <f>IF(IJ$9&gt;0,THIN!$F$36*EXP(-THIN!$F$14*IJ$9),0)</f>
        <v>0.20547176356518707</v>
      </c>
      <c r="IK10" s="147">
        <f>IF(IK$9&gt;0,THIN!$F$36*EXP(-THIN!$F$14*IK$9),0)</f>
        <v>0.20371567824217954</v>
      </c>
      <c r="IL10" s="147">
        <f>IF(IL$9&gt;0,THIN!$F$36*EXP(-THIN!$F$14*IL$9),0)</f>
        <v>0.20197460148097215</v>
      </c>
      <c r="IM10" s="147">
        <f>IF(IM$9&gt;0,THIN!$F$36*EXP(-THIN!$F$14*IM$9),0)</f>
        <v>0.20024840500936547</v>
      </c>
      <c r="IN10" s="147">
        <f>IF(IN$9&gt;0,THIN!$F$36*EXP(-THIN!$F$14*IN$9),0)</f>
        <v>0.19853696165145091</v>
      </c>
      <c r="IO10" s="147">
        <f>IF(IO$9&gt;0,THIN!$F$36*EXP(-THIN!$F$14*IO$9),0)</f>
        <v>0.19684014531824207</v>
      </c>
      <c r="IP10" s="147">
        <f>IF(IP$9&gt;0,THIN!$F$36*EXP(-THIN!$F$14*IP$9),0)</f>
        <v>0.19515783099838477</v>
      </c>
      <c r="IQ10" s="147">
        <f>IF(IQ$9&gt;0,THIN!$F$36*EXP(-THIN!$F$14*IQ$9),0)</f>
        <v>0.19348989474894718</v>
      </c>
      <c r="IR10" s="147">
        <f>IF(IR$9&gt;0,THIN!$F$36*EXP(-THIN!$F$14*IR$9),0)</f>
        <v>0.19183621368628803</v>
      </c>
      <c r="IS10" s="147">
        <f>IF(IS$9&gt;0,THIN!$F$36*EXP(-THIN!$F$14*IS$9),0)</f>
        <v>0.19019666597700413</v>
      </c>
      <c r="IT10" s="147">
        <f>IF(IT$9&gt;0,THIN!$F$36*EXP(-THIN!$F$14*IT$9),0)</f>
        <v>0.18857113082895333</v>
      </c>
      <c r="IU10" s="147">
        <f>IF(IU$9&gt;0,THIN!$F$36*EXP(-THIN!$F$14*IU$9),0)</f>
        <v>0.18695948848235608</v>
      </c>
      <c r="IV10" s="147">
        <f>IF(IV$9&gt;0,THIN!$F$36*EXP(-THIN!$F$14*IV$9),0)</f>
        <v>0.18536162020097194</v>
      </c>
      <c r="IW10" s="147">
        <f>IF(IW$9&gt;0,THIN!$F$36*EXP(-THIN!$F$14*IW$9),0)</f>
        <v>0.18377740826335184</v>
      </c>
      <c r="IX10" s="147">
        <f>IF(IX$9&gt;0,THIN!$F$36*EXP(-THIN!$F$14*IX$9),0)</f>
        <v>0.18220673595416484</v>
      </c>
      <c r="IY10" s="147">
        <f>IF(IY$9&gt;0,THIN!$F$36*EXP(-THIN!$F$14*IY$9),0)</f>
        <v>0.18064948755559979</v>
      </c>
      <c r="IZ10" s="147">
        <f>IF(IZ$9&gt;0,THIN!$F$36*EXP(-THIN!$F$14*IZ$9),0)</f>
        <v>0.17910554833883935</v>
      </c>
      <c r="JA10" s="147">
        <f>IF(JA$9&gt;0,THIN!$F$36*EXP(-THIN!$F$14*JA$9),0)</f>
        <v>0.17757480455560762</v>
      </c>
      <c r="JB10" s="147">
        <f>IF(JB$9&gt;0,THIN!$F$36*EXP(-THIN!$F$14*JB$9),0)</f>
        <v>0.17605714342979012</v>
      </c>
      <c r="JC10" s="147">
        <f>IF(JC$9&gt;0,THIN!$F$36*EXP(-THIN!$F$14*JC$9),0)</f>
        <v>0.17455245314912488</v>
      </c>
      <c r="JD10" s="147">
        <f>IF(JD$9&gt;0,THIN!$F$36*EXP(-THIN!$F$14*JD$9),0)</f>
        <v>0.17306062285696452</v>
      </c>
      <c r="JE10" s="147">
        <f>IF(JE$9&gt;0,THIN!$F$36*EXP(-THIN!$F$14*JE$9),0)</f>
        <v>0.17158154264410963</v>
      </c>
      <c r="JF10" s="147">
        <f>IF(JF$9&gt;0,THIN!$F$36*EXP(-THIN!$F$14*JF$9),0)</f>
        <v>0.17011510354071077</v>
      </c>
      <c r="JG10" s="147">
        <f>IF(JG$9&gt;0,THIN!$F$36*EXP(-THIN!$F$14*JG$9),0)</f>
        <v>0.16866119750824032</v>
      </c>
      <c r="JH10" s="147">
        <f>IF(JH$9&gt;0,THIN!$F$36*EXP(-THIN!$F$14*JH$9),0)</f>
        <v>0.16721971743153316</v>
      </c>
      <c r="JI10" s="147">
        <f>IF(JI$9&gt;0,THIN!$F$36*EXP(-THIN!$F$14*JI$9),0)</f>
        <v>0.16579055711089463</v>
      </c>
      <c r="JJ10" s="147">
        <f>IF(JJ$9&gt;0,THIN!$F$36*EXP(-THIN!$F$14*JJ$9),0)</f>
        <v>0.16437361125427652</v>
      </c>
      <c r="JK10" s="147">
        <f>IF(JK$9&gt;0,THIN!$F$36*EXP(-THIN!$F$14*JK$9),0)</f>
        <v>0.16296877546952013</v>
      </c>
      <c r="JL10" s="147">
        <f>IF(JL$9&gt;0,THIN!$F$36*EXP(-THIN!$F$14*JL$9),0)</f>
        <v>0.16157594625666458</v>
      </c>
      <c r="JM10" s="147">
        <f>IF(JM$9&gt;0,THIN!$F$36*EXP(-THIN!$F$14*JM$9),0)</f>
        <v>0.16019502100032207</v>
      </c>
      <c r="JN10" s="147">
        <f>IF(JN$9&gt;0,THIN!$F$36*EXP(-THIN!$F$14*JN$9),0)</f>
        <v>0.15882589796211782</v>
      </c>
      <c r="JO10" s="147">
        <f>IF(JO$9&gt;0,THIN!$F$36*EXP(-THIN!$F$14*JO$9),0)</f>
        <v>0.15746847627319421</v>
      </c>
      <c r="JP10" s="147">
        <f>IF(JP$9&gt;0,THIN!$F$36*EXP(-THIN!$F$14*JP$9),0)</f>
        <v>0.15612265592677954</v>
      </c>
      <c r="JQ10" s="147">
        <f>IF(JQ$9&gt;0,THIN!$F$36*EXP(-THIN!$F$14*JQ$9),0)</f>
        <v>0.15478833777082038</v>
      </c>
      <c r="JR10" s="147">
        <f>IF(JR$9&gt;0,THIN!$F$36*EXP(-THIN!$F$14*JR$9),0)</f>
        <v>0.15346542350067618</v>
      </c>
      <c r="JS10" s="147">
        <f>IF(JS$9&gt;0,THIN!$F$36*EXP(-THIN!$F$14*JS$9),0)</f>
        <v>0.15215381565187711</v>
      </c>
      <c r="JT10" s="147">
        <f>IF(JT$9&gt;0,THIN!$F$36*EXP(-THIN!$F$14*JT$9),0)</f>
        <v>0.15085341759294338</v>
      </c>
      <c r="JU10" s="147">
        <f>IF(JU$9&gt;0,THIN!$F$36*EXP(-THIN!$F$14*JU$9),0)</f>
        <v>0.14956413351826589</v>
      </c>
      <c r="JV10" s="147">
        <f>IF(JV$9&gt;0,THIN!$F$36*EXP(-THIN!$F$14*JV$9),0)</f>
        <v>0.14828586844104785</v>
      </c>
      <c r="JW10" s="147">
        <f>IF(JW$9&gt;0,THIN!$F$36*EXP(-THIN!$F$14*JW$9),0)</f>
        <v>0.14701852818630698</v>
      </c>
      <c r="JX10" s="147">
        <f>IF(JX$9&gt;0,THIN!$F$36*EXP(-THIN!$F$14*JX$9),0)</f>
        <v>0.14576201938393696</v>
      </c>
      <c r="JY10" s="147">
        <f>IF(JY$9&gt;0,THIN!$F$36*EXP(-THIN!$F$14*JY$9),0)</f>
        <v>0.14451624946182853</v>
      </c>
      <c r="JZ10" s="147">
        <f>IF(JZ$9&gt;0,THIN!$F$36*EXP(-THIN!$F$14*JZ$9),0)</f>
        <v>0.14328112663904952</v>
      </c>
      <c r="KA10" s="147">
        <f>IF(KA$9&gt;0,THIN!$F$36*EXP(-THIN!$F$14*KA$9),0)</f>
        <v>0.14205655991908267</v>
      </c>
      <c r="KB10" s="147">
        <f>IF(KB$9&gt;0,THIN!$F$36*EXP(-THIN!$F$14*KB$9),0)</f>
        <v>0.14084245908312176</v>
      </c>
      <c r="KC10" s="147">
        <f>IF(KC$9&gt;0,THIN!$F$36*EXP(-THIN!$F$14*KC$9),0)</f>
        <v>0.13963873468342489</v>
      </c>
      <c r="KD10" s="147">
        <f>IF(KD$9&gt;0,THIN!$F$36*EXP(-THIN!$F$14*KD$9),0)</f>
        <v>0.13844529803672423</v>
      </c>
      <c r="KE10" s="147">
        <f>IF(KE$9&gt;0,THIN!$F$36*EXP(-THIN!$F$14*KE$9),0)</f>
        <v>0.13726206121769249</v>
      </c>
      <c r="KF10" s="147">
        <f>IF(KF$9&gt;0,THIN!$F$36*EXP(-THIN!$F$14*KF$9),0)</f>
        <v>0.13608893705246536</v>
      </c>
      <c r="KG10" s="147">
        <f>IF(KG$9&gt;0,THIN!$F$36*EXP(-THIN!$F$14*KG$9),0)</f>
        <v>0.13492583911221862</v>
      </c>
      <c r="KH10" s="147">
        <f>IF(KH$9&gt;0,THIN!$F$36*EXP(-THIN!$F$14*KH$9),0)</f>
        <v>0.13377268170680079</v>
      </c>
      <c r="KI10" s="147">
        <f>IF(KI$9&gt;0,THIN!$F$36*EXP(-THIN!$F$14*KI$9),0)</f>
        <v>0.13262937987842013</v>
      </c>
      <c r="KJ10" s="147">
        <f>IF(KJ$9&gt;0,THIN!$F$36*EXP(-THIN!$F$14*KJ$9),0)</f>
        <v>0.13149584939538519</v>
      </c>
      <c r="KK10" s="147">
        <f>IF(KK$9&gt;0,THIN!$F$36*EXP(-THIN!$F$14*KK$9),0)</f>
        <v>0.13037200674589922</v>
      </c>
      <c r="KL10" s="147">
        <f>IF(KL$9&gt;0,THIN!$F$36*EXP(-THIN!$F$14*KL$9),0)</f>
        <v>0.12925776913190762</v>
      </c>
      <c r="KM10" s="147">
        <f>IF(KM$9&gt;0,THIN!$F$36*EXP(-THIN!$F$14*KM$9),0)</f>
        <v>0.12815305446299774</v>
      </c>
      <c r="KN10" s="147">
        <f>IF(KN$9&gt;0,THIN!$F$36*EXP(-THIN!$F$14*KN$9),0)</f>
        <v>0.12705778135035095</v>
      </c>
      <c r="KO10" s="147">
        <f>IF(KO$9&gt;0,THIN!$F$36*EXP(-THIN!$F$14*KO$9),0)</f>
        <v>0.12597186910074656</v>
      </c>
      <c r="KP10" s="147">
        <f>IF(KP$9&gt;0,THIN!$F$36*EXP(-THIN!$F$14*KP$9),0)</f>
        <v>0.12489523771061654</v>
      </c>
      <c r="KQ10" s="147">
        <f>IF(KQ$9&gt;0,THIN!$F$36*EXP(-THIN!$F$14*KQ$9),0)</f>
        <v>0.12382780786015159</v>
      </c>
      <c r="KR10" s="147">
        <f>IF(KR$9&gt;0,THIN!$F$36*EXP(-THIN!$F$14*KR$9),0)</f>
        <v>0.12276950090745718</v>
      </c>
      <c r="KS10" s="147">
        <f>IF(KS$9&gt;0,THIN!$F$36*EXP(-THIN!$F$14*KS$9),0)</f>
        <v>0.12172023888275982</v>
      </c>
      <c r="KT10" s="147">
        <f>IF(KT$9&gt;0,THIN!$F$36*EXP(-THIN!$F$14*KT$9),0)</f>
        <v>0.12067994448266242</v>
      </c>
      <c r="KU10" s="147">
        <f>IF(KU$9&gt;0,THIN!$F$36*EXP(-THIN!$F$14*KU$9),0)</f>
        <v>0.1196485410644495</v>
      </c>
      <c r="KV10" s="147">
        <f>IF(KV$9&gt;0,THIN!$F$36*EXP(-THIN!$F$14*KV$9),0)</f>
        <v>0.11862595264044015</v>
      </c>
      <c r="KW10" s="147">
        <f>IF(KW$9&gt;0,THIN!$F$36*EXP(-THIN!$F$14*KW$9),0)</f>
        <v>0.11761210387238991</v>
      </c>
      <c r="KX10" s="147">
        <f>IF(KX$9&gt;0,THIN!$F$36*EXP(-THIN!$F$14*KX$9),0)</f>
        <v>0.11660692006594041</v>
      </c>
      <c r="KY10" s="147">
        <f>IF(KY$9&gt;0,THIN!$F$36*EXP(-THIN!$F$14*KY$9),0)</f>
        <v>0.11561032716511611</v>
      </c>
      <c r="KZ10" s="147">
        <f>IF(KZ$9&gt;0,THIN!$F$36*EXP(-THIN!$F$14*KZ$9),0)</f>
        <v>0.11462225174686838</v>
      </c>
      <c r="LA10" s="147">
        <f>IF(LA$9&gt;0,THIN!$F$36*EXP(-THIN!$F$14*LA$9),0)</f>
        <v>0.11364262101566626</v>
      </c>
      <c r="LB10" s="147">
        <f>IF(LB$9&gt;0,THIN!$F$36*EXP(-THIN!$F$14*LB$9),0)</f>
        <v>0.11267136279813307</v>
      </c>
      <c r="LC10" s="147">
        <f>IF(LC$9&gt;0,THIN!$F$36*EXP(-THIN!$F$14*LC$9),0)</f>
        <v>0.11170840553772929</v>
      </c>
      <c r="LD10" s="147">
        <f>IF(LD$9&gt;0,THIN!$F$36*EXP(-THIN!$F$14*LD$9),0)</f>
        <v>0.11075367828948064</v>
      </c>
      <c r="LE10" s="147">
        <f>IF(LE$9&gt;0,THIN!$F$36*EXP(-THIN!$F$14*LE$9),0)</f>
        <v>0.1098071107147513</v>
      </c>
      <c r="LF10" s="147">
        <f>IF(LF$9&gt;0,THIN!$F$36*EXP(-THIN!$F$14*LF$9),0)</f>
        <v>0.10886863307606169</v>
      </c>
      <c r="LG10" s="147">
        <f>IF(LG$9&gt;0,THIN!$F$36*EXP(-THIN!$F$14*LG$9),0)</f>
        <v>0.10793817623195077</v>
      </c>
      <c r="LH10" s="147">
        <f>IF(LH$9&gt;0,THIN!$F$36*EXP(-THIN!$F$14*LH$9),0)</f>
        <v>0.10701567163188198</v>
      </c>
      <c r="LI10" s="147">
        <f>IF(LI$9&gt;0,THIN!$F$36*EXP(-THIN!$F$14*LI$9),0)</f>
        <v>0.10610105131119285</v>
      </c>
      <c r="LJ10" s="147">
        <f>IF(LJ$9&gt;0,THIN!$F$36*EXP(-THIN!$F$14*LJ$9),0)</f>
        <v>0.10519424788608794</v>
      </c>
      <c r="LK10" s="147">
        <f>IF(LK$9&gt;0,THIN!$F$36*EXP(-THIN!$F$14*LK$9),0)</f>
        <v>0.10429519454867414</v>
      </c>
      <c r="LL10" s="147">
        <f>IF(LL$9&gt;0,THIN!$F$36*EXP(-THIN!$F$14*LL$9),0)</f>
        <v>0.10340382506203884</v>
      </c>
      <c r="LM10" s="147">
        <f>IF(LM$9&gt;0,THIN!$F$36*EXP(-THIN!$F$14*LM$9),0)</f>
        <v>0.10252007375536999</v>
      </c>
      <c r="LN10" s="147">
        <f>IF(LN$9&gt;0,THIN!$F$36*EXP(-THIN!$F$14*LN$9),0)</f>
        <v>0.10164387551911772</v>
      </c>
      <c r="LO10" s="147">
        <f>IF(LO$9&gt;0,THIN!$F$36*EXP(-THIN!$F$14*LO$9),0)</f>
        <v>0.10077516580019756</v>
      </c>
      <c r="LP10" s="147">
        <f>IF(LP$9&gt;0,THIN!$F$36*EXP(-THIN!$F$14*LP$9),0)</f>
        <v>9.9913880597234717E-2</v>
      </c>
      <c r="LQ10" s="147">
        <f>IF(LQ$9&gt;0,THIN!$F$36*EXP(-THIN!$F$14*LQ$9),0)</f>
        <v>9.9059956455848391E-2</v>
      </c>
      <c r="LR10" s="147">
        <f>IF(LR$9&gt;0,THIN!$F$36*EXP(-THIN!$F$14*LR$9),0)</f>
        <v>9.8213330463977247E-2</v>
      </c>
      <c r="LS10" s="147">
        <f>IF(LS$9&gt;0,THIN!$F$36*EXP(-THIN!$F$14*LS$9),0)</f>
        <v>9.7373940247244314E-2</v>
      </c>
      <c r="LT10" s="147">
        <f>IF(LT$9&gt;0,THIN!$F$36*EXP(-THIN!$F$14*LT$9),0)</f>
        <v>9.6541723964361462E-2</v>
      </c>
      <c r="LU10" s="147">
        <f>IF(LU$9&gt;0,THIN!$F$36*EXP(-THIN!$F$14*LU$9),0)</f>
        <v>9.5716620302573482E-2</v>
      </c>
      <c r="LV10" s="147">
        <f>IF(LV$9&gt;0,THIN!$F$36*EXP(-THIN!$F$14*LV$9),0)</f>
        <v>9.4898568473140918E-2</v>
      </c>
      <c r="LW10" s="147">
        <f>IF(LW$9&gt;0,THIN!$F$36*EXP(-THIN!$F$14*LW$9),0)</f>
        <v>9.4087508206861376E-2</v>
      </c>
      <c r="LX10" s="147">
        <f>IF(LX$9&gt;0,THIN!$F$36*EXP(-THIN!$F$14*LX$9),0)</f>
        <v>9.3283379749629289E-2</v>
      </c>
      <c r="LY10" s="147">
        <f>IF(LY$9&gt;0,THIN!$F$36*EXP(-THIN!$F$14*LY$9),0)</f>
        <v>9.2486123858033759E-2</v>
      </c>
      <c r="LZ10" s="147">
        <f>IF(LZ$9&gt;0,THIN!$F$36*EXP(-THIN!$F$14*LZ$9),0)</f>
        <v>9.1695681794993669E-2</v>
      </c>
      <c r="MA10" s="147">
        <f>IF(MA$9&gt;0,THIN!$F$36*EXP(-THIN!$F$14*MA$9),0)</f>
        <v>9.0911995325430262E-2</v>
      </c>
      <c r="MB10" s="147">
        <f>IF(MB$9&gt;0,THIN!$F$36*EXP(-THIN!$F$14*MB$9),0)</f>
        <v>9.0135006711976967E-2</v>
      </c>
      <c r="MC10" s="147">
        <f>IF(MC$9&gt;0,THIN!$F$36*EXP(-THIN!$F$14*MC$9),0)</f>
        <v>8.9364658710725339E-2</v>
      </c>
      <c r="MD10" s="147">
        <f>IF(MD$9&gt;0,THIN!$F$36*EXP(-THIN!$F$14*MD$9),0)</f>
        <v>8.8600894567007815E-2</v>
      </c>
      <c r="ME10" s="147">
        <f>IF(ME$9&gt;0,THIN!$F$36*EXP(-THIN!$F$14*ME$9),0)</f>
        <v>8.7843658011216533E-2</v>
      </c>
      <c r="MF10" s="147">
        <f>IF(MF$9&gt;0,THIN!$F$36*EXP(-THIN!$F$14*MF$9),0)</f>
        <v>8.7092893254657397E-2</v>
      </c>
      <c r="MG10" s="147">
        <f>IF(MG$9&gt;0,THIN!$F$36*EXP(-THIN!$F$14*MG$9),0)</f>
        <v>8.6348544985440104E-2</v>
      </c>
      <c r="MH10" s="147">
        <f>IF(MH$9&gt;0,THIN!$F$36*EXP(-THIN!$F$14*MH$9),0)</f>
        <v>8.561055836440308E-2</v>
      </c>
      <c r="MI10" s="147">
        <f>IF(MI$9&gt;0,THIN!$F$36*EXP(-THIN!$F$14*MI$9),0)</f>
        <v>8.4878879021073175E-2</v>
      </c>
      <c r="MJ10" s="147">
        <f>IF(MJ$9&gt;0,THIN!$F$36*EXP(-THIN!$F$14*MJ$9),0)</f>
        <v>8.4153453049660057E-2</v>
      </c>
      <c r="MK10" s="147">
        <f>IF(MK$9&gt;0,THIN!$F$36*EXP(-THIN!$F$14*MK$9),0)</f>
        <v>8.3434227005084668E-2</v>
      </c>
      <c r="ML10" s="147">
        <f>IF(ML$9&gt;0,THIN!$F$36*EXP(-THIN!$F$14*ML$9),0)</f>
        <v>8.2721147899041836E-2</v>
      </c>
      <c r="MM10" s="147">
        <f>IF(MM$9&gt;0,THIN!$F$36*EXP(-THIN!$F$14*MM$9),0)</f>
        <v>8.2014163196096182E-2</v>
      </c>
      <c r="MN10" s="147">
        <f>IF(MN$9&gt;0,THIN!$F$36*EXP(-THIN!$F$14*MN$9),0)</f>
        <v>8.1313220809811945E-2</v>
      </c>
      <c r="MO10" s="147">
        <f>IF(MO$9&gt;0,THIN!$F$36*EXP(-THIN!$F$14*MO$9),0)</f>
        <v>8.0618269098915285E-2</v>
      </c>
      <c r="MP10" s="147">
        <f>IF(MP$9&gt;0,THIN!$F$36*EXP(-THIN!$F$14*MP$9),0)</f>
        <v>7.99292568634897E-2</v>
      </c>
      <c r="MQ10" s="147">
        <f>IF(MQ$9&gt;0,THIN!$F$36*EXP(-THIN!$F$14*MQ$9),0)</f>
        <v>7.9246133341204145E-2</v>
      </c>
      <c r="MR10" s="147">
        <f>IF(MR$9&gt;0,THIN!$F$36*EXP(-THIN!$F$14*MR$9),0)</f>
        <v>7.8568848203572864E-2</v>
      </c>
      <c r="MS10" s="147">
        <f>IF(MS$9&gt;0,THIN!$F$36*EXP(-THIN!$F$14*MS$9),0)</f>
        <v>7.7897351552247654E-2</v>
      </c>
      <c r="MT10" s="147">
        <f>IF(MT$9&gt;0,THIN!$F$36*EXP(-THIN!$F$14*MT$9),0)</f>
        <v>7.7231593915341679E-2</v>
      </c>
      <c r="MU10" s="147">
        <f>IF(MU$9&gt;0,THIN!$F$36*EXP(-THIN!$F$14*MU$9),0)</f>
        <v>7.6571526243784521E-2</v>
      </c>
      <c r="MV10" s="147">
        <f>IF(MV$9&gt;0,THIN!$F$36*EXP(-THIN!$F$14*MV$9),0)</f>
        <v>7.5917099907708716E-2</v>
      </c>
      <c r="MW10" s="147">
        <f>IF(MW$9&gt;0,THIN!$F$36*EXP(-THIN!$F$14*MW$9),0)</f>
        <v>7.5268266692866848E-2</v>
      </c>
      <c r="MX10" s="147">
        <f>IF(MX$9&gt;0,THIN!$F$36*EXP(-THIN!$F$14*MX$9),0)</f>
        <v>7.4624978797079508E-2</v>
      </c>
      <c r="MY10" s="147">
        <f>IF(MY$9&gt;0,THIN!$F$36*EXP(-THIN!$F$14*MY$9),0)</f>
        <v>7.3987188826713415E-2</v>
      </c>
      <c r="MZ10" s="147">
        <f>IF(MZ$9&gt;0,THIN!$F$36*EXP(-THIN!$F$14*MZ$9),0)</f>
        <v>7.3354849793189916E-2</v>
      </c>
      <c r="NA10" s="147">
        <f>IF(NA$9&gt;0,THIN!$F$36*EXP(-THIN!$F$14*NA$9),0)</f>
        <v>7.2727915109522895E-2</v>
      </c>
      <c r="NB10" s="147">
        <f>IF(NB$9&gt;0,THIN!$F$36*EXP(-THIN!$F$14*NB$9),0)</f>
        <v>7.2106338586886698E-2</v>
      </c>
      <c r="NC10" s="147">
        <f>IF(NC$9&gt;0,THIN!$F$36*EXP(-THIN!$F$14*NC$9),0)</f>
        <v>7.1490074431213191E-2</v>
      </c>
      <c r="ND10" s="147">
        <f>IF(ND$9&gt;0,THIN!$F$36*EXP(-THIN!$F$14*ND$9),0)</f>
        <v>7.0879077239817886E-2</v>
      </c>
      <c r="NE10" s="147">
        <f>IF(NE$9&gt;0,THIN!$F$36*EXP(-THIN!$F$14*NE$9),0)</f>
        <v>7.0273301998054885E-2</v>
      </c>
      <c r="NF10" s="147">
        <f>IF(NF$9&gt;0,THIN!$F$36*EXP(-THIN!$F$14*NF$9),0)</f>
        <v>6.9672704076000694E-2</v>
      </c>
      <c r="NG10" s="147">
        <f>IF(NG$9&gt;0,THIN!$F$36*EXP(-THIN!$F$14*NG$9),0)</f>
        <v>6.9077239225165843E-2</v>
      </c>
      <c r="NH10" s="147">
        <f>IF(NH$9&gt;0,THIN!$F$36*EXP(-THIN!$F$14*NH$9),0)</f>
        <v>6.848686357523516E-2</v>
      </c>
      <c r="NI10" s="147">
        <f>IF(NI$9&gt;0,THIN!$F$36*EXP(-THIN!$F$14*NI$9),0)</f>
        <v>6.7901533630835592E-2</v>
      </c>
      <c r="NJ10" s="147">
        <f>IF(NJ$9&gt;0,THIN!$F$36*EXP(-THIN!$F$14*NJ$9),0)</f>
        <v>6.7321206268331671E-2</v>
      </c>
      <c r="NK10" s="147">
        <f>IF(NK$9&gt;0,THIN!$F$36*EXP(-THIN!$F$14*NK$9),0)</f>
        <v>6.6745838732648444E-2</v>
      </c>
      <c r="NL10" s="147">
        <f>IF(NL$9&gt;0,THIN!$F$36*EXP(-THIN!$F$14*NL$9),0)</f>
        <v>6.6175388634121673E-2</v>
      </c>
      <c r="NM10" s="147">
        <f>IF(NM$9&gt;0,THIN!$F$36*EXP(-THIN!$F$14*NM$9),0)</f>
        <v>6.5609813945374545E-2</v>
      </c>
      <c r="NN10" s="147">
        <f>IF(NN$9&gt;0,THIN!$F$36*EXP(-THIN!$F$14*NN$9),0)</f>
        <v>6.5049072998221574E-2</v>
      </c>
      <c r="NO10" s="147">
        <f>IF(NO$9&gt;0,THIN!$F$36*EXP(-THIN!$F$14*NO$9),0)</f>
        <v>6.4493124480598699E-2</v>
      </c>
      <c r="NP10" s="147">
        <f>IF(NP$9&gt;0,THIN!$F$36*EXP(-THIN!$F$14*NP$9),0)</f>
        <v>6.3941927433519535E-2</v>
      </c>
      <c r="NQ10" s="147">
        <f>IF(NQ$9&gt;0,THIN!$F$36*EXP(-THIN!$F$14*NQ$9),0)</f>
        <v>6.3395441248057863E-2</v>
      </c>
      <c r="NR10" s="147">
        <f>IF(NR$9&gt;0,THIN!$F$36*EXP(-THIN!$F$14*NR$9),0)</f>
        <v>6.2853625662355805E-2</v>
      </c>
      <c r="NS10" s="147">
        <f>IF(NS$9&gt;0,THIN!$F$36*EXP(-THIN!$F$14*NS$9),0)</f>
        <v>6.2316440758657554E-2</v>
      </c>
      <c r="NT10" s="147">
        <f>IF(NT$9&gt;0,THIN!$F$36*EXP(-THIN!$F$14*NT$9),0)</f>
        <v>6.1783846960368406E-2</v>
      </c>
      <c r="NU10" s="147">
        <f>IF(NU$9&gt;0,THIN!$F$36*EXP(-THIN!$F$14*NU$9),0)</f>
        <v>6.1255805029139118E-2</v>
      </c>
      <c r="NV10" s="147">
        <f>IF(NV$9&gt;0,THIN!$F$36*EXP(-THIN!$F$14*NV$9),0)</f>
        <v>6.0732276061974955E-2</v>
      </c>
      <c r="NW10" s="147">
        <f>IF(NW$9&gt;0,THIN!$F$36*EXP(-THIN!$F$14*NW$9),0)</f>
        <v>6.021322148836953E-2</v>
      </c>
      <c r="NX10" s="147">
        <f>IF(NX$9&gt;0,THIN!$F$36*EXP(-THIN!$F$14*NX$9),0)</f>
        <v>5.9698603067463323E-2</v>
      </c>
      <c r="NY10" s="147">
        <f>IF(NY$9&gt;0,THIN!$F$36*EXP(-THIN!$F$14*NY$9),0)</f>
        <v>5.9188382885226119E-2</v>
      </c>
      <c r="NZ10" s="147">
        <f>IF(NZ$9&gt;0,THIN!$F$36*EXP(-THIN!$F$14*NZ$9),0)</f>
        <v>5.8682523351663893E-2</v>
      </c>
      <c r="OA10" s="147">
        <f>IF(OA$9&gt;0,THIN!$F$36*EXP(-THIN!$F$14*OA$9),0)</f>
        <v>5.8180987198049205E-2</v>
      </c>
      <c r="OB10" s="147">
        <f>IF(OB$9&gt;0,THIN!$F$36*EXP(-THIN!$F$14*OB$9),0)</f>
        <v>5.7683737474175711E-2</v>
      </c>
      <c r="OC10" s="147">
        <f>IF(OC$9&gt;0,THIN!$F$36*EXP(-THIN!$F$14*OC$9),0)</f>
        <v>5.7190737545635736E-2</v>
      </c>
      <c r="OD10" s="147">
        <f>IF(OD$9&gt;0,THIN!$F$36*EXP(-THIN!$F$14*OD$9),0)</f>
        <v>5.6701951091121222E-2</v>
      </c>
      <c r="OE10" s="147">
        <f>IF(OE$9&gt;0,THIN!$F$36*EXP(-THIN!$F$14*OE$9),0)</f>
        <v>5.6217342099747956E-2</v>
      </c>
      <c r="OF10" s="147">
        <f>IF(OF$9&gt;0,THIN!$F$36*EXP(-THIN!$F$14*OF$9),0)</f>
        <v>5.5736874868402363E-2</v>
      </c>
      <c r="OG10" s="147">
        <f>IF(OG$9&gt;0,THIN!$F$36*EXP(-THIN!$F$14*OG$9),0)</f>
        <v>5.5260513999111131E-2</v>
      </c>
      <c r="OH10" s="147">
        <f>IF(OH$9&gt;0,THIN!$F$36*EXP(-THIN!$F$14*OH$9),0)</f>
        <v>5.4788224396433396E-2</v>
      </c>
      <c r="OI10" s="147">
        <f>IF(OI$9&gt;0,THIN!$F$36*EXP(-THIN!$F$14*OI$9),0)</f>
        <v>5.431997126487504E-2</v>
      </c>
      <c r="OJ10" s="147">
        <f>IF(OJ$9&gt;0,THIN!$F$36*EXP(-THIN!$F$14*OJ$9),0)</f>
        <v>5.385572010632507E-2</v>
      </c>
      <c r="OK10" s="147">
        <f>IF(OK$9&gt;0,THIN!$F$36*EXP(-THIN!$F$14*OK$9),0)</f>
        <v>5.3395436717514219E-2</v>
      </c>
      <c r="OL10" s="147">
        <f>IF(OL$9&gt;0,THIN!$F$36*EXP(-THIN!$F$14*OL$9),0)</f>
        <v>5.2939087187494953E-2</v>
      </c>
      <c r="OM10" s="147">
        <f>IF(OM$9&gt;0,THIN!$F$36*EXP(-THIN!$F$14*OM$9),0)</f>
        <v>5.248663789514299E-2</v>
      </c>
      <c r="ON10" s="147">
        <f>IF(ON$9&gt;0,THIN!$F$36*EXP(-THIN!$F$14*ON$9),0)</f>
        <v>5.2038055506680468E-2</v>
      </c>
      <c r="OO10" s="147">
        <f>IF(OO$9&gt;0,THIN!$F$36*EXP(-THIN!$F$14*OO$9),0)</f>
        <v>5.1593306973220107E-2</v>
      </c>
      <c r="OP10" s="147">
        <f>IF(OP$9&gt;0,THIN!$F$36*EXP(-THIN!$F$14*OP$9),0)</f>
        <v>5.1152359528330166E-2</v>
      </c>
      <c r="OQ10" s="147">
        <f>IF(OQ$9&gt;0,THIN!$F$36*EXP(-THIN!$F$14*OQ$9),0)</f>
        <v>5.0715180685620649E-2</v>
      </c>
      <c r="OR10" s="147">
        <f>IF(OR$9&gt;0,THIN!$F$36*EXP(-THIN!$F$14*OR$9),0)</f>
        <v>5.0281738236349821E-2</v>
      </c>
      <c r="OS10" s="147">
        <f>IF(OS$9&gt;0,THIN!$F$36*EXP(-THIN!$F$14*OS$9),0)</f>
        <v>4.9852000247051109E-2</v>
      </c>
      <c r="OT10" s="147">
        <f>IF(OT$9&gt;0,THIN!$F$36*EXP(-THIN!$F$14*OT$9),0)</f>
        <v>4.9425935057180639E-2</v>
      </c>
      <c r="OU10" s="147">
        <f>IF(OU$9&gt;0,THIN!$F$36*EXP(-THIN!$F$14*OU$9),0)</f>
        <v>4.9003511276784657E-2</v>
      </c>
      <c r="OV10" s="147">
        <f>IF(OV$9&gt;0,THIN!$F$36*EXP(-THIN!$F$14*OV$9),0)</f>
        <v>4.8584697784186691E-2</v>
      </c>
      <c r="OW10" s="147">
        <f>IF(OW$9&gt;0,THIN!$F$36*EXP(-THIN!$F$14*OW$9),0)</f>
        <v>4.8169463723694947E-2</v>
      </c>
      <c r="OX10" s="147">
        <f>IF(OX$9&gt;0,THIN!$F$36*EXP(-THIN!$F$14*OX$9),0)</f>
        <v>4.7757778503328956E-2</v>
      </c>
      <c r="OY10" s="147">
        <f>IF(OY$9&gt;0,THIN!$F$36*EXP(-THIN!$F$14*OY$9),0)</f>
        <v>4.7349611792565617E-2</v>
      </c>
      <c r="OZ10" s="147">
        <f>IF(OZ$9&gt;0,THIN!$F$36*EXP(-THIN!$F$14*OZ$9),0)</f>
        <v>4.6944933520104822E-2</v>
      </c>
      <c r="PA10" s="147">
        <f>IF(PA$9&gt;0,THIN!$F$36*EXP(-THIN!$F$14*PA$9),0)</f>
        <v>4.6543713871653875E-2</v>
      </c>
      <c r="PB10" s="147">
        <f>IF(PB$9&gt;0,THIN!$F$36*EXP(-THIN!$F$14*PB$9),0)</f>
        <v>4.6145923287730914E-2</v>
      </c>
      <c r="PC10" s="147">
        <f>IF(PC$9&gt;0,THIN!$F$36*EXP(-THIN!$F$14*PC$9),0)</f>
        <v>4.5751532461487228E-2</v>
      </c>
      <c r="PD10" s="147">
        <f>IF(PD$9&gt;0,THIN!$F$36*EXP(-THIN!$F$14*PD$9),0)</f>
        <v>4.5360512336548101E-2</v>
      </c>
      <c r="PE10" s="147">
        <f>IF(PE$9&gt;0,THIN!$F$36*EXP(-THIN!$F$14*PE$9),0)</f>
        <v>4.4972834104872031E-2</v>
      </c>
      <c r="PF10" s="147">
        <f>IF(PF$9&gt;0,THIN!$F$36*EXP(-THIN!$F$14*PF$9),0)</f>
        <v>4.4588469204628368E-2</v>
      </c>
      <c r="PG10" s="147">
        <f>IF(PG$9&gt;0,THIN!$F$36*EXP(-THIN!$F$14*PG$9),0)</f>
        <v>4.42073893180931E-2</v>
      </c>
      <c r="PH10" s="147">
        <f>IF(PH$9&gt;0,THIN!$F$36*EXP(-THIN!$F$14*PH$9),0)</f>
        <v>4.3829566369562471E-2</v>
      </c>
      <c r="PI10" s="147">
        <f>IF(PI$9&gt;0,THIN!$F$36*EXP(-THIN!$F$14*PI$9),0)</f>
        <v>4.3454972523284605E-2</v>
      </c>
      <c r="PJ10" s="147">
        <f>IF(PJ$9&gt;0,THIN!$F$36*EXP(-THIN!$F$14*PJ$9),0)</f>
        <v>4.3083580181408773E-2</v>
      </c>
      <c r="PK10" s="147">
        <f>IF(PK$9&gt;0,THIN!$F$36*EXP(-THIN!$F$14*PK$9),0)</f>
        <v>4.271536198195193E-2</v>
      </c>
      <c r="PL10" s="147">
        <f>IF(PL$9&gt;0,THIN!$F$36*EXP(-THIN!$F$14*PL$9),0)</f>
        <v>4.2350290796783145E-2</v>
      </c>
      <c r="PM10" s="147">
        <f>IF(PM$9&gt;0,THIN!$F$36*EXP(-THIN!$F$14*PM$9),0)</f>
        <v>4.1988339729624784E-2</v>
      </c>
      <c r="PN10" s="147">
        <f>IF(PN$9&gt;0,THIN!$F$36*EXP(-THIN!$F$14*PN$9),0)</f>
        <v>4.1629482114070908E-2</v>
      </c>
      <c r="PO10" s="147">
        <f>IF(PO$9&gt;0,THIN!$F$36*EXP(-THIN!$F$14*PO$9),0)</f>
        <v>4.1273691511622822E-2</v>
      </c>
      <c r="PP10" s="147">
        <f>IF(PP$9&gt;0,THIN!$F$36*EXP(-THIN!$F$14*PP$9),0)</f>
        <v>4.0920941709741143E-2</v>
      </c>
      <c r="PQ10" s="147">
        <f>IF(PQ$9&gt;0,THIN!$F$36*EXP(-THIN!$F$14*PQ$9),0)</f>
        <v>4.0571206719914522E-2</v>
      </c>
      <c r="PR10" s="147">
        <f>IF(PR$9&gt;0,THIN!$F$36*EXP(-THIN!$F$14*PR$9),0)</f>
        <v>4.022446077574518E-2</v>
      </c>
      <c r="PS10" s="147">
        <f>IF(PS$9&gt;0,THIN!$F$36*EXP(-THIN!$F$14*PS$9),0)</f>
        <v>3.9880678331050454E-2</v>
      </c>
      <c r="PT10" s="147">
        <f>IF(PT$9&gt;0,THIN!$F$36*EXP(-THIN!$F$14*PT$9),0)</f>
        <v>3.9539834057980651E-2</v>
      </c>
      <c r="PU10" s="147">
        <f>IF(PU$9&gt;0,THIN!$F$36*EXP(-THIN!$F$14*PU$9),0)</f>
        <v>3.9201902845153208E-2</v>
      </c>
      <c r="PV10" s="147">
        <f>IF(PV$9&gt;0,THIN!$F$36*EXP(-THIN!$F$14*PV$9),0)</f>
        <v>3.8866859795802546E-2</v>
      </c>
      <c r="PW10" s="147">
        <f>IF(PW$9&gt;0,THIN!$F$36*EXP(-THIN!$F$14*PW$9),0)</f>
        <v>3.8534680225945736E-2</v>
      </c>
      <c r="PX10" s="147">
        <f>IF(PX$9&gt;0,THIN!$F$36*EXP(-THIN!$F$14*PX$9),0)</f>
        <v>3.8205339662564106E-2</v>
      </c>
      <c r="PY10" s="147">
        <f>IF(PY$9&gt;0,THIN!$F$36*EXP(-THIN!$F$14*PY$9),0)</f>
        <v>3.7878813841800134E-2</v>
      </c>
      <c r="PZ10" s="147">
        <f>IF(PZ$9&gt;0,THIN!$F$36*EXP(-THIN!$F$14*PZ$9),0)</f>
        <v>3.7555078707169717E-2</v>
      </c>
      <c r="QA10" s="147">
        <f>IF(QA$9&gt;0,THIN!$F$36*EXP(-THIN!$F$14*QA$9),0)</f>
        <v>3.7234110407790059E-2</v>
      </c>
      <c r="QB10" s="147">
        <f>IF(QB$9&gt;0,THIN!$F$36*EXP(-THIN!$F$14*QB$9),0)</f>
        <v>3.6915885296622319E-2</v>
      </c>
      <c r="QC10" s="147">
        <f>IF(QC$9&gt;0,THIN!$F$36*EXP(-THIN!$F$14*QC$9),0)</f>
        <v>3.6600379928729443E-2</v>
      </c>
      <c r="QD10" s="147">
        <f>IF(QD$9&gt;0,THIN!$F$36*EXP(-THIN!$F$14*QD$9),0)</f>
        <v>3.6287571059548981E-2</v>
      </c>
      <c r="QE10" s="147">
        <f>IF(QE$9&gt;0,THIN!$F$36*EXP(-THIN!$F$14*QE$9),0)</f>
        <v>3.5977435643180435E-2</v>
      </c>
      <c r="QF10" s="147">
        <f>IF(QF$9&gt;0,THIN!$F$36*EXP(-THIN!$F$14*QF$9),0)</f>
        <v>3.5669950830687469E-2</v>
      </c>
      <c r="QG10" s="147">
        <f>IF(QG$9&gt;0,THIN!$F$36*EXP(-THIN!$F$14*QG$9),0)</f>
        <v>3.5365093968414509E-2</v>
      </c>
      <c r="QH10" s="147">
        <f>IF(QH$9&gt;0,THIN!$F$36*EXP(-THIN!$F$14*QH$9),0)</f>
        <v>3.5062842596317777E-2</v>
      </c>
      <c r="QI10" s="147">
        <f>IF(QI$9&gt;0,THIN!$F$36*EXP(-THIN!$F$14*QI$9),0)</f>
        <v>3.4763174446310462E-2</v>
      </c>
      <c r="QJ10" s="147">
        <f>IF(QJ$9&gt;0,THIN!$F$36*EXP(-THIN!$F$14*QJ$9),0)</f>
        <v>3.4466067440622292E-2</v>
      </c>
      <c r="QK10" s="147">
        <f>IF(QK$9&gt;0,THIN!$F$36*EXP(-THIN!$F$14*QK$9),0)</f>
        <v>3.417149969017292E-2</v>
      </c>
      <c r="QL10" s="147">
        <f>IF(QL$9&gt;0,THIN!$F$36*EXP(-THIN!$F$14*QL$9),0)</f>
        <v>3.3879449492959152E-2</v>
      </c>
      <c r="QM10" s="147">
        <f>IF(QM$9&gt;0,THIN!$F$36*EXP(-THIN!$F$14*QM$9),0)</f>
        <v>3.3589895332456272E-2</v>
      </c>
      <c r="QN10" s="147">
        <f>IF(QN$9&gt;0,THIN!$F$36*EXP(-THIN!$F$14*QN$9),0)</f>
        <v>3.3302815876032718E-2</v>
      </c>
      <c r="QO10" s="147">
        <f>IF(QO$9&gt;0,THIN!$F$36*EXP(-THIN!$F$14*QO$9),0)</f>
        <v>3.301818997337834E-2</v>
      </c>
      <c r="QP10" s="147">
        <f>IF(QP$9&gt;0,THIN!$F$36*EXP(-THIN!$F$14*QP$9),0)</f>
        <v>3.2735996654946378E-2</v>
      </c>
      <c r="QQ10" s="147">
        <f>IF(QQ$9&gt;0,THIN!$F$36*EXP(-THIN!$F$14*QQ$9),0)</f>
        <v>3.2456215130408417E-2</v>
      </c>
      <c r="QR10" s="147">
        <f>IF(QR$9&gt;0,THIN!$F$36*EXP(-THIN!$F$14*QR$9),0)</f>
        <v>3.2178824787122598E-2</v>
      </c>
      <c r="QS10" s="147">
        <f>IF(QS$9&gt;0,THIN!$F$36*EXP(-THIN!$F$14*QS$9),0)</f>
        <v>3.1903805188615221E-2</v>
      </c>
      <c r="QT10" s="147">
        <f>IF(QT$9&gt;0,THIN!$F$36*EXP(-THIN!$F$14*QT$9),0)</f>
        <v>3.163113607307496E-2</v>
      </c>
      <c r="QU10" s="147">
        <f>IF(QU$9&gt;0,THIN!$F$36*EXP(-THIN!$F$14*QU$9),0)</f>
        <v>3.1360797351860058E-2</v>
      </c>
      <c r="QV10" s="147">
        <f>IF(QV$9&gt;0,THIN!$F$36*EXP(-THIN!$F$14*QV$9),0)</f>
        <v>3.109276910801843E-2</v>
      </c>
      <c r="QW10" s="147">
        <f>IF(QW$9&gt;0,THIN!$F$36*EXP(-THIN!$F$14*QW$9),0)</f>
        <v>3.0827031594820264E-2</v>
      </c>
      <c r="QX10" s="147">
        <f>IF(QX$9&gt;0,THIN!$F$36*EXP(-THIN!$F$14*QX$9),0)</f>
        <v>3.0563565234303144E-2</v>
      </c>
      <c r="QY10" s="147">
        <f>IF(QY$9&gt;0,THIN!$F$36*EXP(-THIN!$F$14*QY$9),0)</f>
        <v>3.0302350615829702E-2</v>
      </c>
      <c r="QZ10" s="147">
        <f>IF(QZ$9&gt;0,THIN!$F$36*EXP(-THIN!$F$14*QZ$9),0)</f>
        <v>3.0043368494657587E-2</v>
      </c>
      <c r="RA10" s="147">
        <f>IF(RA$9&gt;0,THIN!$F$36*EXP(-THIN!$F$14*RA$9),0)</f>
        <v>2.9786599790521551E-2</v>
      </c>
      <c r="RB10" s="147">
        <f>IF(RB$9&gt;0,THIN!$F$36*EXP(-THIN!$F$14*RB$9),0)</f>
        <v>2.9532025586227816E-2</v>
      </c>
      <c r="RC10" s="147">
        <f>IF(RC$9&gt;0,THIN!$F$36*EXP(-THIN!$F$14*RC$9),0)</f>
        <v>2.9279627126260338E-2</v>
      </c>
      <c r="RD10" s="147">
        <f>IF(RD$9&gt;0,THIN!$F$36*EXP(-THIN!$F$14*RD$9),0)</f>
        <v>2.9029385815398906E-2</v>
      </c>
      <c r="RE10" s="147">
        <f>IF(RE$9&gt;0,THIN!$F$36*EXP(-THIN!$F$14*RE$9),0)</f>
        <v>2.8781283217349341E-2</v>
      </c>
      <c r="RF10" s="147">
        <f>IF(RF$9&gt;0,THIN!$F$36*EXP(-THIN!$F$14*RF$9),0)</f>
        <v>2.8535301053385132E-2</v>
      </c>
      <c r="RG10" s="147">
        <f>IF(RG$9&gt;0,THIN!$F$36*EXP(-THIN!$F$14*RG$9),0)</f>
        <v>2.8291421201000665E-2</v>
      </c>
      <c r="RH10" s="147">
        <f>IF(RH$9&gt;0,THIN!$F$36*EXP(-THIN!$F$14*RH$9),0)</f>
        <v>2.8049625692576251E-2</v>
      </c>
      <c r="RI10" s="147">
        <f>IF(RI$9&gt;0,THIN!$F$36*EXP(-THIN!$F$14*RI$9),0)</f>
        <v>2.7809896714054299E-2</v>
      </c>
      <c r="RJ10" s="147">
        <f>IF(RJ$9&gt;0,THIN!$F$36*EXP(-THIN!$F$14*RJ$9),0)</f>
        <v>2.7572216603626788E-2</v>
      </c>
      <c r="RK10" s="147">
        <f>IF(RK$9&gt;0,THIN!$F$36*EXP(-THIN!$F$14*RK$9),0)</f>
        <v>2.7336567850434208E-2</v>
      </c>
      <c r="RL10" s="147">
        <f>IF(RL$9&gt;0,THIN!$F$36*EXP(-THIN!$F$14*RL$9),0)</f>
        <v>2.7102933093275394E-2</v>
      </c>
      <c r="RM10" s="147">
        <f>IF(RM$9&gt;0,THIN!$F$36*EXP(-THIN!$F$14*RM$9),0)</f>
        <v>2.6871295119328387E-2</v>
      </c>
      <c r="RN10" s="147">
        <f>IF(RN$9&gt;0,THIN!$F$36*EXP(-THIN!$F$14*RN$9),0)</f>
        <v>2.6641636862882415E-2</v>
      </c>
      <c r="RO10" s="147">
        <f>IF(RO$9&gt;0,THIN!$F$36*EXP(-THIN!$F$14*RO$9),0)</f>
        <v>2.6413941404080557E-2</v>
      </c>
      <c r="RP10" s="147">
        <f>IF(RP$9&gt;0,THIN!$F$36*EXP(-THIN!$F$14*RP$9),0)</f>
        <v>2.6188191967673087E-2</v>
      </c>
    </row>
    <row r="11" spans="1:495" ht="12.95" customHeight="1" x14ac:dyDescent="0.2">
      <c r="B11" s="152" t="s">
        <v>921</v>
      </c>
      <c r="C11" s="152"/>
      <c r="D11" s="152"/>
      <c r="E11" s="147"/>
      <c r="F11" s="147"/>
      <c r="G11" s="147"/>
      <c r="H11" s="147"/>
      <c r="I11" s="147"/>
      <c r="J11" s="147"/>
      <c r="K11" s="147"/>
      <c r="L11" s="147"/>
      <c r="M11" s="147"/>
      <c r="N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c r="BM11" s="147"/>
      <c r="BN11" s="147"/>
      <c r="BO11" s="147"/>
      <c r="BP11" s="147"/>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DE11" s="147"/>
      <c r="DF11" s="147"/>
      <c r="DG11" s="147"/>
      <c r="DH11" s="147"/>
      <c r="DI11" s="147"/>
      <c r="DJ11" s="147"/>
      <c r="DK11" s="147"/>
      <c r="DL11" s="147"/>
      <c r="DM11" s="147"/>
      <c r="DN11" s="147"/>
      <c r="DO11" s="147"/>
      <c r="DP11" s="147"/>
      <c r="DQ11" s="147"/>
      <c r="DR11" s="147"/>
      <c r="DS11" s="147"/>
      <c r="DT11" s="147"/>
      <c r="DU11" s="147"/>
      <c r="DV11" s="147"/>
      <c r="DW11" s="147"/>
      <c r="DX11" s="147"/>
      <c r="DY11" s="147"/>
      <c r="DZ11" s="147"/>
      <c r="EA11" s="147"/>
      <c r="EB11" s="147"/>
      <c r="EC11" s="147"/>
      <c r="ED11" s="147"/>
      <c r="EE11" s="147"/>
      <c r="EF11" s="147"/>
      <c r="EG11" s="147"/>
      <c r="EH11" s="147"/>
      <c r="EI11" s="147"/>
      <c r="EJ11" s="147"/>
      <c r="EK11" s="147"/>
      <c r="EL11" s="147"/>
      <c r="EM11" s="147"/>
      <c r="EN11" s="147"/>
      <c r="EO11" s="147"/>
      <c r="EP11" s="147"/>
      <c r="EQ11" s="147"/>
      <c r="ER11" s="147"/>
      <c r="ES11" s="147"/>
      <c r="ET11" s="147"/>
      <c r="EU11" s="147"/>
      <c r="EV11" s="147"/>
      <c r="EW11" s="147"/>
      <c r="EX11" s="147"/>
      <c r="EY11" s="147"/>
      <c r="EZ11" s="147"/>
      <c r="FA11" s="147"/>
      <c r="FB11" s="147"/>
      <c r="FC11" s="147"/>
      <c r="FD11" s="147"/>
      <c r="FE11" s="147"/>
      <c r="FF11" s="147"/>
      <c r="FG11" s="147"/>
      <c r="FH11" s="147"/>
      <c r="FI11" s="147"/>
      <c r="FJ11" s="147"/>
      <c r="FK11" s="147"/>
      <c r="FL11" s="147"/>
      <c r="FM11" s="147"/>
      <c r="FN11" s="147"/>
      <c r="FO11" s="147"/>
      <c r="FP11" s="147"/>
      <c r="FQ11" s="147"/>
      <c r="FR11" s="147"/>
      <c r="FS11" s="147"/>
      <c r="FT11" s="147"/>
      <c r="FU11" s="147"/>
      <c r="FV11" s="147"/>
      <c r="FW11" s="147"/>
      <c r="FX11" s="147"/>
      <c r="FY11" s="147"/>
      <c r="FZ11" s="147"/>
      <c r="GA11" s="147"/>
      <c r="GB11" s="147"/>
      <c r="GC11" s="279"/>
      <c r="GD11" s="147"/>
      <c r="GE11" s="147"/>
      <c r="GF11" s="147"/>
      <c r="GG11" s="147"/>
      <c r="GH11" s="147"/>
      <c r="GI11" s="147"/>
      <c r="GJ11" s="147"/>
      <c r="GK11" s="147"/>
      <c r="GL11" s="147"/>
      <c r="GM11" s="147"/>
      <c r="GN11" s="147"/>
      <c r="GO11" s="147"/>
      <c r="GP11" s="147"/>
      <c r="GQ11" s="147"/>
      <c r="GR11" s="147"/>
      <c r="GS11" s="147"/>
      <c r="GT11" s="147"/>
      <c r="GU11" s="147"/>
      <c r="GV11" s="147"/>
      <c r="GW11" s="147"/>
      <c r="GX11" s="147"/>
      <c r="GY11" s="147"/>
      <c r="GZ11" s="147"/>
      <c r="HA11" s="147"/>
      <c r="HB11" s="147"/>
      <c r="HC11" s="147"/>
      <c r="HD11" s="147"/>
      <c r="HE11" s="147"/>
      <c r="HF11" s="147"/>
      <c r="HG11" s="147"/>
      <c r="HH11" s="147"/>
      <c r="HI11" s="147"/>
      <c r="HJ11" s="147"/>
      <c r="HK11" s="147"/>
      <c r="HL11" s="147"/>
      <c r="HM11" s="147"/>
      <c r="HN11" s="147"/>
      <c r="HO11" s="147"/>
      <c r="HP11" s="147"/>
      <c r="HQ11" s="147"/>
      <c r="HR11" s="147"/>
      <c r="HS11" s="147"/>
      <c r="HT11" s="147"/>
      <c r="HU11" s="147"/>
      <c r="HV11" s="147"/>
      <c r="HW11" s="147"/>
      <c r="HX11" s="147"/>
      <c r="HY11" s="147"/>
      <c r="HZ11" s="147"/>
      <c r="IA11" s="147"/>
      <c r="IB11" s="147"/>
      <c r="IC11" s="147"/>
      <c r="ID11" s="147"/>
      <c r="IE11" s="147"/>
      <c r="IF11" s="147"/>
      <c r="IG11" s="147"/>
      <c r="IH11" s="147"/>
      <c r="II11" s="147"/>
      <c r="IJ11" s="147"/>
      <c r="IK11" s="147"/>
      <c r="IL11" s="147"/>
      <c r="IM11" s="147"/>
      <c r="IN11" s="147"/>
      <c r="IO11" s="147"/>
      <c r="IP11" s="147"/>
      <c r="IQ11" s="147"/>
      <c r="IR11" s="147"/>
      <c r="IS11" s="147"/>
      <c r="IT11" s="147"/>
      <c r="IU11" s="147"/>
      <c r="IV11" s="147"/>
      <c r="IW11" s="147"/>
      <c r="IX11" s="147"/>
      <c r="IY11" s="147"/>
      <c r="IZ11" s="147"/>
      <c r="JA11" s="147"/>
      <c r="JB11" s="147"/>
      <c r="JC11" s="147"/>
      <c r="JD11" s="147"/>
      <c r="JE11" s="147"/>
      <c r="JF11" s="147"/>
      <c r="JG11" s="147"/>
      <c r="JH11" s="147"/>
      <c r="JI11" s="147"/>
      <c r="JJ11" s="147"/>
      <c r="JK11" s="147"/>
      <c r="JL11" s="147"/>
      <c r="JM11" s="147"/>
      <c r="JN11" s="147"/>
      <c r="JO11" s="147"/>
      <c r="JP11" s="147"/>
      <c r="JQ11" s="147"/>
      <c r="JR11" s="147"/>
      <c r="JS11" s="147"/>
      <c r="JT11" s="147"/>
      <c r="JU11" s="147"/>
      <c r="JV11" s="147"/>
      <c r="JW11" s="147"/>
      <c r="JX11" s="147"/>
      <c r="JY11" s="147"/>
      <c r="JZ11" s="147"/>
      <c r="KA11" s="147"/>
      <c r="KB11" s="147"/>
      <c r="KC11" s="147"/>
      <c r="KD11" s="147"/>
      <c r="KE11" s="147"/>
      <c r="KF11" s="147"/>
      <c r="KG11" s="147"/>
      <c r="KH11" s="147"/>
      <c r="KI11" s="147"/>
      <c r="KJ11" s="147"/>
      <c r="KK11" s="147"/>
      <c r="KL11" s="147"/>
      <c r="KM11" s="147"/>
      <c r="KN11" s="147"/>
      <c r="KO11" s="147"/>
      <c r="KP11" s="147"/>
      <c r="KQ11" s="147"/>
      <c r="KR11" s="147"/>
      <c r="KS11" s="147"/>
      <c r="KT11" s="147"/>
      <c r="KU11" s="147"/>
      <c r="KV11" s="147"/>
      <c r="KW11" s="147"/>
      <c r="KX11" s="147"/>
      <c r="KY11" s="147"/>
      <c r="KZ11" s="147"/>
      <c r="LA11" s="147"/>
      <c r="LB11" s="147"/>
      <c r="LC11" s="147"/>
      <c r="LD11" s="147"/>
      <c r="LE11" s="147"/>
      <c r="LF11" s="147"/>
      <c r="LG11" s="147"/>
      <c r="LH11" s="147"/>
      <c r="LI11" s="147"/>
      <c r="LJ11" s="147"/>
      <c r="LK11" s="147"/>
      <c r="LL11" s="147"/>
      <c r="LM11" s="147"/>
      <c r="LN11" s="147"/>
      <c r="LO11" s="147"/>
      <c r="LP11" s="147"/>
      <c r="LQ11" s="147"/>
      <c r="LR11" s="147"/>
      <c r="LS11" s="147"/>
      <c r="LT11" s="147"/>
      <c r="LU11" s="147"/>
      <c r="LV11" s="147"/>
      <c r="LW11" s="147"/>
      <c r="LX11" s="147"/>
      <c r="LY11" s="147"/>
      <c r="LZ11" s="147"/>
      <c r="MA11" s="147"/>
      <c r="MB11" s="147"/>
      <c r="MC11" s="147"/>
      <c r="MD11" s="147"/>
      <c r="ME11" s="147"/>
      <c r="MF11" s="147"/>
      <c r="MG11" s="147"/>
      <c r="MH11" s="147"/>
      <c r="MI11" s="147"/>
      <c r="MJ11" s="147"/>
      <c r="MK11" s="147"/>
      <c r="ML11" s="147"/>
      <c r="MM11" s="147"/>
      <c r="MN11" s="147"/>
      <c r="MO11" s="147"/>
      <c r="MP11" s="147"/>
      <c r="MQ11" s="147"/>
      <c r="MR11" s="147"/>
      <c r="MS11" s="147"/>
      <c r="MT11" s="147"/>
      <c r="MU11" s="147"/>
      <c r="MV11" s="147"/>
      <c r="MW11" s="147"/>
      <c r="MX11" s="147"/>
      <c r="MY11" s="147"/>
      <c r="MZ11" s="147"/>
      <c r="NA11" s="147"/>
      <c r="NB11" s="147"/>
      <c r="NC11" s="147"/>
      <c r="ND11" s="147"/>
      <c r="NE11" s="147"/>
      <c r="NF11" s="147"/>
      <c r="NG11" s="147"/>
      <c r="NH11" s="147"/>
      <c r="NI11" s="147"/>
      <c r="NJ11" s="147"/>
      <c r="NK11" s="147"/>
      <c r="NL11" s="147"/>
      <c r="NM11" s="147"/>
      <c r="NN11" s="147"/>
      <c r="NO11" s="147"/>
      <c r="NP11" s="147"/>
      <c r="NQ11" s="147"/>
      <c r="NR11" s="147"/>
      <c r="NS11" s="147"/>
      <c r="NT11" s="147"/>
      <c r="NU11" s="147"/>
      <c r="NV11" s="147"/>
      <c r="NW11" s="147"/>
      <c r="NX11" s="147"/>
      <c r="NY11" s="147"/>
      <c r="NZ11" s="147"/>
      <c r="OA11" s="147"/>
      <c r="OB11" s="147"/>
      <c r="OC11" s="147"/>
      <c r="OD11" s="147"/>
      <c r="OE11" s="147"/>
      <c r="OF11" s="147"/>
      <c r="OG11" s="147"/>
      <c r="OH11" s="147"/>
      <c r="OI11" s="147"/>
      <c r="OJ11" s="147"/>
      <c r="OK11" s="147"/>
      <c r="OL11" s="147"/>
      <c r="OM11" s="147"/>
      <c r="ON11" s="147"/>
      <c r="OO11" s="147"/>
      <c r="OP11" s="147"/>
      <c r="OQ11" s="147"/>
      <c r="OR11" s="147"/>
      <c r="OS11" s="147"/>
      <c r="OT11" s="147"/>
      <c r="OU11" s="147"/>
      <c r="OV11" s="147"/>
      <c r="OW11" s="147"/>
      <c r="OX11" s="147"/>
      <c r="OY11" s="147"/>
      <c r="OZ11" s="147"/>
      <c r="PA11" s="147"/>
      <c r="PB11" s="147"/>
      <c r="PC11" s="147"/>
      <c r="PD11" s="147"/>
      <c r="PE11" s="147"/>
      <c r="PF11" s="147"/>
      <c r="PG11" s="147"/>
      <c r="PH11" s="147"/>
      <c r="PI11" s="147"/>
      <c r="PJ11" s="147"/>
      <c r="PK11" s="147"/>
      <c r="PL11" s="147"/>
      <c r="PM11" s="147"/>
      <c r="PN11" s="147"/>
      <c r="PO11" s="147"/>
      <c r="PP11" s="147"/>
      <c r="PQ11" s="147"/>
      <c r="PR11" s="147"/>
      <c r="PS11" s="147"/>
      <c r="PT11" s="147"/>
      <c r="PU11" s="147"/>
      <c r="PV11" s="147"/>
      <c r="PW11" s="147"/>
      <c r="PX11" s="147"/>
      <c r="PY11" s="147"/>
      <c r="PZ11" s="147"/>
      <c r="QA11" s="147"/>
      <c r="QB11" s="147"/>
      <c r="QC11" s="147"/>
      <c r="QD11" s="147"/>
      <c r="QE11" s="147"/>
      <c r="QF11" s="147"/>
      <c r="QG11" s="147"/>
      <c r="QH11" s="147"/>
      <c r="QI11" s="147"/>
      <c r="QJ11" s="147"/>
      <c r="QK11" s="147"/>
      <c r="QL11" s="147"/>
      <c r="QM11" s="147"/>
      <c r="QN11" s="147"/>
      <c r="QO11" s="147"/>
      <c r="QP11" s="147"/>
      <c r="QQ11" s="147"/>
      <c r="QR11" s="147"/>
      <c r="QS11" s="147"/>
      <c r="QT11" s="147"/>
      <c r="QU11" s="147"/>
      <c r="QV11" s="147"/>
      <c r="QW11" s="147"/>
      <c r="QX11" s="147"/>
      <c r="QY11" s="147"/>
      <c r="QZ11" s="147"/>
      <c r="RA11" s="147"/>
      <c r="RB11" s="147"/>
      <c r="RC11" s="147"/>
      <c r="RD11" s="147"/>
      <c r="RE11" s="147"/>
      <c r="RF11" s="147"/>
      <c r="RG11" s="147"/>
      <c r="RH11" s="147"/>
      <c r="RI11" s="147"/>
      <c r="RJ11" s="147"/>
      <c r="RK11" s="147"/>
      <c r="RL11" s="147"/>
      <c r="RM11" s="147"/>
      <c r="RN11" s="147"/>
      <c r="RO11" s="147"/>
      <c r="RP11" s="147"/>
    </row>
    <row r="12" spans="1:495" ht="12.95" customHeight="1" x14ac:dyDescent="0.2">
      <c r="C12" s="21" t="s">
        <v>917</v>
      </c>
      <c r="D12" s="21" t="s">
        <v>395</v>
      </c>
      <c r="E12" s="146">
        <f>growth!$E$27*(1-EXP(-E7/growth!$E$28))^growth!$E$29</f>
        <v>8.5544570688243271E-6</v>
      </c>
      <c r="F12" s="146">
        <f>growth!$E$27*(1-EXP(-F7/growth!$E$28))^growth!$E$29</f>
        <v>6.8008465527976102E-5</v>
      </c>
      <c r="G12" s="146">
        <f>growth!$E$27*(1-EXP(-G7/growth!$E$28))^growth!$E$29</f>
        <v>2.2809679712868013E-4</v>
      </c>
      <c r="H12" s="146">
        <f>growth!$E$27*(1-EXP(-H7/growth!$E$28))^growth!$E$29</f>
        <v>5.3730357085554029E-4</v>
      </c>
      <c r="I12" s="146">
        <f>growth!$E$27*(1-EXP(-I7/growth!$E$28))^growth!$E$29</f>
        <v>1.0428839694930018E-3</v>
      </c>
      <c r="J12" s="146">
        <f>growth!$E$27*(1-EXP(-J7/growth!$E$28))^growth!$E$29</f>
        <v>1.7908856308893263E-3</v>
      </c>
      <c r="K12" s="146">
        <f>growth!$E$27*(1-EXP(-K7/growth!$E$28))^growth!$E$29</f>
        <v>2.8261697184418129E-3</v>
      </c>
      <c r="L12" s="146">
        <f>growth!$E$27*(1-EXP(-L7/growth!$E$28))^growth!$E$29</f>
        <v>4.192431675266812E-3</v>
      </c>
      <c r="M12" s="146">
        <f>growth!$E$27*(1-EXP(-M7/growth!$E$28))^growth!$E$29</f>
        <v>5.9322216664580707E-3</v>
      </c>
      <c r="N12" s="146">
        <f>growth!$E$27*(1-EXP(-N7/growth!$E$28))^growth!$E$29</f>
        <v>8.0869647137792496E-3</v>
      </c>
      <c r="O12" s="146">
        <f>growth!$E$27*(1-EXP(-O7/growth!$E$28))^growth!$E$29</f>
        <v>1.0696980527076586E-2</v>
      </c>
      <c r="P12" s="146">
        <f>growth!$E$27*(1-EXP(-P7/growth!$E$28))^growth!$E$29</f>
        <v>1.3801503036642727E-2</v>
      </c>
      <c r="Q12" s="146">
        <f>growth!$E$27*(1-EXP(-Q7/growth!$E$28))^growth!$E$29</f>
        <v>1.7438699630704126E-2</v>
      </c>
      <c r="R12" s="146">
        <f>growth!$E$27*(1-EXP(-R7/growth!$E$28))^growth!$E$29</f>
        <v>2.1645690102150235E-2</v>
      </c>
      <c r="S12" s="146">
        <f>growth!$E$27*(1-EXP(-S7/growth!$E$28))^growth!$E$29</f>
        <v>2.6458565308565586E-2</v>
      </c>
      <c r="T12" s="146">
        <f>growth!$E$27*(1-EXP(-T7/growth!$E$28))^growth!$E$29</f>
        <v>3.1912405549575487E-2</v>
      </c>
      <c r="U12" s="146">
        <f>growth!$E$27*(1-EXP(-U7/growth!$E$28))^growth!$E$29</f>
        <v>3.8041298665456802E-2</v>
      </c>
      <c r="V12" s="146">
        <f>growth!$E$27*(1-EXP(-V7/growth!$E$28))^growth!$E$29</f>
        <v>4.4878357860917865E-2</v>
      </c>
      <c r="W12" s="146">
        <f>growth!$E$27*(1-EXP(-W7/growth!$E$28))^growth!$E$29</f>
        <v>5.2455739257894866E-2</v>
      </c>
      <c r="X12" s="146">
        <f>growth!$E$27*(1-EXP(-X7/growth!$E$28))^growth!$E$29</f>
        <v>6.080465918116422E-2</v>
      </c>
      <c r="Y12" s="146">
        <f>growth!$E$27*(1-EXP(-Y7/growth!$E$28))^growth!$E$29</f>
        <v>6.9955411180516527E-2</v>
      </c>
      <c r="Z12" s="146">
        <f>growth!$E$27*(1-EXP(-Z7/growth!$E$28))^growth!$E$29</f>
        <v>7.9937382793190237E-2</v>
      </c>
      <c r="AA12" s="146">
        <f>growth!$E$27*(1-EXP(-AA7/growth!$E$28))^growth!$E$29</f>
        <v>9.0779072050210241E-2</v>
      </c>
      <c r="AB12" s="146">
        <f>growth!$E$27*(1-EXP(-AB7/growth!$E$28))^growth!$E$29</f>
        <v>0.10250810373022921</v>
      </c>
      <c r="AC12" s="146">
        <f>growth!$E$27*(1-EXP(-AC7/growth!$E$28))^growth!$E$29</f>
        <v>0.1151512453644276</v>
      </c>
      <c r="AD12" s="146">
        <f>growth!$E$27*(1-EXP(-AD7/growth!$E$28))^growth!$E$29</f>
        <v>0.12873442299596394</v>
      </c>
      <c r="AE12" s="146">
        <f>growth!$E$27*(1-EXP(-AE7/growth!$E$28))^growth!$E$29</f>
        <v>0.14328273669744057</v>
      </c>
      <c r="AF12" s="146">
        <f>growth!$E$27*(1-EXP(-AF7/growth!$E$28))^growth!$E$29</f>
        <v>0.15882047584978901</v>
      </c>
      <c r="AG12" s="146">
        <f>growth!$E$27*(1-EXP(-AG7/growth!$E$28))^growth!$E$29</f>
        <v>0.17537113418593711</v>
      </c>
      <c r="AH12" s="146">
        <f>growth!$E$27*(1-EXP(-AH7/growth!$E$28))^growth!$E$29</f>
        <v>0.19295742460257786</v>
      </c>
      <c r="AI12" s="146">
        <f>growth!$E$27*(1-EXP(-AI7/growth!$E$28))^growth!$E$29</f>
        <v>0.21160129374331518</v>
      </c>
      <c r="AJ12" s="146">
        <f>growth!$E$27*(1-EXP(-AJ7/growth!$E$28))^growth!$E$29</f>
        <v>0.23132393635640697</v>
      </c>
      <c r="AK12" s="146">
        <f>growth!$E$27*(1-EXP(-AK7/growth!$E$28))^growth!$E$29</f>
        <v>0.25214580943030535</v>
      </c>
      <c r="AL12" s="146">
        <f>growth!$E$27*(1-EXP(-AL7/growth!$E$28))^growth!$E$29</f>
        <v>0.27408664611012157</v>
      </c>
      <c r="AM12" s="146">
        <f>growth!$E$27*(1-EXP(-AM7/growth!$E$28))^growth!$E$29</f>
        <v>0.29716546939812627</v>
      </c>
      <c r="AN12" s="146">
        <f>growth!$E$27*(1-EXP(-AN7/growth!$E$28))^growth!$E$29</f>
        <v>0.32140060564134304</v>
      </c>
      <c r="AO12" s="146">
        <f>growth!$E$27*(1-EXP(-AO7/growth!$E$28))^growth!$E$29</f>
        <v>0.34680969780924586</v>
      </c>
      <c r="AP12" s="146">
        <f>growth!$E$27*(1-EXP(-AP7/growth!$E$28))^growth!$E$29</f>
        <v>0.37340971856454569</v>
      </c>
      <c r="AQ12" s="146">
        <f>growth!$E$27*(1-EXP(-AQ7/growth!$E$28))^growth!$E$29</f>
        <v>0.40121698312999765</v>
      </c>
      <c r="AR12" s="146">
        <f>growth!$E$27*(1-EXP(-AR7/growth!$E$28))^growth!$E$29</f>
        <v>0.43024716195412716</v>
      </c>
      <c r="AS12" s="146">
        <f>growth!$E$27*(1-EXP(-AS7/growth!$E$28))^growth!$E$29</f>
        <v>0.46051529317873102</v>
      </c>
      <c r="AT12" s="146">
        <f>growth!$E$27*(1-EXP(-AT7/growth!$E$28))^growth!$E$29</f>
        <v>0.49203579491098115</v>
      </c>
      <c r="AU12" s="146">
        <f>growth!$E$27*(1-EXP(-AU7/growth!$E$28))^growth!$E$29</f>
        <v>0.52482247730289744</v>
      </c>
      <c r="AV12" s="146">
        <f>growth!$E$27*(1-EXP(-AV7/growth!$E$28))^growth!$E$29</f>
        <v>0.5588885544409441</v>
      </c>
      <c r="AW12" s="146">
        <f>growth!$E$27*(1-EXP(-AW7/growth!$E$28))^growth!$E$29</f>
        <v>0.59424665604846327</v>
      </c>
      <c r="AX12" s="146">
        <f>growth!$E$27*(1-EXP(-AX7/growth!$E$28))^growth!$E$29</f>
        <v>0.63090883900358596</v>
      </c>
      <c r="AY12" s="146">
        <f>growth!$E$27*(1-EXP(-AY7/growth!$E$28))^growth!$E$29</f>
        <v>0.66888659867529388</v>
      </c>
      <c r="AZ12" s="146">
        <f>growth!$E$27*(1-EXP(-AZ7/growth!$E$28))^growth!$E$29</f>
        <v>0.70819088008020181</v>
      </c>
      <c r="BA12" s="146">
        <f>growth!$E$27*(1-EXP(-BA7/growth!$E$28))^growth!$E$29</f>
        <v>0.74883208886263108</v>
      </c>
      <c r="BB12" s="146">
        <f>growth!$E$27*(1-EXP(-BB7/growth!$E$28))^growth!$E$29</f>
        <v>0.79082010210050457</v>
      </c>
      <c r="BC12" s="146">
        <f>growth!$E$27*(1-EXP(-BC7/growth!$E$28))^growth!$E$29</f>
        <v>0.83416427893956235</v>
      </c>
      <c r="BD12" s="146">
        <f>growth!$E$27*(1-EXP(-BD7/growth!$E$28))^growth!$E$29</f>
        <v>0.87887347105833891</v>
      </c>
      <c r="BE12" s="146">
        <f>growth!$E$27*(1-EXP(-BE7/growth!$E$28))^growth!$E$29</f>
        <v>0.92495603296635942</v>
      </c>
      <c r="BF12" s="146">
        <f>growth!$E$27*(1-EXP(-BF7/growth!$E$28))^growth!$E$29</f>
        <v>0.97241983213791106</v>
      </c>
      <c r="BG12" s="146">
        <f>growth!$E$27*(1-EXP(-BG7/growth!$E$28))^growth!$E$29</f>
        <v>1.0212722589837857</v>
      </c>
      <c r="BH12" s="146">
        <f>growth!$E$27*(1-EXP(-BH7/growth!$E$28))^growth!$E$29</f>
        <v>1.0715202366633054</v>
      </c>
      <c r="BI12" s="146">
        <f>growth!$E$27*(1-EXP(-BI7/growth!$E$28))^growth!$E$29</f>
        <v>1.1231702307389244</v>
      </c>
      <c r="BJ12" s="146">
        <f>growth!$E$27*(1-EXP(-BJ7/growth!$E$28))^growth!$E$29</f>
        <v>1.176228258675686</v>
      </c>
      <c r="BK12" s="146">
        <f>growth!$E$27*(1-EXP(-BK7/growth!$E$28))^growth!$E$29</f>
        <v>1.2306998991877718</v>
      </c>
      <c r="BL12" s="146">
        <f>growth!$E$27*(1-EXP(-BL7/growth!$E$28))^growth!$E$29</f>
        <v>1.2865903014343147</v>
      </c>
      <c r="BM12" s="146">
        <f>growth!$E$27*(1-EXP(-BM7/growth!$E$28))^growth!$E$29</f>
        <v>1.343904194066716</v>
      </c>
      <c r="BN12" s="146">
        <f>growth!$E$27*(1-EXP(-BN7/growth!$E$28))^growth!$E$29</f>
        <v>1.4026458941295432</v>
      </c>
      <c r="BO12" s="146">
        <f>growth!$E$27*(1-EXP(-BO7/growth!$E$28))^growth!$E$29</f>
        <v>1.4628193158171579</v>
      </c>
      <c r="BP12" s="146">
        <f>growth!$E$27*(1-EXP(-BP7/growth!$E$28))^growth!$E$29</f>
        <v>1.5244279790881745</v>
      </c>
      <c r="BQ12" s="146">
        <f>growth!$E$27*(1-EXP(-BQ7/growth!$E$28))^growth!$E$29</f>
        <v>1.587475018139777</v>
      </c>
      <c r="BR12" s="146">
        <f>growth!$E$27*(1-EXP(-BR7/growth!$E$28))^growth!$E$29</f>
        <v>1.6519631897439422</v>
      </c>
      <c r="BS12" s="146">
        <f>growth!$E$27*(1-EXP(-BS7/growth!$E$28))^growth!$E$29</f>
        <v>1.7178948814475761</v>
      </c>
      <c r="BT12" s="146">
        <f>growth!$E$27*(1-EXP(-BT7/growth!$E$28))^growth!$E$29</f>
        <v>1.7852721196385259</v>
      </c>
      <c r="BU12" s="146">
        <f>growth!$E$27*(1-EXP(-BU7/growth!$E$28))^growth!$E$29</f>
        <v>1.854096577479422</v>
      </c>
      <c r="BV12" s="146">
        <f>growth!$E$27*(1-EXP(-BV7/growth!$E$28))^growth!$E$29</f>
        <v>1.9243695827112854</v>
      </c>
      <c r="BW12" s="146">
        <f>growth!$E$27*(1-EXP(-BW7/growth!$E$28))^growth!$E$29</f>
        <v>1.9960921253287776</v>
      </c>
      <c r="BX12" s="146">
        <f>growth!$E$27*(1-EXP(-BX7/growth!$E$28))^growth!$E$29</f>
        <v>2.0692648651289542</v>
      </c>
      <c r="BY12" s="146">
        <f>growth!$E$27*(1-EXP(-BY7/growth!$E$28))^growth!$E$29</f>
        <v>2.1438881391354103</v>
      </c>
      <c r="BZ12" s="146">
        <f>growth!$E$27*(1-EXP(-BZ7/growth!$E$28))^growth!$E$29</f>
        <v>2.2199619688995957</v>
      </c>
      <c r="CA12" s="146">
        <f>growth!$E$27*(1-EXP(-CA7/growth!$E$28))^growth!$E$29</f>
        <v>2.2974860676810884</v>
      </c>
      <c r="CB12" s="146">
        <f>growth!$E$27*(1-EXP(-CB7/growth!$E$28))^growth!$E$29</f>
        <v>2.37645984750865</v>
      </c>
      <c r="CC12" s="146">
        <f>growth!$E$27*(1-EXP(-CC7/growth!$E$28))^growth!$E$29</f>
        <v>2.4568824261237392</v>
      </c>
      <c r="CD12" s="146">
        <f>growth!$E$27*(1-EXP(-CD7/growth!$E$28))^growth!$E$29</f>
        <v>2.5387526338082598</v>
      </c>
      <c r="CE12" s="146">
        <f>growth!$E$27*(1-EXP(-CE7/growth!$E$28))^growth!$E$29</f>
        <v>2.6220690200981962</v>
      </c>
      <c r="CF12" s="146">
        <f>growth!$E$27*(1-EXP(-CF7/growth!$E$28))^growth!$E$29</f>
        <v>2.7068298603848753</v>
      </c>
      <c r="CG12" s="146">
        <f>growth!$E$27*(1-EXP(-CG7/growth!$E$28))^growth!$E$29</f>
        <v>2.7930331624053983</v>
      </c>
      <c r="CH12" s="146">
        <f>growth!$E$27*(1-EXP(-CH7/growth!$E$28))^growth!$E$29</f>
        <v>2.8806766726240038</v>
      </c>
      <c r="CI12" s="146">
        <f>growth!$E$27*(1-EXP(-CI7/growth!$E$28))^growth!$E$29</f>
        <v>2.9697578825058577</v>
      </c>
      <c r="CJ12" s="146">
        <f>growth!$E$27*(1-EXP(-CJ7/growth!$E$28))^growth!$E$29</f>
        <v>3.0602740346849182</v>
      </c>
      <c r="CK12" s="146">
        <f>growth!$E$27*(1-EXP(-CK7/growth!$E$28))^growth!$E$29</f>
        <v>3.1522221290273933</v>
      </c>
      <c r="CL12" s="146">
        <f>growth!$E$27*(1-EXP(-CL7/growth!$E$28))^growth!$E$29</f>
        <v>3.245598928592405</v>
      </c>
      <c r="CM12" s="146">
        <f>growth!$E$27*(1-EXP(-CM7/growth!$E$28))^growth!$E$29</f>
        <v>3.3404009654912583</v>
      </c>
      <c r="CN12" s="146">
        <f>growth!$E$27*(1-EXP(-CN7/growth!$E$28))^growth!$E$29</f>
        <v>3.4366245466469594</v>
      </c>
      <c r="CO12" s="146">
        <f>growth!$E$27*(1-EXP(-CO7/growth!$E$28))^growth!$E$29</f>
        <v>3.5342657594553346</v>
      </c>
      <c r="CP12" s="146">
        <f>growth!$E$27*(1-EXP(-CP7/growth!$E$28))^growth!$E$29</f>
        <v>3.6333204773492791</v>
      </c>
      <c r="CQ12" s="146">
        <f>growth!$E$27*(1-EXP(-CQ7/growth!$E$28))^growth!$E$29</f>
        <v>3.7337843652675535</v>
      </c>
      <c r="CR12" s="146">
        <f>growth!$E$27*(1-EXP(-CR7/growth!$E$28))^growth!$E$29</f>
        <v>3.8356528850295617</v>
      </c>
      <c r="CS12" s="146">
        <f>growth!$E$27*(1-EXP(-CS7/growth!$E$28))^growth!$E$29</f>
        <v>3.9389213006174426</v>
      </c>
      <c r="CT12" s="146">
        <f>growth!$E$27*(1-EXP(-CT7/growth!$E$28))^growth!$E$29</f>
        <v>4.0435846833669586</v>
      </c>
      <c r="CU12" s="146">
        <f>growth!$E$27*(1-EXP(-CU7/growth!$E$28))^growth!$E$29</f>
        <v>4.149637917068473</v>
      </c>
      <c r="CV12" s="146">
        <f>growth!$E$27*(1-EXP(-CV7/growth!$E$28))^growth!$E$29</f>
        <v>4.2570757029793187</v>
      </c>
      <c r="CW12" s="146">
        <f>growth!$E$27*(1-EXP(-CW7/growth!$E$28))^growth!$E$29</f>
        <v>4.3658925647490125</v>
      </c>
      <c r="CX12" s="146">
        <f>growth!$E$27*(1-EXP(-CX7/growth!$E$28))^growth!$E$29</f>
        <v>4.4760828532584638</v>
      </c>
      <c r="CY12" s="146">
        <f>growth!$E$27*(1-EXP(-CY7/growth!$E$28))^growth!$E$29</f>
        <v>4.5876407513745976</v>
      </c>
      <c r="CZ12" s="146">
        <f>growth!$E$27*(1-EXP(-CZ7/growth!$E$28))^growth!$E$29</f>
        <v>4.7005602786215333</v>
      </c>
      <c r="DA12" s="146">
        <f>growth!$E$27*(1-EXP(-DA7/growth!$E$28))^growth!$E$29</f>
        <v>4.8148352957696918</v>
      </c>
      <c r="DB12" s="146">
        <f>growth!$E$27*(1-EXP(-DB7/growth!$E$28))^growth!$E$29</f>
        <v>4.9304595093439723</v>
      </c>
      <c r="DC12" s="146">
        <f>growth!$E$27*(1-EXP(-DC7/growth!$E$28))^growth!$E$29</f>
        <v>5.0474264760522605</v>
      </c>
      <c r="DD12" s="146">
        <f>growth!$E$27*(1-EXP(-DD7/growth!$E$28))^growth!$E$29</f>
        <v>5.1657296071354564</v>
      </c>
      <c r="DE12" s="146">
        <f>growth!$E$27*(1-EXP(-DE7/growth!$E$28))^growth!$E$29</f>
        <v>5.2853621726401947</v>
      </c>
      <c r="DF12" s="146">
        <f>growth!$E$27*(1-EXP(-DF7/growth!$E$28))^growth!$E$29</f>
        <v>5.4063173056154223</v>
      </c>
      <c r="DG12" s="146">
        <f>growth!$E$27*(1-EXP(-DG7/growth!$E$28))^growth!$E$29</f>
        <v>5.5285880062340107</v>
      </c>
      <c r="DH12" s="146">
        <f>growth!$E$27*(1-EXP(-DH7/growth!$E$28))^growth!$E$29</f>
        <v>5.6521671458405169</v>
      </c>
      <c r="DI12" s="146">
        <f>growth!$E$27*(1-EXP(-DI7/growth!$E$28))^growth!$E$29</f>
        <v>5.7770474709261794</v>
      </c>
      <c r="DJ12" s="146">
        <f>growth!$E$27*(1-EXP(-DJ7/growth!$E$28))^growth!$E$29</f>
        <v>5.9032216070323038</v>
      </c>
      <c r="DK12" s="146">
        <f>growth!$E$27*(1-EXP(-DK7/growth!$E$28))^growth!$E$29</f>
        <v>6.0306820625831072</v>
      </c>
      <c r="DL12" s="146">
        <f>growth!$E$27*(1-EXP(-DL7/growth!$E$28))^growth!$E$29</f>
        <v>6.1594212326490734</v>
      </c>
      <c r="DM12" s="146">
        <f>growth!$E$27*(1-EXP(-DM7/growth!$E$28))^growth!$E$29</f>
        <v>6.2894314026418838</v>
      </c>
      <c r="DN12" s="146">
        <f>growth!$E$27*(1-EXP(-DN7/growth!$E$28))^growth!$E$29</f>
        <v>6.4207047519420053</v>
      </c>
      <c r="DO12" s="146">
        <f>growth!$E$27*(1-EXP(-DO7/growth!$E$28))^growth!$E$29</f>
        <v>6.5532333574598631</v>
      </c>
      <c r="DP12" s="146">
        <f>growth!$E$27*(1-EXP(-DP7/growth!$E$28))^growth!$E$29</f>
        <v>6.6870091971317445</v>
      </c>
      <c r="DQ12" s="146">
        <f>growth!$E$27*(1-EXP(-DQ7/growth!$E$28))^growth!$E$29</f>
        <v>6.8220241533513359</v>
      </c>
      <c r="DR12" s="146">
        <f>growth!$E$27*(1-EXP(-DR7/growth!$E$28))^growth!$E$29</f>
        <v>6.9582700163378606</v>
      </c>
      <c r="DS12" s="146">
        <f>growth!$E$27*(1-EXP(-DS7/growth!$E$28))^growth!$E$29</f>
        <v>7.0957384874419063</v>
      </c>
      <c r="DT12" s="146">
        <f>growth!$E$27*(1-EXP(-DT7/growth!$E$28))^growth!$E$29</f>
        <v>7.2344211823897746</v>
      </c>
      <c r="DU12" s="146">
        <f>growth!$E$27*(1-EXP(-DU7/growth!$E$28))^growth!$E$29</f>
        <v>7.3743096344673678</v>
      </c>
      <c r="DV12" s="146">
        <f>growth!$E$27*(1-EXP(-DV7/growth!$E$28))^growth!$E$29</f>
        <v>7.5153952976444769</v>
      </c>
      <c r="DW12" s="146">
        <f>growth!$E$27*(1-EXP(-DW7/growth!$E$28))^growth!$E$29</f>
        <v>7.6576695496405094</v>
      </c>
      <c r="DX12" s="146">
        <f>growth!$E$27*(1-EXP(-DX7/growth!$E$28))^growth!$E$29</f>
        <v>7.8011236949324054</v>
      </c>
      <c r="DY12" s="146">
        <f>growth!$E$27*(1-EXP(-DY7/growth!$E$28))^growth!$E$29</f>
        <v>7.9457489677057547</v>
      </c>
      <c r="DZ12" s="146">
        <f>growth!$E$27*(1-EXP(-DZ7/growth!$E$28))^growth!$E$29</f>
        <v>8.0915365347499435</v>
      </c>
      <c r="EA12" s="146">
        <f>growth!$E$27*(1-EXP(-EA7/growth!$E$28))^growth!$E$29</f>
        <v>8.2384774982981739</v>
      </c>
      <c r="EB12" s="146">
        <f>growth!$E$27*(1-EXP(-EB7/growth!$E$28))^growth!$E$29</f>
        <v>8.3865628988132812</v>
      </c>
      <c r="EC12" s="146">
        <f>growth!$E$27*(1-EXP(-EC7/growth!$E$28))^growth!$E$29</f>
        <v>8.535783717720145</v>
      </c>
      <c r="ED12" s="146">
        <f>growth!$E$27*(1-EXP(-ED7/growth!$E$28))^growth!$E$29</f>
        <v>8.6861308800854697</v>
      </c>
      <c r="EE12" s="146">
        <f>growth!$E$27*(1-EXP(-EE7/growth!$E$28))^growth!$E$29</f>
        <v>8.8375952572459102</v>
      </c>
      <c r="EF12" s="146">
        <f>growth!$E$27*(1-EXP(-EF7/growth!$E$28))^growth!$E$29</f>
        <v>8.9901676693851371</v>
      </c>
      <c r="EG12" s="146">
        <f>growth!$E$27*(1-EXP(-EG7/growth!$E$28))^growth!$E$29</f>
        <v>9.1438388880608628</v>
      </c>
      <c r="EH12" s="146">
        <f>growth!$E$27*(1-EXP(-EH7/growth!$E$28))^growth!$E$29</f>
        <v>9.2985996386824148</v>
      </c>
      <c r="EI12" s="146">
        <f>growth!$E$27*(1-EXP(-EI7/growth!$E$28))^growth!$E$29</f>
        <v>9.4544406029397763</v>
      </c>
      <c r="EJ12" s="146">
        <f>growth!$E$27*(1-EXP(-EJ7/growth!$E$28))^growth!$E$29</f>
        <v>9.6113524211846979</v>
      </c>
      <c r="EK12" s="146">
        <f>growth!$E$27*(1-EXP(-EK7/growth!$E$28))^growth!$E$29</f>
        <v>9.7693256947648877</v>
      </c>
      <c r="EL12" s="146">
        <f>growth!$E$27*(1-EXP(-EL7/growth!$E$28))^growth!$E$29</f>
        <v>9.9283509883116974</v>
      </c>
      <c r="EM12" s="146">
        <f>growth!$E$27*(1-EXP(-EM7/growth!$E$28))^growth!$E$29</f>
        <v>10.088418831982281</v>
      </c>
      <c r="EN12" s="146">
        <f>growth!$E$27*(1-EXP(-EN7/growth!$E$28))^growth!$E$29</f>
        <v>10.249519723656872</v>
      </c>
      <c r="EO12" s="146">
        <f>growth!$E$27*(1-EXP(-EO7/growth!$E$28))^growth!$E$29</f>
        <v>10.41164413109183</v>
      </c>
      <c r="EP12" s="146">
        <f>growth!$E$27*(1-EXP(-EP7/growth!$E$28))^growth!$E$29</f>
        <v>10.574782494029222</v>
      </c>
      <c r="EQ12" s="146">
        <f>growth!$E$27*(1-EXP(-EQ7/growth!$E$28))^growth!$E$29</f>
        <v>10.73892522626363</v>
      </c>
      <c r="ER12" s="146">
        <f>growth!$E$27*(1-EXP(-ER7/growth!$E$28))^growth!$E$29</f>
        <v>10.904062717666822</v>
      </c>
      <c r="ES12" s="146">
        <f>growth!$E$27*(1-EXP(-ES7/growth!$E$28))^growth!$E$29</f>
        <v>11.070185336170969</v>
      </c>
      <c r="ET12" s="146">
        <f>growth!$E$27*(1-EXP(-ET7/growth!$E$28))^growth!$E$29</f>
        <v>11.237283429711121</v>
      </c>
      <c r="EU12" s="146">
        <f>growth!$E$27*(1-EXP(-EU7/growth!$E$28))^growth!$E$29</f>
        <v>11.40534732812749</v>
      </c>
      <c r="EV12" s="146">
        <f>growth!$E$27*(1-EXP(-EV7/growth!$E$28))^growth!$E$29</f>
        <v>11.574367345028266</v>
      </c>
      <c r="EW12" s="146">
        <f>growth!$E$27*(1-EXP(-EW7/growth!$E$28))^growth!$E$29</f>
        <v>11.744333779613566</v>
      </c>
      <c r="EX12" s="146">
        <f>growth!$E$27*(1-EXP(-EX7/growth!$E$28))^growth!$E$29</f>
        <v>11.915236918461199</v>
      </c>
      <c r="EY12" s="146">
        <f>growth!$E$27*(1-EXP(-EY7/growth!$E$28))^growth!$E$29</f>
        <v>12.08706703727467</v>
      </c>
      <c r="EZ12" s="146">
        <f>growth!$E$27*(1-EXP(-EZ7/growth!$E$28))^growth!$E$29</f>
        <v>12.259814402594316</v>
      </c>
      <c r="FA12" s="146">
        <f>growth!$E$27*(1-EXP(-FA7/growth!$E$28))^growth!$E$29</f>
        <v>12.43346927347193</v>
      </c>
      <c r="FB12" s="146">
        <f>growth!$E$27*(1-EXP(-FB7/growth!$E$28))^growth!$E$29</f>
        <v>12.608021903109561</v>
      </c>
      <c r="FC12" s="146">
        <f>growth!$E$27*(1-EXP(-FC7/growth!$E$28))^growth!$E$29</f>
        <v>12.783462540463075</v>
      </c>
      <c r="FD12" s="146">
        <f>growth!$E$27*(1-EXP(-FD7/growth!$E$28))^growth!$E$29</f>
        <v>12.959781431811036</v>
      </c>
      <c r="FE12" s="146">
        <f>growth!$E$27*(1-EXP(-FE7/growth!$E$28))^growth!$E$29</f>
        <v>13.136968822289402</v>
      </c>
      <c r="FF12" s="146">
        <f>growth!$E$27*(1-EXP(-FF7/growth!$E$28))^growth!$E$29</f>
        <v>13.315014957392767</v>
      </c>
      <c r="FG12" s="146">
        <f>growth!$E$27*(1-EXP(-FG7/growth!$E$28))^growth!$E$29</f>
        <v>13.493910084442467</v>
      </c>
      <c r="FH12" s="146">
        <f>growth!$E$27*(1-EXP(-FH7/growth!$E$28))^growth!$E$29</f>
        <v>13.673644454022279</v>
      </c>
      <c r="FI12" s="146">
        <f>growth!$E$27*(1-EXP(-FI7/growth!$E$28))^growth!$E$29</f>
        <v>13.854208321382108</v>
      </c>
      <c r="FJ12" s="146">
        <f>growth!$E$27*(1-EXP(-FJ7/growth!$E$28))^growth!$E$29</f>
        <v>14.035591947810332</v>
      </c>
      <c r="FK12" s="146">
        <f>growth!$E$27*(1-EXP(-FK7/growth!$E$28))^growth!$E$29</f>
        <v>14.217785601975118</v>
      </c>
      <c r="FL12" s="146">
        <f>growth!$E$27*(1-EXP(-FL7/growth!$E$28))^growth!$E$29</f>
        <v>14.400779561235423</v>
      </c>
      <c r="FM12" s="146">
        <f>growth!$E$27*(1-EXP(-FM7/growth!$E$28))^growth!$E$29</f>
        <v>14.584564112922065</v>
      </c>
      <c r="FN12" s="146">
        <f>growth!$E$27*(1-EXP(-FN7/growth!$E$28))^growth!$E$29</f>
        <v>14.769129555589402</v>
      </c>
      <c r="FO12" s="146">
        <f>growth!$E$27*(1-EXP(-FO7/growth!$E$28))^growth!$E$29</f>
        <v>14.954466200238011</v>
      </c>
      <c r="FP12" s="146">
        <f>growth!$E$27*(1-EXP(-FP7/growth!$E$28))^growth!$E$29</f>
        <v>15.140564371508987</v>
      </c>
      <c r="FQ12" s="146">
        <f>growth!$E$27*(1-EXP(-FQ7/growth!$E$28))^growth!$E$29</f>
        <v>15.3274144088503</v>
      </c>
      <c r="FR12" s="146">
        <f>growth!$E$27*(1-EXP(-FR7/growth!$E$28))^growth!$E$29</f>
        <v>15.515006667655552</v>
      </c>
      <c r="FS12" s="146">
        <f>growth!$E$27*(1-EXP(-FS7/growth!$E$28))^growth!$E$29</f>
        <v>15.70333152037577</v>
      </c>
      <c r="FT12" s="146">
        <f>growth!$E$27*(1-EXP(-FT7/growth!$E$28))^growth!$E$29</f>
        <v>15.89237935760452</v>
      </c>
      <c r="FU12" s="146">
        <f>growth!$E$27*(1-EXP(-FU7/growth!$E$28))^growth!$E$29</f>
        <v>16.08214058913693</v>
      </c>
      <c r="FV12" s="146">
        <f>growth!$E$27*(1-EXP(-FV7/growth!$E$28))^growth!$E$29</f>
        <v>16.272605645003011</v>
      </c>
      <c r="FW12" s="146">
        <f>growth!$E$27*(1-EXP(-FW7/growth!$E$28))^growth!$E$29</f>
        <v>16.463764976475609</v>
      </c>
      <c r="FX12" s="146">
        <f>growth!$E$27*(1-EXP(-FX7/growth!$E$28))^growth!$E$29</f>
        <v>16.655609057053578</v>
      </c>
      <c r="FY12" s="146">
        <f>growth!$E$27*(1-EXP(-FY7/growth!$E$28))^growth!$E$29</f>
        <v>16.84812838342053</v>
      </c>
      <c r="FZ12" s="146">
        <f>growth!$E$27*(1-EXP(-FZ7/growth!$E$28))^growth!$E$29</f>
        <v>17.041313476379504</v>
      </c>
      <c r="GA12" s="146">
        <f>growth!$E$27*(1-EXP(-GA7/growth!$E$28))^growth!$E$29</f>
        <v>17.235154881763957</v>
      </c>
      <c r="GB12" s="146">
        <f>growth!$E$27*(1-EXP(-GB7/growth!$E$28))^growth!$E$29</f>
        <v>17.4296431713258</v>
      </c>
      <c r="GC12" s="280">
        <f>growth!$E$27*(1-EXP(-GC7/growth!$E$28))^growth!$E$29</f>
        <v>17.62476894360028</v>
      </c>
      <c r="GD12" s="146">
        <f>growth!$E$27*(1-EXP(-GD7/growth!$E$28))^growth!$E$29</f>
        <v>17.820522824748689</v>
      </c>
      <c r="GE12" s="146">
        <f>growth!$E$27*(1-EXP(-GE7/growth!$E$28))^growth!$E$29</f>
        <v>18.016895469378877</v>
      </c>
      <c r="GF12" s="146">
        <f>growth!$E$27*(1-EXP(-GF7/growth!$E$28))^growth!$E$29</f>
        <v>18.213877561344159</v>
      </c>
      <c r="GG12" s="146">
        <f>growth!$E$27*(1-EXP(-GG7/growth!$E$28))^growth!$E$29</f>
        <v>18.411459814520917</v>
      </c>
      <c r="GH12" s="146">
        <f>growth!$E$27*(1-EXP(-GH7/growth!$E$28))^growth!$E$29</f>
        <v>18.609632973565351</v>
      </c>
      <c r="GI12" s="146">
        <f>growth!$E$27*(1-EXP(-GI7/growth!$E$28))^growth!$E$29</f>
        <v>18.808387814649443</v>
      </c>
      <c r="GJ12" s="146">
        <f>growth!$E$27*(1-EXP(-GJ7/growth!$E$28))^growth!$E$29</f>
        <v>19.007715146176967</v>
      </c>
      <c r="GK12" s="146">
        <f>growth!$E$27*(1-EXP(-GK7/growth!$E$28))^growth!$E$29</f>
        <v>19.207605809479496</v>
      </c>
      <c r="GL12" s="146">
        <f>growth!$E$27*(1-EXP(-GL7/growth!$E$28))^growth!$E$29</f>
        <v>19.40805067949292</v>
      </c>
      <c r="GM12" s="146">
        <f>growth!$E$27*(1-EXP(-GM7/growth!$E$28))^growth!$E$29</f>
        <v>19.609040665414746</v>
      </c>
      <c r="GN12" s="146">
        <f>growth!$E$27*(1-EXP(-GN7/growth!$E$28))^growth!$E$29</f>
        <v>19.810566711342741</v>
      </c>
      <c r="GO12" s="146">
        <f>growth!$E$27*(1-EXP(-GO7/growth!$E$28))^growth!$E$29</f>
        <v>20.012619796894764</v>
      </c>
      <c r="GP12" s="146">
        <f>growth!$E$27*(1-EXP(-GP7/growth!$E$28))^growth!$E$29</f>
        <v>20.215190937810778</v>
      </c>
      <c r="GQ12" s="146">
        <f>growth!$E$27*(1-EXP(-GQ7/growth!$E$28))^growth!$E$29</f>
        <v>20.418271186536586</v>
      </c>
      <c r="GR12" s="146">
        <f>growth!$E$27*(1-EXP(-GR7/growth!$E$28))^growth!$E$29</f>
        <v>20.621851632790491</v>
      </c>
      <c r="GS12" s="146">
        <f>growth!$E$27*(1-EXP(-GS7/growth!$E$28))^growth!$E$29</f>
        <v>20.825923404112231</v>
      </c>
      <c r="GT12" s="146">
        <f>growth!$E$27*(1-EXP(-GT7/growth!$E$28))^growth!$E$29</f>
        <v>21.030477666395434</v>
      </c>
      <c r="GU12" s="146">
        <f>growth!$E$27*(1-EXP(-GU7/growth!$E$28))^growth!$E$29</f>
        <v>21.235505624403107</v>
      </c>
      <c r="GV12" s="146">
        <f>growth!$E$27*(1-EXP(-GV7/growth!$E$28))^growth!$E$29</f>
        <v>21.440998522266952</v>
      </c>
      <c r="GW12" s="146">
        <f>growth!$E$27*(1-EXP(-GW7/growth!$E$28))^growth!$E$29</f>
        <v>21.646947643970702</v>
      </c>
      <c r="GX12" s="146">
        <f>growth!$E$27*(1-EXP(-GX7/growth!$E$28))^growth!$E$29</f>
        <v>21.853344313817516</v>
      </c>
      <c r="GY12" s="146">
        <f>growth!$E$27*(1-EXP(-GY7/growth!$E$28))^growth!$E$29</f>
        <v>22.060179896882083</v>
      </c>
      <c r="GZ12" s="146">
        <f>growth!$E$27*(1-EXP(-GZ7/growth!$E$28))^growth!$E$29</f>
        <v>22.267445799447479</v>
      </c>
      <c r="HA12" s="146">
        <f>growth!$E$27*(1-EXP(-HA7/growth!$E$28))^growth!$E$29</f>
        <v>22.475133469427057</v>
      </c>
      <c r="HB12" s="146">
        <f>growth!$E$27*(1-EXP(-HB7/growth!$E$28))^growth!$E$29</f>
        <v>22.68323439677188</v>
      </c>
      <c r="HC12" s="146">
        <f>growth!$E$27*(1-EXP(-HC7/growth!$E$28))^growth!$E$29</f>
        <v>22.891740113863492</v>
      </c>
      <c r="HD12" s="146">
        <f>growth!$E$27*(1-EXP(-HD7/growth!$E$28))^growth!$E$29</f>
        <v>23.100642195892867</v>
      </c>
      <c r="HE12" s="146">
        <f>growth!$E$27*(1-EXP(-HE7/growth!$E$28))^growth!$E$29</f>
        <v>23.309932261225381</v>
      </c>
      <c r="HF12" s="146">
        <f>growth!$E$27*(1-EXP(-HF7/growth!$E$28))^growth!$E$29</f>
        <v>23.519601971752081</v>
      </c>
      <c r="HG12" s="146">
        <f>growth!$E$27*(1-EXP(-HG7/growth!$E$28))^growth!$E$29</f>
        <v>23.729643033227898</v>
      </c>
      <c r="HH12" s="146">
        <f>growth!$E$27*(1-EXP(-HH7/growth!$E$28))^growth!$E$29</f>
        <v>23.940047195596488</v>
      </c>
      <c r="HI12" s="146">
        <f>growth!$E$27*(1-EXP(-HI7/growth!$E$28))^growth!$E$29</f>
        <v>24.150806253302314</v>
      </c>
      <c r="HJ12" s="146">
        <f>growth!$E$27*(1-EXP(-HJ7/growth!$E$28))^growth!$E$29</f>
        <v>24.361912045590181</v>
      </c>
      <c r="HK12" s="146">
        <f>growth!$E$27*(1-EXP(-HK7/growth!$E$28))^growth!$E$29</f>
        <v>24.573356456792311</v>
      </c>
      <c r="HL12" s="146">
        <f>growth!$E$27*(1-EXP(-HL7/growth!$E$28))^growth!$E$29</f>
        <v>24.785131416603353</v>
      </c>
      <c r="HM12" s="146">
        <f>growth!$E$27*(1-EXP(-HM7/growth!$E$28))^growth!$E$29</f>
        <v>24.997228900343327</v>
      </c>
      <c r="HN12" s="146">
        <f>growth!$E$27*(1-EXP(-HN7/growth!$E$28))^growth!$E$29</f>
        <v>25.209640929209105</v>
      </c>
      <c r="HO12" s="146">
        <f>growth!$E$27*(1-EXP(-HO7/growth!$E$28))^growth!$E$29</f>
        <v>25.4223595705142</v>
      </c>
      <c r="HP12" s="146">
        <f>growth!$E$27*(1-EXP(-HP7/growth!$E$28))^growth!$E$29</f>
        <v>25.635376937917517</v>
      </c>
      <c r="HQ12" s="146">
        <f>growth!$E$27*(1-EXP(-HQ7/growth!$E$28))^growth!$E$29</f>
        <v>25.848685191640854</v>
      </c>
      <c r="HR12" s="146">
        <f>growth!$E$27*(1-EXP(-HR7/growth!$E$28))^growth!$E$29</f>
        <v>26.062276538675707</v>
      </c>
      <c r="HS12" s="146">
        <f>growth!$E$27*(1-EXP(-HS7/growth!$E$28))^growth!$E$29</f>
        <v>26.276143232979578</v>
      </c>
      <c r="HT12" s="146">
        <f>growth!$E$27*(1-EXP(-HT7/growth!$E$28))^growth!$E$29</f>
        <v>26.490277575661562</v>
      </c>
      <c r="HU12" s="146">
        <f>growth!$E$27*(1-EXP(-HU7/growth!$E$28))^growth!$E$29</f>
        <v>26.704671915157995</v>
      </c>
      <c r="HV12" s="146">
        <f>growth!$E$27*(1-EXP(-HV7/growth!$E$28))^growth!$E$29</f>
        <v>26.919318647398036</v>
      </c>
      <c r="HW12" s="146">
        <f>growth!$E$27*(1-EXP(-HW7/growth!$E$28))^growth!$E$29</f>
        <v>27.134210215959346</v>
      </c>
      <c r="HX12" s="146">
        <f>growth!$E$27*(1-EXP(-HX7/growth!$E$28))^growth!$E$29</f>
        <v>27.349339112214277</v>
      </c>
      <c r="HY12" s="146">
        <f>growth!$E$27*(1-EXP(-HY7/growth!$E$28))^growth!$E$29</f>
        <v>27.564697875466507</v>
      </c>
      <c r="HZ12" s="146">
        <f>growth!$E$27*(1-EXP(-HZ7/growth!$E$28))^growth!$E$29</f>
        <v>27.780279093078605</v>
      </c>
      <c r="IA12" s="146">
        <f>growth!$E$27*(1-EXP(-IA7/growth!$E$28))^growth!$E$29</f>
        <v>27.996075400590268</v>
      </c>
      <c r="IB12" s="146">
        <f>growth!$E$27*(1-EXP(-IB7/growth!$E$28))^growth!$E$29</f>
        <v>28.212079481827988</v>
      </c>
      <c r="IC12" s="146">
        <f>growth!$E$27*(1-EXP(-IC7/growth!$E$28))^growth!$E$29</f>
        <v>28.428284069005858</v>
      </c>
      <c r="ID12" s="146">
        <f>growth!$E$27*(1-EXP(-ID7/growth!$E$28))^growth!$E$29</f>
        <v>28.644681942817769</v>
      </c>
      <c r="IE12" s="146">
        <f>growth!$E$27*(1-EXP(-IE7/growth!$E$28))^growth!$E$29</f>
        <v>28.861265932521501</v>
      </c>
      <c r="IF12" s="146">
        <f>growth!$E$27*(1-EXP(-IF7/growth!$E$28))^growth!$E$29</f>
        <v>29.078028916014389</v>
      </c>
      <c r="IG12" s="146">
        <f>growth!$E$27*(1-EXP(-IG7/growth!$E$28))^growth!$E$29</f>
        <v>29.294963819901177</v>
      </c>
      <c r="IH12" s="146">
        <f>growth!$E$27*(1-EXP(-IH7/growth!$E$28))^growth!$E$29</f>
        <v>29.512063619553807</v>
      </c>
      <c r="II12" s="146">
        <f>growth!$E$27*(1-EXP(-II7/growth!$E$28))^growth!$E$29</f>
        <v>29.729321339163842</v>
      </c>
      <c r="IJ12" s="146">
        <f>growth!$E$27*(1-EXP(-IJ7/growth!$E$28))^growth!$E$29</f>
        <v>29.946730051786854</v>
      </c>
      <c r="IK12" s="146">
        <f>growth!$E$27*(1-EXP(-IK7/growth!$E$28))^growth!$E$29</f>
        <v>30.164282879380085</v>
      </c>
      <c r="IL12" s="146">
        <f>growth!$E$27*(1-EXP(-IL7/growth!$E$28))^growth!$E$29</f>
        <v>30.381972992832342</v>
      </c>
      <c r="IM12" s="146">
        <f>growth!$E$27*(1-EXP(-IM7/growth!$E$28))^growth!$E$29</f>
        <v>30.599793611987074</v>
      </c>
      <c r="IN12" s="146">
        <f>growth!$E$27*(1-EXP(-IN7/growth!$E$28))^growth!$E$29</f>
        <v>30.817738005658576</v>
      </c>
      <c r="IO12" s="146">
        <f>growth!$E$27*(1-EXP(-IO7/growth!$E$28))^growth!$E$29</f>
        <v>31.035799491641296</v>
      </c>
      <c r="IP12" s="146">
        <f>growth!$E$27*(1-EXP(-IP7/growth!$E$28))^growth!$E$29</f>
        <v>31.253971436712572</v>
      </c>
      <c r="IQ12" s="146">
        <f>growth!$E$27*(1-EXP(-IQ7/growth!$E$28))^growth!$E$29</f>
        <v>31.472247256628854</v>
      </c>
      <c r="IR12" s="146">
        <f>growth!$E$27*(1-EXP(-IR7/growth!$E$28))^growth!$E$29</f>
        <v>31.69062041611576</v>
      </c>
      <c r="IS12" s="146">
        <f>growth!$E$27*(1-EXP(-IS7/growth!$E$28))^growth!$E$29</f>
        <v>31.909084428851621</v>
      </c>
      <c r="IT12" s="146">
        <f>growth!$E$27*(1-EXP(-IT7/growth!$E$28))^growth!$E$29</f>
        <v>32.127632857445185</v>
      </c>
      <c r="IU12" s="146">
        <f>growth!$E$27*(1-EXP(-IU7/growth!$E$28))^growth!$E$29</f>
        <v>32.346259313407394</v>
      </c>
      <c r="IV12" s="146">
        <f>growth!$E$27*(1-EXP(-IV7/growth!$E$28))^growth!$E$29</f>
        <v>32.564957457117195</v>
      </c>
      <c r="IW12" s="146">
        <f>growth!$E$27*(1-EXP(-IW7/growth!$E$28))^growth!$E$29</f>
        <v>32.78372099778182</v>
      </c>
      <c r="IX12" s="146">
        <f>growth!$E$27*(1-EXP(-IX7/growth!$E$28))^growth!$E$29</f>
        <v>33.002543693391466</v>
      </c>
      <c r="IY12" s="146">
        <f>growth!$E$27*(1-EXP(-IY7/growth!$E$28))^growth!$E$29</f>
        <v>33.221419350668526</v>
      </c>
      <c r="IZ12" s="146">
        <f>growth!$E$27*(1-EXP(-IZ7/growth!$E$28))^growth!$E$29</f>
        <v>33.440341825011586</v>
      </c>
      <c r="JA12" s="146">
        <f>growth!$E$27*(1-EXP(-JA7/growth!$E$28))^growth!$E$29</f>
        <v>33.65930502043426</v>
      </c>
      <c r="JB12" s="146">
        <f>growth!$E$27*(1-EXP(-JB7/growth!$E$28))^growth!$E$29</f>
        <v>33.878302889498748</v>
      </c>
      <c r="JC12" s="146">
        <f>growth!$E$27*(1-EXP(-JC7/growth!$E$28))^growth!$E$29</f>
        <v>34.097329433244759</v>
      </c>
      <c r="JD12" s="146">
        <f>growth!$E$27*(1-EXP(-JD7/growth!$E$28))^growth!$E$29</f>
        <v>34.316378701113486</v>
      </c>
      <c r="JE12" s="146">
        <f>growth!$E$27*(1-EXP(-JE7/growth!$E$28))^growth!$E$29</f>
        <v>34.535444790866663</v>
      </c>
      <c r="JF12" s="146">
        <f>growth!$E$27*(1-EXP(-JF7/growth!$E$28))^growth!$E$29</f>
        <v>34.754521848501462</v>
      </c>
      <c r="JG12" s="146">
        <f>growth!$E$27*(1-EXP(-JG7/growth!$E$28))^growth!$E$29</f>
        <v>34.973604068160284</v>
      </c>
      <c r="JH12" s="146">
        <f>growth!$E$27*(1-EXP(-JH7/growth!$E$28))^growth!$E$29</f>
        <v>35.192685692036868</v>
      </c>
      <c r="JI12" s="146">
        <f>growth!$E$27*(1-EXP(-JI7/growth!$E$28))^growth!$E$29</f>
        <v>35.41176101027753</v>
      </c>
      <c r="JJ12" s="146">
        <f>growth!$E$27*(1-EXP(-JJ7/growth!$E$28))^growth!$E$29</f>
        <v>35.630824360878535</v>
      </c>
      <c r="JK12" s="146">
        <f>growth!$E$27*(1-EXP(-JK7/growth!$E$28))^growth!$E$29</f>
        <v>35.849870129579251</v>
      </c>
      <c r="JL12" s="146">
        <f>growth!$E$27*(1-EXP(-JL7/growth!$E$28))^growth!$E$29</f>
        <v>36.068892749751491</v>
      </c>
      <c r="JM12" s="146">
        <f>growth!$E$27*(1-EXP(-JM7/growth!$E$28))^growth!$E$29</f>
        <v>36.28788670228483</v>
      </c>
      <c r="JN12" s="146">
        <f>growth!$E$27*(1-EXP(-JN7/growth!$E$28))^growth!$E$29</f>
        <v>36.506846515468069</v>
      </c>
      <c r="JO12" s="146">
        <f>growth!$E$27*(1-EXP(-JO7/growth!$E$28))^growth!$E$29</f>
        <v>36.725766764867366</v>
      </c>
      <c r="JP12" s="146">
        <f>growth!$E$27*(1-EXP(-JP7/growth!$E$28))^growth!$E$29</f>
        <v>36.944642073200392</v>
      </c>
      <c r="JQ12" s="146">
        <f>growth!$E$27*(1-EXP(-JQ7/growth!$E$28))^growth!$E$29</f>
        <v>37.163467110207137</v>
      </c>
      <c r="JR12" s="146">
        <f>growth!$E$27*(1-EXP(-JR7/growth!$E$28))^growth!$E$29</f>
        <v>37.382236592517444</v>
      </c>
      <c r="JS12" s="146">
        <f>growth!$E$27*(1-EXP(-JS7/growth!$E$28))^growth!$E$29</f>
        <v>37.600945283514946</v>
      </c>
      <c r="JT12" s="146">
        <f>growth!$E$27*(1-EXP(-JT7/growth!$E$28))^growth!$E$29</f>
        <v>37.819587993197999</v>
      </c>
      <c r="JU12" s="146">
        <f>growth!$E$27*(1-EXP(-JU7/growth!$E$28))^growth!$E$29</f>
        <v>38.038159578037472</v>
      </c>
      <c r="JV12" s="146">
        <f>growth!$E$27*(1-EXP(-JV7/growth!$E$28))^growth!$E$29</f>
        <v>38.256654940831311</v>
      </c>
      <c r="JW12" s="146">
        <f>growth!$E$27*(1-EXP(-JW7/growth!$E$28))^growth!$E$29</f>
        <v>38.475069030556199</v>
      </c>
      <c r="JX12" s="146">
        <f>growth!$E$27*(1-EXP(-JX7/growth!$E$28))^growth!$E$29</f>
        <v>38.693396842216387</v>
      </c>
      <c r="JY12" s="146">
        <f>growth!$E$27*(1-EXP(-JY7/growth!$E$28))^growth!$E$29</f>
        <v>38.911633416689789</v>
      </c>
      <c r="JZ12" s="146">
        <f>growth!$E$27*(1-EXP(-JZ7/growth!$E$28))^growth!$E$29</f>
        <v>39.129773840570969</v>
      </c>
      <c r="KA12" s="146">
        <f>growth!$E$27*(1-EXP(-KA7/growth!$E$28))^growth!$E$29</f>
        <v>39.347813246011967</v>
      </c>
      <c r="KB12" s="146">
        <f>growth!$E$27*(1-EXP(-KB7/growth!$E$28))^growth!$E$29</f>
        <v>39.565746810560206</v>
      </c>
      <c r="KC12" s="146">
        <f>growth!$E$27*(1-EXP(-KC7/growth!$E$28))^growth!$E$29</f>
        <v>39.783569756993927</v>
      </c>
      <c r="KD12" s="146">
        <f>growth!$E$27*(1-EXP(-KD7/growth!$E$28))^growth!$E$29</f>
        <v>40.001277353155402</v>
      </c>
      <c r="KE12" s="146">
        <f>growth!$E$27*(1-EXP(-KE7/growth!$E$28))^growth!$E$29</f>
        <v>40.218864911781495</v>
      </c>
      <c r="KF12" s="146">
        <f>growth!$E$27*(1-EXP(-KF7/growth!$E$28))^growth!$E$29</f>
        <v>40.436327790332221</v>
      </c>
      <c r="KG12" s="146">
        <f>growth!$E$27*(1-EXP(-KG7/growth!$E$28))^growth!$E$29</f>
        <v>40.653661390816815</v>
      </c>
      <c r="KH12" s="146">
        <f>growth!$E$27*(1-EXP(-KH7/growth!$E$28))^growth!$E$29</f>
        <v>40.870861159617938</v>
      </c>
      <c r="KI12" s="146">
        <f>growth!$E$27*(1-EXP(-KI7/growth!$E$28))^growth!$E$29</f>
        <v>41.087922587313464</v>
      </c>
      <c r="KJ12" s="146">
        <f>growth!$E$27*(1-EXP(-KJ7/growth!$E$28))^growth!$E$29</f>
        <v>41.304841208496562</v>
      </c>
      <c r="KK12" s="146">
        <f>growth!$E$27*(1-EXP(-KK7/growth!$E$28))^growth!$E$29</f>
        <v>41.521612601593716</v>
      </c>
      <c r="KL12" s="146">
        <f>growth!$E$27*(1-EXP(-KL7/growth!$E$28))^growth!$E$29</f>
        <v>41.738232388680728</v>
      </c>
      <c r="KM12" s="146">
        <f>growth!$E$27*(1-EXP(-KM7/growth!$E$28))^growth!$E$29</f>
        <v>41.954696235297085</v>
      </c>
      <c r="KN12" s="146">
        <f>growth!$E$27*(1-EXP(-KN7/growth!$E$28))^growth!$E$29</f>
        <v>42.170999850258504</v>
      </c>
      <c r="KO12" s="146">
        <f>growth!$E$27*(1-EXP(-KO7/growth!$E$28))^growth!$E$29</f>
        <v>42.387138985467679</v>
      </c>
      <c r="KP12" s="146">
        <f>growth!$E$27*(1-EXP(-KP7/growth!$E$28))^growth!$E$29</f>
        <v>42.603109435723518</v>
      </c>
      <c r="KQ12" s="146">
        <f>growth!$E$27*(1-EXP(-KQ7/growth!$E$28))^growth!$E$29</f>
        <v>42.818907038528828</v>
      </c>
      <c r="KR12" s="146">
        <f>growth!$E$27*(1-EXP(-KR7/growth!$E$28))^growth!$E$29</f>
        <v>43.034527673896086</v>
      </c>
      <c r="KS12" s="146">
        <f>growth!$E$27*(1-EXP(-KS7/growth!$E$28))^growth!$E$29</f>
        <v>43.249967264152403</v>
      </c>
      <c r="KT12" s="146">
        <f>growth!$E$27*(1-EXP(-KT7/growth!$E$28))^growth!$E$29</f>
        <v>43.46522177374252</v>
      </c>
      <c r="KU12" s="146">
        <f>growth!$E$27*(1-EXP(-KU7/growth!$E$28))^growth!$E$29</f>
        <v>43.680287209030539</v>
      </c>
      <c r="KV12" s="146">
        <f>growth!$E$27*(1-EXP(-KV7/growth!$E$28))^growth!$E$29</f>
        <v>43.895159618100649</v>
      </c>
      <c r="KW12" s="146">
        <f>growth!$E$27*(1-EXP(-KW7/growth!$E$28))^growth!$E$29</f>
        <v>44.109835090556246</v>
      </c>
      <c r="KX12" s="146">
        <f>growth!$E$27*(1-EXP(-KX7/growth!$E$28))^growth!$E$29</f>
        <v>44.324309757317906</v>
      </c>
      <c r="KY12" s="146">
        <f>growth!$E$27*(1-EXP(-KY7/growth!$E$28))^growth!$E$29</f>
        <v>44.538579790420535</v>
      </c>
      <c r="KZ12" s="146">
        <f>growth!$E$27*(1-EXP(-KZ7/growth!$E$28))^growth!$E$29</f>
        <v>44.752641402808855</v>
      </c>
      <c r="LA12" s="146">
        <f>growth!$E$27*(1-EXP(-LA7/growth!$E$28))^growth!$E$29</f>
        <v>44.96649084813231</v>
      </c>
      <c r="LB12" s="146">
        <f>growth!$E$27*(1-EXP(-LB7/growth!$E$28))^growth!$E$29</f>
        <v>45.180124420538789</v>
      </c>
      <c r="LC12" s="146">
        <f>growth!$E$27*(1-EXP(-LC7/growth!$E$28))^growth!$E$29</f>
        <v>45.393538454467276</v>
      </c>
      <c r="LD12" s="146">
        <f>growth!$E$27*(1-EXP(-LD7/growth!$E$28))^growth!$E$29</f>
        <v>45.606729324439719</v>
      </c>
      <c r="LE12" s="146">
        <f>growth!$E$27*(1-EXP(-LE7/growth!$E$28))^growth!$E$29</f>
        <v>45.819693444852106</v>
      </c>
      <c r="LF12" s="146">
        <f>growth!$E$27*(1-EXP(-LF7/growth!$E$28))^growth!$E$29</f>
        <v>46.032427269764462</v>
      </c>
      <c r="LG12" s="146">
        <f>growth!$E$27*(1-EXP(-LG7/growth!$E$28))^growth!$E$29</f>
        <v>46.244927292690193</v>
      </c>
      <c r="LH12" s="146">
        <f>growth!$E$27*(1-EXP(-LH7/growth!$E$28))^growth!$E$29</f>
        <v>46.457190046384838</v>
      </c>
      <c r="LI12" s="146">
        <f>growth!$E$27*(1-EXP(-LI7/growth!$E$28))^growth!$E$29</f>
        <v>46.669212102633821</v>
      </c>
      <c r="LJ12" s="146">
        <f>growth!$E$27*(1-EXP(-LJ7/growth!$E$28))^growth!$E$29</f>
        <v>46.880990072039744</v>
      </c>
      <c r="LK12" s="146">
        <f>growth!$E$27*(1-EXP(-LK7/growth!$E$28))^growth!$E$29</f>
        <v>47.092520603809035</v>
      </c>
      <c r="LL12" s="146">
        <f>growth!$E$27*(1-EXP(-LL7/growth!$E$28))^growth!$E$29</f>
        <v>47.30380038553789</v>
      </c>
      <c r="LM12" s="146">
        <f>growth!$E$27*(1-EXP(-LM7/growth!$E$28))^growth!$E$29</f>
        <v>47.514826142997897</v>
      </c>
      <c r="LN12" s="146">
        <f>growth!$E$27*(1-EXP(-LN7/growth!$E$28))^growth!$E$29</f>
        <v>47.725594639920985</v>
      </c>
      <c r="LO12" s="146">
        <f>growth!$E$27*(1-EXP(-LO7/growth!$E$28))^growth!$E$29</f>
        <v>47.936102677783822</v>
      </c>
      <c r="LP12" s="146">
        <f>growth!$E$27*(1-EXP(-LP7/growth!$E$28))^growth!$E$29</f>
        <v>48.146347095592041</v>
      </c>
      <c r="LQ12" s="146">
        <f>growth!$E$27*(1-EXP(-LQ7/growth!$E$28))^growth!$E$29</f>
        <v>48.356324769663921</v>
      </c>
      <c r="LR12" s="146">
        <f>growth!$E$27*(1-EXP(-LR7/growth!$E$28))^growth!$E$29</f>
        <v>48.566032613413562</v>
      </c>
      <c r="LS12" s="146">
        <f>growth!$E$27*(1-EXP(-LS7/growth!$E$28))^growth!$E$29</f>
        <v>48.775467577134073</v>
      </c>
      <c r="LT12" s="146">
        <f>growth!$E$27*(1-EXP(-LT7/growth!$E$28))^growth!$E$29</f>
        <v>48.98462664778009</v>
      </c>
      <c r="LU12" s="146">
        <f>growth!$E$27*(1-EXP(-LU7/growth!$E$28))^growth!$E$29</f>
        <v>49.19350684875041</v>
      </c>
      <c r="LV12" s="146">
        <f>growth!$E$27*(1-EXP(-LV7/growth!$E$28))^growth!$E$29</f>
        <v>49.402105239669915</v>
      </c>
      <c r="LW12" s="146">
        <f>growth!$E$27*(1-EXP(-LW7/growth!$E$28))^growth!$E$29</f>
        <v>49.610418916171923</v>
      </c>
      <c r="LX12" s="146">
        <f>growth!$E$27*(1-EXP(-LX7/growth!$E$28))^growth!$E$29</f>
        <v>49.818445009679657</v>
      </c>
      <c r="LY12" s="146">
        <f>growth!$E$27*(1-EXP(-LY7/growth!$E$28))^growth!$E$29</f>
        <v>50.026180687188251</v>
      </c>
      <c r="LZ12" s="146">
        <f>growth!$E$27*(1-EXP(-LZ7/growth!$E$28))^growth!$E$29</f>
        <v>50.233623151046118</v>
      </c>
      <c r="MA12" s="146">
        <f>growth!$E$27*(1-EXP(-MA7/growth!$E$28))^growth!$E$29</f>
        <v>50.44076963873659</v>
      </c>
      <c r="MB12" s="146">
        <f>growth!$E$27*(1-EXP(-MB7/growth!$E$28))^growth!$E$29</f>
        <v>50.647617422659295</v>
      </c>
      <c r="MC12" s="146">
        <f>growth!$E$27*(1-EXP(-MC7/growth!$E$28))^growth!$E$29</f>
        <v>50.854163809911576</v>
      </c>
      <c r="MD12" s="146">
        <f>growth!$E$27*(1-EXP(-MD7/growth!$E$28))^growth!$E$29</f>
        <v>51.060406142069986</v>
      </c>
      <c r="ME12" s="146">
        <f>growth!$E$27*(1-EXP(-ME7/growth!$E$28))^growth!$E$29</f>
        <v>51.266341794971645</v>
      </c>
      <c r="MF12" s="146">
        <f>growth!$E$27*(1-EXP(-MF7/growth!$E$28))^growth!$E$29</f>
        <v>51.471968178495835</v>
      </c>
      <c r="MG12" s="146">
        <f>growth!$E$27*(1-EXP(-MG7/growth!$E$28))^growth!$E$29</f>
        <v>51.677282736345596</v>
      </c>
      <c r="MH12" s="146">
        <f>growth!$E$27*(1-EXP(-MH7/growth!$E$28))^growth!$E$29</f>
        <v>51.88228294582931</v>
      </c>
      <c r="MI12" s="146">
        <f>growth!$E$27*(1-EXP(-MI7/growth!$E$28))^growth!$E$29</f>
        <v>52.086966317642634</v>
      </c>
      <c r="MJ12" s="146">
        <f>growth!$E$27*(1-EXP(-MJ7/growth!$E$28))^growth!$E$29</f>
        <v>52.291330395650483</v>
      </c>
      <c r="MK12" s="146">
        <f>growth!$E$27*(1-EXP(-MK7/growth!$E$28))^growth!$E$29</f>
        <v>52.495372756668992</v>
      </c>
      <c r="ML12" s="146">
        <f>growth!$E$27*(1-EXP(-ML7/growth!$E$28))^growth!$E$29</f>
        <v>52.699091010248161</v>
      </c>
      <c r="MM12" s="146">
        <f>growth!$E$27*(1-EXP(-MM7/growth!$E$28))^growth!$E$29</f>
        <v>52.902482798454223</v>
      </c>
      <c r="MN12" s="146">
        <f>growth!$E$27*(1-EXP(-MN7/growth!$E$28))^growth!$E$29</f>
        <v>53.105545795652432</v>
      </c>
      <c r="MO12" s="146">
        <f>growth!$E$27*(1-EXP(-MO7/growth!$E$28))^growth!$E$29</f>
        <v>53.308277708290277</v>
      </c>
      <c r="MP12" s="146">
        <f>growth!$E$27*(1-EXP(-MP7/growth!$E$28))^growth!$E$29</f>
        <v>53.510676274680783</v>
      </c>
      <c r="MQ12" s="146">
        <f>growth!$E$27*(1-EXP(-MQ7/growth!$E$28))^growth!$E$29</f>
        <v>53.712739264786059</v>
      </c>
      <c r="MR12" s="146">
        <f>growth!$E$27*(1-EXP(-MR7/growth!$E$28))^growth!$E$29</f>
        <v>53.914464480001492</v>
      </c>
      <c r="MS12" s="146">
        <f>growth!$E$27*(1-EXP(-MS7/growth!$E$28))^growth!$E$29</f>
        <v>54.115849752939951</v>
      </c>
      <c r="MT12" s="146">
        <f>growth!$E$27*(1-EXP(-MT7/growth!$E$28))^growth!$E$29</f>
        <v>54.316892947216417</v>
      </c>
      <c r="MU12" s="146">
        <f>growth!$E$27*(1-EXP(-MU7/growth!$E$28))^growth!$E$29</f>
        <v>54.517591957233257</v>
      </c>
      <c r="MV12" s="146">
        <f>growth!$E$27*(1-EXP(-MV7/growth!$E$28))^growth!$E$29</f>
        <v>54.717944707965479</v>
      </c>
      <c r="MW12" s="146">
        <f>growth!$E$27*(1-EXP(-MW7/growth!$E$28))^growth!$E$29</f>
        <v>54.917949154746744</v>
      </c>
      <c r="MX12" s="146">
        <f>growth!$E$27*(1-EXP(-MX7/growth!$E$28))^growth!$E$29</f>
        <v>55.117603283055665</v>
      </c>
      <c r="MY12" s="146">
        <f>growth!$E$27*(1-EXP(-MY7/growth!$E$28))^growth!$E$29</f>
        <v>55.316905108302606</v>
      </c>
      <c r="MZ12" s="146">
        <f>growth!$E$27*(1-EXP(-MZ7/growth!$E$28))^growth!$E$29</f>
        <v>55.515852675616792</v>
      </c>
      <c r="NA12" s="146">
        <f>growth!$E$27*(1-EXP(-NA7/growth!$E$28))^growth!$E$29</f>
        <v>55.714444059634204</v>
      </c>
      <c r="NB12" s="146">
        <f>growth!$E$27*(1-EXP(-NB7/growth!$E$28))^growth!$E$29</f>
        <v>55.912677364285663</v>
      </c>
      <c r="NC12" s="146">
        <f>growth!$E$27*(1-EXP(-NC7/growth!$E$28))^growth!$E$29</f>
        <v>56.11055072258565</v>
      </c>
      <c r="ND12" s="146">
        <f>growth!$E$27*(1-EXP(-ND7/growth!$E$28))^growth!$E$29</f>
        <v>56.308062296421511</v>
      </c>
      <c r="NE12" s="146">
        <f>growth!$E$27*(1-EXP(-NE7/growth!$E$28))^growth!$E$29</f>
        <v>56.505210276343227</v>
      </c>
      <c r="NF12" s="146">
        <f>growth!$E$27*(1-EXP(-NF7/growth!$E$28))^growth!$E$29</f>
        <v>56.701992881353831</v>
      </c>
      <c r="NG12" s="146">
        <f>growth!$E$27*(1-EXP(-NG7/growth!$E$28))^growth!$E$29</f>
        <v>56.898408358700372</v>
      </c>
      <c r="NH12" s="146">
        <f>growth!$E$27*(1-EXP(-NH7/growth!$E$28))^growth!$E$29</f>
        <v>57.094454983665301</v>
      </c>
      <c r="NI12" s="146">
        <f>growth!$E$27*(1-EXP(-NI7/growth!$E$28))^growth!$E$29</f>
        <v>57.29013105935865</v>
      </c>
      <c r="NJ12" s="146">
        <f>growth!$E$27*(1-EXP(-NJ7/growth!$E$28))^growth!$E$29</f>
        <v>57.485434916510755</v>
      </c>
      <c r="NK12" s="146">
        <f>growth!$E$27*(1-EXP(-NK7/growth!$E$28))^growth!$E$29</f>
        <v>57.680364913265556</v>
      </c>
      <c r="NL12" s="146">
        <f>growth!$E$27*(1-EXP(-NL7/growth!$E$28))^growth!$E$29</f>
        <v>57.874919434974622</v>
      </c>
      <c r="NM12" s="146">
        <f>growth!$E$27*(1-EXP(-NM7/growth!$E$28))^growth!$E$29</f>
        <v>58.069096893991642</v>
      </c>
      <c r="NN12" s="146">
        <f>growth!$E$27*(1-EXP(-NN7/growth!$E$28))^growth!$E$29</f>
        <v>58.262895729467822</v>
      </c>
      <c r="NO12" s="146">
        <f>growth!$E$27*(1-EXP(-NO7/growth!$E$28))^growth!$E$29</f>
        <v>58.456314407147758</v>
      </c>
      <c r="NP12" s="146">
        <f>growth!$E$27*(1-EXP(-NP7/growth!$E$28))^growth!$E$29</f>
        <v>58.649351419166102</v>
      </c>
      <c r="NQ12" s="146">
        <f>growth!$E$27*(1-EXP(-NQ7/growth!$E$28))^growth!$E$29</f>
        <v>58.842005283844678</v>
      </c>
      <c r="NR12" s="146">
        <f>growth!$E$27*(1-EXP(-NR7/growth!$E$28))^growth!$E$29</f>
        <v>59.034274545490774</v>
      </c>
      <c r="NS12" s="146">
        <f>growth!$E$27*(1-EXP(-NS7/growth!$E$28))^growth!$E$29</f>
        <v>59.226157774195549</v>
      </c>
      <c r="NT12" s="146">
        <f>growth!$E$27*(1-EXP(-NT7/growth!$E$28))^growth!$E$29</f>
        <v>59.417653565633735</v>
      </c>
      <c r="NU12" s="146">
        <f>growth!$E$27*(1-EXP(-NU7/growth!$E$28))^growth!$E$29</f>
        <v>59.608760540863457</v>
      </c>
      <c r="NV12" s="146">
        <f>growth!$E$27*(1-EXP(-NV7/growth!$E$28))^growth!$E$29</f>
        <v>59.799477346127482</v>
      </c>
      <c r="NW12" s="146">
        <f>growth!$E$27*(1-EXP(-NW7/growth!$E$28))^growth!$E$29</f>
        <v>59.989802652654568</v>
      </c>
      <c r="NX12" s="146">
        <f>growth!$E$27*(1-EXP(-NX7/growth!$E$28))^growth!$E$29</f>
        <v>60.179735156461923</v>
      </c>
      <c r="NY12" s="146">
        <f>growth!$E$27*(1-EXP(-NY7/growth!$E$28))^growth!$E$29</f>
        <v>60.369273578158385</v>
      </c>
      <c r="NZ12" s="146">
        <f>growth!$E$27*(1-EXP(-NZ7/growth!$E$28))^growth!$E$29</f>
        <v>60.558416662748272</v>
      </c>
      <c r="OA12" s="146">
        <f>growth!$E$27*(1-EXP(-OA7/growth!$E$28))^growth!$E$29</f>
        <v>60.747163179436143</v>
      </c>
      <c r="OB12" s="146">
        <f>growth!$E$27*(1-EXP(-OB7/growth!$E$28))^growth!$E$29</f>
        <v>60.935511921432145</v>
      </c>
      <c r="OC12" s="146">
        <f>growth!$E$27*(1-EXP(-OC7/growth!$E$28))^growth!$E$29</f>
        <v>61.123461705758373</v>
      </c>
      <c r="OD12" s="146">
        <f>growth!$E$27*(1-EXP(-OD7/growth!$E$28))^growth!$E$29</f>
        <v>61.311011373055813</v>
      </c>
      <c r="OE12" s="146">
        <f>growth!$E$27*(1-EXP(-OE7/growth!$E$28))^growth!$E$29</f>
        <v>61.498159787392389</v>
      </c>
      <c r="OF12" s="146">
        <f>growth!$E$27*(1-EXP(-OF7/growth!$E$28))^growth!$E$29</f>
        <v>61.684905836071387</v>
      </c>
      <c r="OG12" s="146">
        <f>growth!$E$27*(1-EXP(-OG7/growth!$E$28))^growth!$E$29</f>
        <v>61.87124842944111</v>
      </c>
      <c r="OH12" s="146">
        <f>growth!$E$27*(1-EXP(-OH7/growth!$E$28))^growth!$E$29</f>
        <v>62.057186500705093</v>
      </c>
      <c r="OI12" s="146">
        <f>growth!$E$27*(1-EXP(-OI7/growth!$E$28))^growth!$E$29</f>
        <v>62.242719005733242</v>
      </c>
      <c r="OJ12" s="146">
        <f>growth!$E$27*(1-EXP(-OJ7/growth!$E$28))^growth!$E$29</f>
        <v>62.427844922873923</v>
      </c>
      <c r="OK12" s="146">
        <f>growth!$E$27*(1-EXP(-OK7/growth!$E$28))^growth!$E$29</f>
        <v>62.612563252766577</v>
      </c>
      <c r="OL12" s="146">
        <f>growth!$E$27*(1-EXP(-OL7/growth!$E$28))^growth!$E$29</f>
        <v>62.796873018155424</v>
      </c>
      <c r="OM12" s="146">
        <f>growth!$E$27*(1-EXP(-OM7/growth!$E$28))^growth!$E$29</f>
        <v>62.980773263704094</v>
      </c>
      <c r="ON12" s="146">
        <f>growth!$E$27*(1-EXP(-ON7/growth!$E$28))^growth!$E$29</f>
        <v>63.1642630558107</v>
      </c>
      <c r="OO12" s="146">
        <f>growth!$E$27*(1-EXP(-OO7/growth!$E$28))^growth!$E$29</f>
        <v>63.34734148242439</v>
      </c>
      <c r="OP12" s="146">
        <f>growth!$E$27*(1-EXP(-OP7/growth!$E$28))^growth!$E$29</f>
        <v>63.530007652862089</v>
      </c>
      <c r="OQ12" s="146">
        <f>growth!$E$27*(1-EXP(-OQ7/growth!$E$28))^growth!$E$29</f>
        <v>63.712260697626668</v>
      </c>
      <c r="OR12" s="146">
        <f>growth!$E$27*(1-EXP(-OR7/growth!$E$28))^growth!$E$29</f>
        <v>63.894099768225558</v>
      </c>
      <c r="OS12" s="146">
        <f>growth!$E$27*(1-EXP(-OS7/growth!$E$28))^growth!$E$29</f>
        <v>64.075524036990629</v>
      </c>
      <c r="OT12" s="146">
        <f>growth!$E$27*(1-EXP(-OT7/growth!$E$28))^growth!$E$29</f>
        <v>64.256532696898532</v>
      </c>
      <c r="OU12" s="146">
        <f>growth!$E$27*(1-EXP(-OU7/growth!$E$28))^growth!$E$29</f>
        <v>64.4371249613923</v>
      </c>
      <c r="OV12" s="146">
        <f>growth!$E$27*(1-EXP(-OV7/growth!$E$28))^growth!$E$29</f>
        <v>64.617300064203548</v>
      </c>
      <c r="OW12" s="146">
        <f>growth!$E$27*(1-EXP(-OW7/growth!$E$28))^growth!$E$29</f>
        <v>64.797057259175816</v>
      </c>
      <c r="OX12" s="146">
        <f>growth!$E$27*(1-EXP(-OX7/growth!$E$28))^growth!$E$29</f>
        <v>64.97639582008847</v>
      </c>
      <c r="OY12" s="146">
        <f>growth!$E$27*(1-EXP(-OY7/growth!$E$28))^growth!$E$29</f>
        <v>65.155315040481824</v>
      </c>
      <c r="OZ12" s="146">
        <f>growth!$E$27*(1-EXP(-OZ7/growth!$E$28))^growth!$E$29</f>
        <v>65.333814233483082</v>
      </c>
      <c r="PA12" s="146">
        <f>growth!$E$27*(1-EXP(-PA7/growth!$E$28))^growth!$E$29</f>
        <v>65.511892731632841</v>
      </c>
      <c r="PB12" s="146">
        <f>growth!$E$27*(1-EXP(-PB7/growth!$E$28))^growth!$E$29</f>
        <v>65.689549886713095</v>
      </c>
      <c r="PC12" s="146">
        <f>growth!$E$27*(1-EXP(-PC7/growth!$E$28))^growth!$E$29</f>
        <v>65.86678506957557</v>
      </c>
      <c r="PD12" s="146">
        <f>growth!$E$27*(1-EXP(-PD7/growth!$E$28))^growth!$E$29</f>
        <v>66.04359766997139</v>
      </c>
      <c r="PE12" s="146">
        <f>growth!$E$27*(1-EXP(-PE7/growth!$E$28))^growth!$E$29</f>
        <v>66.219987096381317</v>
      </c>
      <c r="PF12" s="146">
        <f>growth!$E$27*(1-EXP(-PF7/growth!$E$28))^growth!$E$29</f>
        <v>66.395952775847078</v>
      </c>
      <c r="PG12" s="146">
        <f>growth!$E$27*(1-EXP(-PG7/growth!$E$28))^growth!$E$29</f>
        <v>66.571494153803613</v>
      </c>
      <c r="PH12" s="146">
        <f>growth!$E$27*(1-EXP(-PH7/growth!$E$28))^growth!$E$29</f>
        <v>66.746610693912174</v>
      </c>
      <c r="PI12" s="146">
        <f>growth!$E$27*(1-EXP(-PI7/growth!$E$28))^growth!$E$29</f>
        <v>66.921301877894294</v>
      </c>
      <c r="PJ12" s="146">
        <f>growth!$E$27*(1-EXP(-PJ7/growth!$E$28))^growth!$E$29</f>
        <v>67.095567205366763</v>
      </c>
      <c r="PK12" s="146">
        <f>growth!$E$27*(1-EXP(-PK7/growth!$E$28))^growth!$E$29</f>
        <v>67.269406193677511</v>
      </c>
      <c r="PL12" s="146">
        <f>growth!$E$27*(1-EXP(-PL7/growth!$E$28))^growth!$E$29</f>
        <v>67.442818377742256</v>
      </c>
      <c r="PM12" s="146">
        <f>growth!$E$27*(1-EXP(-PM7/growth!$E$28))^growth!$E$29</f>
        <v>67.615803309882267</v>
      </c>
      <c r="PN12" s="146">
        <f>growth!$E$27*(1-EXP(-PN7/growth!$E$28))^growth!$E$29</f>
        <v>67.788360559662948</v>
      </c>
      <c r="PO12" s="146">
        <f>growth!$E$27*(1-EXP(-PO7/growth!$E$28))^growth!$E$29</f>
        <v>67.960489713733281</v>
      </c>
      <c r="PP12" s="146">
        <f>growth!$E$27*(1-EXP(-PP7/growth!$E$28))^growth!$E$29</f>
        <v>68.13219037566634</v>
      </c>
      <c r="PQ12" s="146">
        <f>growth!$E$27*(1-EXP(-PQ7/growth!$E$28))^growth!$E$29</f>
        <v>68.303462165800525</v>
      </c>
      <c r="PR12" s="146">
        <f>growth!$E$27*(1-EXP(-PR7/growth!$E$28))^growth!$E$29</f>
        <v>68.474304721081893</v>
      </c>
      <c r="PS12" s="146">
        <f>growth!$E$27*(1-EXP(-PS7/growth!$E$28))^growth!$E$29</f>
        <v>68.644717694907243</v>
      </c>
      <c r="PT12" s="146">
        <f>growth!$E$27*(1-EXP(-PT7/growth!$E$28))^growth!$E$29</f>
        <v>68.814700756968321</v>
      </c>
      <c r="PU12" s="146">
        <f>growth!$E$27*(1-EXP(-PU7/growth!$E$28))^growth!$E$29</f>
        <v>68.984253593096739</v>
      </c>
      <c r="PV12" s="146">
        <f>growth!$E$27*(1-EXP(-PV7/growth!$E$28))^growth!$E$29</f>
        <v>69.153375905109769</v>
      </c>
      <c r="PW12" s="146">
        <f>growth!$E$27*(1-EXP(-PW7/growth!$E$28))^growth!$E$29</f>
        <v>69.322067410657525</v>
      </c>
      <c r="PX12" s="146">
        <f>growth!$E$27*(1-EXP(-PX7/growth!$E$28))^growth!$E$29</f>
        <v>69.490327843070318</v>
      </c>
      <c r="PY12" s="146">
        <f>growth!$E$27*(1-EXP(-PY7/growth!$E$28))^growth!$E$29</f>
        <v>69.65815695120753</v>
      </c>
      <c r="PZ12" s="146">
        <f>growth!$E$27*(1-EXP(-PZ7/growth!$E$28))^growth!$E$29</f>
        <v>69.825554499307216</v>
      </c>
      <c r="QA12" s="146">
        <f>growth!$E$27*(1-EXP(-QA7/growth!$E$28))^growth!$E$29</f>
        <v>69.99252026683638</v>
      </c>
      <c r="QB12" s="146">
        <f>growth!$E$27*(1-EXP(-QB7/growth!$E$28))^growth!$E$29</f>
        <v>70.159054048342597</v>
      </c>
      <c r="QC12" s="146">
        <f>growth!$E$27*(1-EXP(-QC7/growth!$E$28))^growth!$E$29</f>
        <v>70.325155653306197</v>
      </c>
      <c r="QD12" s="146">
        <f>growth!$E$27*(1-EXP(-QD7/growth!$E$28))^growth!$E$29</f>
        <v>70.490824905993577</v>
      </c>
      <c r="QE12" s="146">
        <f>growth!$E$27*(1-EXP(-QE7/growth!$E$28))^growth!$E$29</f>
        <v>70.656061645311155</v>
      </c>
      <c r="QF12" s="146">
        <f>growth!$E$27*(1-EXP(-QF7/growth!$E$28))^growth!$E$29</f>
        <v>70.820865724660678</v>
      </c>
      <c r="QG12" s="146">
        <f>growth!$E$27*(1-EXP(-QG7/growth!$E$28))^growth!$E$29</f>
        <v>70.985237011794837</v>
      </c>
      <c r="QH12" s="146">
        <f>growth!$E$27*(1-EXP(-QH7/growth!$E$28))^growth!$E$29</f>
        <v>71.149175388674351</v>
      </c>
      <c r="QI12" s="146">
        <f>growth!$E$27*(1-EXP(-QI7/growth!$E$28))^growth!$E$29</f>
        <v>71.312680751325686</v>
      </c>
      <c r="QJ12" s="146">
        <f>growth!$E$27*(1-EXP(-QJ7/growth!$E$28))^growth!$E$29</f>
        <v>71.475753009699602</v>
      </c>
      <c r="QK12" s="146">
        <f>growth!$E$27*(1-EXP(-QK7/growth!$E$28))^growth!$E$29</f>
        <v>71.638392087530775</v>
      </c>
      <c r="QL12" s="146">
        <f>growth!$E$27*(1-EXP(-QL7/growth!$E$28))^growth!$E$29</f>
        <v>71.800597922198278</v>
      </c>
      <c r="QM12" s="146">
        <f>growth!$E$27*(1-EXP(-QM7/growth!$E$28))^growth!$E$29</f>
        <v>71.962370464586883</v>
      </c>
      <c r="QN12" s="146">
        <f>growth!$E$27*(1-EXP(-QN7/growth!$E$28))^growth!$E$29</f>
        <v>72.123709678949226</v>
      </c>
      <c r="QO12" s="146">
        <f>growth!$E$27*(1-EXP(-QO7/growth!$E$28))^growth!$E$29</f>
        <v>72.28461554276916</v>
      </c>
      <c r="QP12" s="146">
        <f>growth!$E$27*(1-EXP(-QP7/growth!$E$28))^growth!$E$29</f>
        <v>72.445088046625585</v>
      </c>
      <c r="QQ12" s="146">
        <f>growth!$E$27*(1-EXP(-QQ7/growth!$E$28))^growth!$E$29</f>
        <v>72.60512719405736</v>
      </c>
      <c r="QR12" s="146">
        <f>growth!$E$27*(1-EXP(-QR7/growth!$E$28))^growth!$E$29</f>
        <v>72.764733001429349</v>
      </c>
      <c r="QS12" s="146">
        <f>growth!$E$27*(1-EXP(-QS7/growth!$E$28))^growth!$E$29</f>
        <v>72.923905497798785</v>
      </c>
      <c r="QT12" s="146">
        <f>growth!$E$27*(1-EXP(-QT7/growth!$E$28))^growth!$E$29</f>
        <v>73.082644724783108</v>
      </c>
      <c r="QU12" s="146">
        <f>growth!$E$27*(1-EXP(-QU7/growth!$E$28))^growth!$E$29</f>
        <v>73.240950736428275</v>
      </c>
      <c r="QV12" s="146">
        <f>growth!$E$27*(1-EXP(-QV7/growth!$E$28))^growth!$E$29</f>
        <v>73.398823599078071</v>
      </c>
      <c r="QW12" s="146">
        <f>growth!$E$27*(1-EXP(-QW7/growth!$E$28))^growth!$E$29</f>
        <v>73.556263391244514</v>
      </c>
      <c r="QX12" s="146">
        <f>growth!$E$27*(1-EXP(-QX7/growth!$E$28))^growth!$E$29</f>
        <v>73.713270203478714</v>
      </c>
      <c r="QY12" s="146">
        <f>growth!$E$27*(1-EXP(-QY7/growth!$E$28))^growth!$E$29</f>
        <v>73.869844138242897</v>
      </c>
      <c r="QZ12" s="146">
        <f>growth!$E$27*(1-EXP(-QZ7/growth!$E$28))^growth!$E$29</f>
        <v>74.025985309783394</v>
      </c>
      <c r="RA12" s="146">
        <f>growth!$E$27*(1-EXP(-RA7/growth!$E$28))^growth!$E$29</f>
        <v>74.18169384400403</v>
      </c>
      <c r="RB12" s="146">
        <f>growth!$E$27*(1-EXP(-RB7/growth!$E$28))^growth!$E$29</f>
        <v>74.336969878340966</v>
      </c>
      <c r="RC12" s="146">
        <f>growth!$E$27*(1-EXP(-RC7/growth!$E$28))^growth!$E$29</f>
        <v>74.49181356163794</v>
      </c>
      <c r="RD12" s="146">
        <f>growth!$E$27*(1-EXP(-RD7/growth!$E$28))^growth!$E$29</f>
        <v>74.646225054022594</v>
      </c>
      <c r="RE12" s="146">
        <f>growth!$E$27*(1-EXP(-RE7/growth!$E$28))^growth!$E$29</f>
        <v>74.800204526783659</v>
      </c>
      <c r="RF12" s="146">
        <f>growth!$E$27*(1-EXP(-RF7/growth!$E$28))^growth!$E$29</f>
        <v>74.953752162248861</v>
      </c>
      <c r="RG12" s="146">
        <f>growth!$E$27*(1-EXP(-RG7/growth!$E$28))^growth!$E$29</f>
        <v>75.106868153663825</v>
      </c>
      <c r="RH12" s="146">
        <f>growth!$E$27*(1-EXP(-RH7/growth!$E$28))^growth!$E$29</f>
        <v>75.25955270507167</v>
      </c>
      <c r="RI12" s="146">
        <f>growth!$E$27*(1-EXP(-RI7/growth!$E$28))^growth!$E$29</f>
        <v>75.41180603119362</v>
      </c>
      <c r="RJ12" s="146">
        <f>growth!$E$27*(1-EXP(-RJ7/growth!$E$28))^growth!$E$29</f>
        <v>75.563628357310392</v>
      </c>
      <c r="RK12" s="146">
        <f>growth!$E$27*(1-EXP(-RK7/growth!$E$28))^growth!$E$29</f>
        <v>75.715019919144353</v>
      </c>
      <c r="RL12" s="146">
        <f>growth!$E$27*(1-EXP(-RL7/growth!$E$28))^growth!$E$29</f>
        <v>75.865980962742555</v>
      </c>
      <c r="RM12" s="146">
        <f>growth!$E$27*(1-EXP(-RM7/growth!$E$28))^growth!$E$29</f>
        <v>76.016511744360699</v>
      </c>
      <c r="RN12" s="146">
        <f>growth!$E$27*(1-EXP(-RN7/growth!$E$28))^growth!$E$29</f>
        <v>76.166612530347649</v>
      </c>
      <c r="RO12" s="146">
        <f>growth!$E$27*(1-EXP(-RO7/growth!$E$28))^growth!$E$29</f>
        <v>76.316283597031301</v>
      </c>
      <c r="RP12" s="146">
        <f>growth!$E$27*(1-EXP(-RP7/growth!$E$28))^growth!$E$29</f>
        <v>76.465525230604669</v>
      </c>
    </row>
    <row r="13" spans="1:495" ht="12.95" customHeight="1" x14ac:dyDescent="0.2">
      <c r="C13" s="21" t="s">
        <v>918</v>
      </c>
      <c r="D13" s="21" t="s">
        <v>395</v>
      </c>
      <c r="E13" s="146">
        <f t="shared" ref="E13:BP13" si="15">E12*(1-E10)</f>
        <v>8.5544570688243271E-6</v>
      </c>
      <c r="F13" s="146">
        <f t="shared" si="15"/>
        <v>6.8008465527976102E-5</v>
      </c>
      <c r="G13" s="146">
        <f t="shared" si="15"/>
        <v>2.2809679712868013E-4</v>
      </c>
      <c r="H13" s="146">
        <f t="shared" si="15"/>
        <v>5.3730357085554029E-4</v>
      </c>
      <c r="I13" s="146">
        <f t="shared" si="15"/>
        <v>1.0428839694930018E-3</v>
      </c>
      <c r="J13" s="146">
        <f t="shared" si="15"/>
        <v>1.7908856308893263E-3</v>
      </c>
      <c r="K13" s="146">
        <f t="shared" si="15"/>
        <v>2.8261697184418129E-3</v>
      </c>
      <c r="L13" s="146">
        <f t="shared" si="15"/>
        <v>4.192431675266812E-3</v>
      </c>
      <c r="M13" s="146">
        <f t="shared" si="15"/>
        <v>5.9322216664580707E-3</v>
      </c>
      <c r="N13" s="146">
        <f t="shared" si="15"/>
        <v>8.0869647137792496E-3</v>
      </c>
      <c r="O13" s="146">
        <f t="shared" si="15"/>
        <v>1.0696980527076586E-2</v>
      </c>
      <c r="P13" s="146">
        <f t="shared" si="15"/>
        <v>1.3801503036642727E-2</v>
      </c>
      <c r="Q13" s="146">
        <f t="shared" si="15"/>
        <v>1.7438699630704126E-2</v>
      </c>
      <c r="R13" s="146">
        <f t="shared" si="15"/>
        <v>2.1645690102150235E-2</v>
      </c>
      <c r="S13" s="146">
        <f t="shared" si="15"/>
        <v>2.6458565308565586E-2</v>
      </c>
      <c r="T13" s="146">
        <f t="shared" si="15"/>
        <v>3.1912405549575487E-2</v>
      </c>
      <c r="U13" s="146">
        <f t="shared" si="15"/>
        <v>3.8041298665456802E-2</v>
      </c>
      <c r="V13" s="146">
        <f t="shared" si="15"/>
        <v>4.4878357860917865E-2</v>
      </c>
      <c r="W13" s="146">
        <f t="shared" si="15"/>
        <v>5.2455739257894866E-2</v>
      </c>
      <c r="X13" s="146">
        <f t="shared" si="15"/>
        <v>6.080465918116422E-2</v>
      </c>
      <c r="Y13" s="146">
        <f t="shared" si="15"/>
        <v>6.9955411180516527E-2</v>
      </c>
      <c r="Z13" s="146">
        <f t="shared" si="15"/>
        <v>7.9937382793190237E-2</v>
      </c>
      <c r="AA13" s="146">
        <f t="shared" si="15"/>
        <v>9.0779072050210241E-2</v>
      </c>
      <c r="AB13" s="146">
        <f t="shared" si="15"/>
        <v>0.10250810373022921</v>
      </c>
      <c r="AC13" s="146">
        <f t="shared" si="15"/>
        <v>0.1151512453644276</v>
      </c>
      <c r="AD13" s="146">
        <f t="shared" si="15"/>
        <v>0.12873442299596394</v>
      </c>
      <c r="AE13" s="146">
        <f t="shared" si="15"/>
        <v>0.14328273669744057</v>
      </c>
      <c r="AF13" s="146">
        <f t="shared" si="15"/>
        <v>0.15882047584978901</v>
      </c>
      <c r="AG13" s="146">
        <f t="shared" si="15"/>
        <v>0.17537113418593711</v>
      </c>
      <c r="AH13" s="146">
        <f t="shared" si="15"/>
        <v>0.19295742460257786</v>
      </c>
      <c r="AI13" s="146">
        <f t="shared" si="15"/>
        <v>0.21160129374331518</v>
      </c>
      <c r="AJ13" s="146">
        <f t="shared" si="15"/>
        <v>0.23132393635640697</v>
      </c>
      <c r="AK13" s="146">
        <f t="shared" si="15"/>
        <v>0.25214580943030535</v>
      </c>
      <c r="AL13" s="146">
        <f t="shared" si="15"/>
        <v>0.27408664611012157</v>
      </c>
      <c r="AM13" s="146">
        <f t="shared" si="15"/>
        <v>0.29716546939812627</v>
      </c>
      <c r="AN13" s="146">
        <f t="shared" si="15"/>
        <v>0.32140060564134304</v>
      </c>
      <c r="AO13" s="146">
        <f t="shared" si="15"/>
        <v>0.34680969780924586</v>
      </c>
      <c r="AP13" s="146">
        <f t="shared" si="15"/>
        <v>0.37340971856454569</v>
      </c>
      <c r="AQ13" s="146">
        <f t="shared" si="15"/>
        <v>0.40121698312999765</v>
      </c>
      <c r="AR13" s="146">
        <f t="shared" si="15"/>
        <v>0.43024716195412716</v>
      </c>
      <c r="AS13" s="146">
        <f t="shared" si="15"/>
        <v>0.46051529317873102</v>
      </c>
      <c r="AT13" s="146">
        <f t="shared" si="15"/>
        <v>0.49203579491098115</v>
      </c>
      <c r="AU13" s="146">
        <f t="shared" si="15"/>
        <v>0.52482247730289744</v>
      </c>
      <c r="AV13" s="146">
        <f t="shared" si="15"/>
        <v>0.5588885544409441</v>
      </c>
      <c r="AW13" s="146">
        <f t="shared" si="15"/>
        <v>0.59424665604846327</v>
      </c>
      <c r="AX13" s="146">
        <f t="shared" si="15"/>
        <v>0.63090883900358596</v>
      </c>
      <c r="AY13" s="146">
        <f t="shared" si="15"/>
        <v>0.66888659867529388</v>
      </c>
      <c r="AZ13" s="146">
        <f t="shared" si="15"/>
        <v>0.70819088008020181</v>
      </c>
      <c r="BA13" s="146">
        <f t="shared" si="15"/>
        <v>0.74883208886263108</v>
      </c>
      <c r="BB13" s="146">
        <f t="shared" si="15"/>
        <v>0.79082010210050457</v>
      </c>
      <c r="BC13" s="146">
        <f t="shared" si="15"/>
        <v>0.83416427893956235</v>
      </c>
      <c r="BD13" s="146">
        <f t="shared" si="15"/>
        <v>0.87887347105833891</v>
      </c>
      <c r="BE13" s="146">
        <f t="shared" si="15"/>
        <v>0.92495603296635942</v>
      </c>
      <c r="BF13" s="146">
        <f t="shared" si="15"/>
        <v>0.97241983213791106</v>
      </c>
      <c r="BG13" s="146">
        <f t="shared" si="15"/>
        <v>1.0212722589837857</v>
      </c>
      <c r="BH13" s="146">
        <f t="shared" si="15"/>
        <v>1.0715202366633054</v>
      </c>
      <c r="BI13" s="146">
        <f t="shared" si="15"/>
        <v>1.1231702307389244</v>
      </c>
      <c r="BJ13" s="146">
        <f t="shared" si="15"/>
        <v>1.176228258675686</v>
      </c>
      <c r="BK13" s="146">
        <f t="shared" si="15"/>
        <v>1.2306998991877718</v>
      </c>
      <c r="BL13" s="146">
        <f t="shared" si="15"/>
        <v>1.2865903014343147</v>
      </c>
      <c r="BM13" s="146">
        <f t="shared" si="15"/>
        <v>1.343904194066716</v>
      </c>
      <c r="BN13" s="146">
        <f t="shared" si="15"/>
        <v>1.4026458941295432</v>
      </c>
      <c r="BO13" s="146">
        <f t="shared" si="15"/>
        <v>1.4628193158171579</v>
      </c>
      <c r="BP13" s="146">
        <f t="shared" si="15"/>
        <v>1.5244279790881745</v>
      </c>
      <c r="BQ13" s="146">
        <f t="shared" ref="BQ13:EB13" si="16">BQ12*(1-BQ10)</f>
        <v>1.587475018139777</v>
      </c>
      <c r="BR13" s="146">
        <f t="shared" si="16"/>
        <v>1.6519631897439422</v>
      </c>
      <c r="BS13" s="146">
        <f t="shared" si="16"/>
        <v>1.7178948814475761</v>
      </c>
      <c r="BT13" s="146">
        <f t="shared" si="16"/>
        <v>1.7852721196385259</v>
      </c>
      <c r="BU13" s="146">
        <f t="shared" si="16"/>
        <v>1.854096577479422</v>
      </c>
      <c r="BV13" s="146">
        <f t="shared" si="16"/>
        <v>1.9243695827112854</v>
      </c>
      <c r="BW13" s="146">
        <f t="shared" si="16"/>
        <v>1.9960921253287776</v>
      </c>
      <c r="BX13" s="146">
        <f t="shared" si="16"/>
        <v>2.0692648651289542</v>
      </c>
      <c r="BY13" s="146">
        <f t="shared" si="16"/>
        <v>2.1438881391354103</v>
      </c>
      <c r="BZ13" s="146">
        <f t="shared" si="16"/>
        <v>2.2199619688995957</v>
      </c>
      <c r="CA13" s="146">
        <f t="shared" si="16"/>
        <v>2.2974860676810884</v>
      </c>
      <c r="CB13" s="146">
        <f t="shared" si="16"/>
        <v>2.37645984750865</v>
      </c>
      <c r="CC13" s="146">
        <f t="shared" si="16"/>
        <v>2.4568824261237392</v>
      </c>
      <c r="CD13" s="146">
        <f t="shared" si="16"/>
        <v>2.5387526338082598</v>
      </c>
      <c r="CE13" s="146">
        <f t="shared" si="16"/>
        <v>2.6220690200981962</v>
      </c>
      <c r="CF13" s="146">
        <f t="shared" si="16"/>
        <v>2.7068298603848753</v>
      </c>
      <c r="CG13" s="146">
        <f t="shared" si="16"/>
        <v>2.7930331624053983</v>
      </c>
      <c r="CH13" s="146">
        <f t="shared" si="16"/>
        <v>2.8806766726240038</v>
      </c>
      <c r="CI13" s="146">
        <f t="shared" si="16"/>
        <v>2.9697578825058577</v>
      </c>
      <c r="CJ13" s="146">
        <f t="shared" si="16"/>
        <v>3.0602740346849182</v>
      </c>
      <c r="CK13" s="146">
        <f t="shared" si="16"/>
        <v>3.1522221290273933</v>
      </c>
      <c r="CL13" s="146">
        <f t="shared" si="16"/>
        <v>3.245598928592405</v>
      </c>
      <c r="CM13" s="146">
        <f t="shared" si="16"/>
        <v>3.3404009654912583</v>
      </c>
      <c r="CN13" s="146">
        <f t="shared" si="16"/>
        <v>3.4366245466469594</v>
      </c>
      <c r="CO13" s="146">
        <f t="shared" si="16"/>
        <v>3.5342657594553346</v>
      </c>
      <c r="CP13" s="146">
        <f t="shared" si="16"/>
        <v>3.6333204773492791</v>
      </c>
      <c r="CQ13" s="146">
        <f t="shared" si="16"/>
        <v>3.7337843652675535</v>
      </c>
      <c r="CR13" s="146">
        <f t="shared" si="16"/>
        <v>3.8356528850295617</v>
      </c>
      <c r="CS13" s="146">
        <f t="shared" si="16"/>
        <v>3.9389213006174426</v>
      </c>
      <c r="CT13" s="146">
        <f t="shared" si="16"/>
        <v>4.0435846833669586</v>
      </c>
      <c r="CU13" s="146">
        <f t="shared" si="16"/>
        <v>4.149637917068473</v>
      </c>
      <c r="CV13" s="146">
        <f t="shared" si="16"/>
        <v>4.2570757029793187</v>
      </c>
      <c r="CW13" s="146">
        <f t="shared" si="16"/>
        <v>4.3658925647490125</v>
      </c>
      <c r="CX13" s="146">
        <f t="shared" si="16"/>
        <v>4.4760828532584638</v>
      </c>
      <c r="CY13" s="146">
        <f t="shared" si="16"/>
        <v>4.5876407513745976</v>
      </c>
      <c r="CZ13" s="146">
        <f t="shared" si="16"/>
        <v>4.7005602786215333</v>
      </c>
      <c r="DA13" s="146">
        <f t="shared" si="16"/>
        <v>4.8148352957696918</v>
      </c>
      <c r="DB13" s="146">
        <f t="shared" si="16"/>
        <v>4.9304595093439723</v>
      </c>
      <c r="DC13" s="146">
        <f t="shared" si="16"/>
        <v>5.0474264760522605</v>
      </c>
      <c r="DD13" s="146">
        <f t="shared" si="16"/>
        <v>5.1657296071354564</v>
      </c>
      <c r="DE13" s="146">
        <f t="shared" si="16"/>
        <v>5.2853621726401947</v>
      </c>
      <c r="DF13" s="146">
        <f t="shared" si="16"/>
        <v>5.4063173056154223</v>
      </c>
      <c r="DG13" s="146">
        <f t="shared" si="16"/>
        <v>5.5285880062340107</v>
      </c>
      <c r="DH13" s="146">
        <f t="shared" si="16"/>
        <v>5.6521671458405169</v>
      </c>
      <c r="DI13" s="146">
        <f t="shared" si="16"/>
        <v>5.7770474709261794</v>
      </c>
      <c r="DJ13" s="146">
        <f t="shared" si="16"/>
        <v>5.9032216070323038</v>
      </c>
      <c r="DK13" s="146">
        <f t="shared" si="16"/>
        <v>6.0306820625831072</v>
      </c>
      <c r="DL13" s="146">
        <f t="shared" si="16"/>
        <v>6.1594212326490734</v>
      </c>
      <c r="DM13" s="146">
        <f t="shared" si="16"/>
        <v>6.2894314026418838</v>
      </c>
      <c r="DN13" s="146">
        <f t="shared" si="16"/>
        <v>6.4207047519420053</v>
      </c>
      <c r="DO13" s="146">
        <f t="shared" si="16"/>
        <v>6.5532333574598631</v>
      </c>
      <c r="DP13" s="146">
        <f t="shared" si="16"/>
        <v>6.6870091971317445</v>
      </c>
      <c r="DQ13" s="146">
        <f t="shared" si="16"/>
        <v>6.8220241533513359</v>
      </c>
      <c r="DR13" s="146">
        <f t="shared" si="16"/>
        <v>6.9582700163378606</v>
      </c>
      <c r="DS13" s="146">
        <f t="shared" si="16"/>
        <v>7.0957384874419063</v>
      </c>
      <c r="DT13" s="146">
        <f t="shared" si="16"/>
        <v>7.2344211823897746</v>
      </c>
      <c r="DU13" s="146">
        <f t="shared" si="16"/>
        <v>7.3743096344673678</v>
      </c>
      <c r="DV13" s="146">
        <f t="shared" si="16"/>
        <v>7.5153952976444769</v>
      </c>
      <c r="DW13" s="146">
        <f t="shared" si="16"/>
        <v>7.6576695496405094</v>
      </c>
      <c r="DX13" s="146">
        <f t="shared" si="16"/>
        <v>7.8011236949324054</v>
      </c>
      <c r="DY13" s="146">
        <f t="shared" si="16"/>
        <v>7.9457489677057547</v>
      </c>
      <c r="DZ13" s="146">
        <f t="shared" si="16"/>
        <v>8.0915365347499435</v>
      </c>
      <c r="EA13" s="146">
        <f t="shared" si="16"/>
        <v>8.2384774982981739</v>
      </c>
      <c r="EB13" s="146">
        <f t="shared" si="16"/>
        <v>8.3865628988132812</v>
      </c>
      <c r="EC13" s="146">
        <f t="shared" ref="EC13:GN13" si="17">EC12*(1-EC10)</f>
        <v>8.535783717720145</v>
      </c>
      <c r="ED13" s="146">
        <f t="shared" si="17"/>
        <v>8.6861308800854697</v>
      </c>
      <c r="EE13" s="146">
        <f t="shared" si="17"/>
        <v>8.8375952572459102</v>
      </c>
      <c r="EF13" s="146">
        <f t="shared" si="17"/>
        <v>8.9901676693851371</v>
      </c>
      <c r="EG13" s="146">
        <f t="shared" si="17"/>
        <v>9.1438388880608628</v>
      </c>
      <c r="EH13" s="146">
        <f t="shared" si="17"/>
        <v>9.2985996386824148</v>
      </c>
      <c r="EI13" s="146">
        <f t="shared" si="17"/>
        <v>9.4544406029397763</v>
      </c>
      <c r="EJ13" s="146">
        <f t="shared" si="17"/>
        <v>9.6113524211846979</v>
      </c>
      <c r="EK13" s="146">
        <f t="shared" si="17"/>
        <v>9.7693256947648877</v>
      </c>
      <c r="EL13" s="146">
        <f t="shared" si="17"/>
        <v>9.9283509883116974</v>
      </c>
      <c r="EM13" s="146">
        <f t="shared" si="17"/>
        <v>10.088418831982281</v>
      </c>
      <c r="EN13" s="146">
        <f t="shared" si="17"/>
        <v>10.249519723656872</v>
      </c>
      <c r="EO13" s="146">
        <f t="shared" si="17"/>
        <v>10.41164413109183</v>
      </c>
      <c r="EP13" s="146">
        <f t="shared" si="17"/>
        <v>10.574782494029222</v>
      </c>
      <c r="EQ13" s="146">
        <f t="shared" si="17"/>
        <v>10.73892522626363</v>
      </c>
      <c r="ER13" s="146">
        <f t="shared" si="17"/>
        <v>10.904062717666822</v>
      </c>
      <c r="ES13" s="146">
        <f t="shared" si="17"/>
        <v>11.070185336170969</v>
      </c>
      <c r="ET13" s="146">
        <f t="shared" si="17"/>
        <v>11.237283429711121</v>
      </c>
      <c r="EU13" s="146">
        <f t="shared" si="17"/>
        <v>11.40534732812749</v>
      </c>
      <c r="EV13" s="146">
        <f t="shared" si="17"/>
        <v>11.574367345028266</v>
      </c>
      <c r="EW13" s="146">
        <f t="shared" si="17"/>
        <v>11.744333779613566</v>
      </c>
      <c r="EX13" s="146">
        <f t="shared" si="17"/>
        <v>11.915236918461199</v>
      </c>
      <c r="EY13" s="146">
        <f t="shared" si="17"/>
        <v>12.08706703727467</v>
      </c>
      <c r="EZ13" s="146">
        <f t="shared" si="17"/>
        <v>12.259814402594316</v>
      </c>
      <c r="FA13" s="146">
        <f t="shared" si="17"/>
        <v>12.43346927347193</v>
      </c>
      <c r="FB13" s="146">
        <f t="shared" si="17"/>
        <v>12.608021903109561</v>
      </c>
      <c r="FC13" s="146">
        <f t="shared" si="17"/>
        <v>12.783462540463075</v>
      </c>
      <c r="FD13" s="146">
        <f t="shared" si="17"/>
        <v>12.959781431811036</v>
      </c>
      <c r="FE13" s="146">
        <f t="shared" si="17"/>
        <v>13.136968822289402</v>
      </c>
      <c r="FF13" s="146">
        <f t="shared" si="17"/>
        <v>13.315014957392767</v>
      </c>
      <c r="FG13" s="146">
        <f t="shared" si="17"/>
        <v>13.493910084442467</v>
      </c>
      <c r="FH13" s="146">
        <f t="shared" si="17"/>
        <v>13.673644454022279</v>
      </c>
      <c r="FI13" s="146">
        <f t="shared" si="17"/>
        <v>13.854208321382108</v>
      </c>
      <c r="FJ13" s="146">
        <f t="shared" si="17"/>
        <v>14.035591947810332</v>
      </c>
      <c r="FK13" s="146">
        <f t="shared" si="17"/>
        <v>14.217785601975118</v>
      </c>
      <c r="FL13" s="146">
        <f t="shared" si="17"/>
        <v>14.400779561235423</v>
      </c>
      <c r="FM13" s="146">
        <f t="shared" si="17"/>
        <v>14.584564112922065</v>
      </c>
      <c r="FN13" s="146">
        <f t="shared" si="17"/>
        <v>14.769129555589402</v>
      </c>
      <c r="FO13" s="146">
        <f t="shared" si="17"/>
        <v>14.954466200238011</v>
      </c>
      <c r="FP13" s="146">
        <f t="shared" si="17"/>
        <v>15.140564371508987</v>
      </c>
      <c r="FQ13" s="146">
        <f t="shared" si="17"/>
        <v>15.3274144088503</v>
      </c>
      <c r="FR13" s="146">
        <f t="shared" si="17"/>
        <v>15.515006667655552</v>
      </c>
      <c r="FS13" s="146">
        <f t="shared" si="17"/>
        <v>15.70333152037577</v>
      </c>
      <c r="FT13" s="146">
        <f t="shared" si="17"/>
        <v>15.89237935760452</v>
      </c>
      <c r="FU13" s="146">
        <f t="shared" si="17"/>
        <v>16.08214058913693</v>
      </c>
      <c r="FV13" s="146">
        <f t="shared" si="17"/>
        <v>16.272605645003011</v>
      </c>
      <c r="FW13" s="146">
        <f t="shared" si="17"/>
        <v>16.463764976475609</v>
      </c>
      <c r="FX13" s="146">
        <f t="shared" si="17"/>
        <v>16.655609057053578</v>
      </c>
      <c r="FY13" s="146">
        <f t="shared" si="17"/>
        <v>16.84812838342053</v>
      </c>
      <c r="FZ13" s="146">
        <f t="shared" si="17"/>
        <v>17.041313476379504</v>
      </c>
      <c r="GA13" s="146">
        <f t="shared" si="17"/>
        <v>17.235154881763957</v>
      </c>
      <c r="GB13" s="146">
        <f t="shared" si="17"/>
        <v>17.4296431713258</v>
      </c>
      <c r="GC13" s="280">
        <f t="shared" si="17"/>
        <v>11.615667376929403</v>
      </c>
      <c r="GD13" s="146">
        <f t="shared" si="17"/>
        <v>11.796607487876278</v>
      </c>
      <c r="GE13" s="146">
        <f t="shared" si="17"/>
        <v>11.978651133791631</v>
      </c>
      <c r="GF13" s="146">
        <f t="shared" si="17"/>
        <v>12.161786662202429</v>
      </c>
      <c r="GG13" s="146">
        <f t="shared" si="17"/>
        <v>12.34600237723278</v>
      </c>
      <c r="GH13" s="146">
        <f t="shared" si="17"/>
        <v>12.531286542600673</v>
      </c>
      <c r="GI13" s="146">
        <f t="shared" si="17"/>
        <v>12.71762738456297</v>
      </c>
      <c r="GJ13" s="146">
        <f t="shared" si="17"/>
        <v>12.905013094809332</v>
      </c>
      <c r="GK13" s="146">
        <f t="shared" si="17"/>
        <v>13.093431833305134</v>
      </c>
      <c r="GL13" s="146">
        <f t="shared" si="17"/>
        <v>13.282871731083707</v>
      </c>
      <c r="GM13" s="146">
        <f t="shared" si="17"/>
        <v>13.473320892988328</v>
      </c>
      <c r="GN13" s="146">
        <f t="shared" si="17"/>
        <v>13.66476740036437</v>
      </c>
      <c r="GO13" s="146">
        <f t="shared" ref="GO13:IZ13" si="18">GO12*(1-GO10)</f>
        <v>13.857199313701649</v>
      </c>
      <c r="GP13" s="146">
        <f t="shared" si="18"/>
        <v>14.050604675227856</v>
      </c>
      <c r="GQ13" s="146">
        <f t="shared" si="18"/>
        <v>14.244971511452855</v>
      </c>
      <c r="GR13" s="146">
        <f t="shared" si="18"/>
        <v>14.440287835664867</v>
      </c>
      <c r="GS13" s="146">
        <f t="shared" si="18"/>
        <v>14.636541650378318</v>
      </c>
      <c r="GT13" s="146">
        <f t="shared" si="18"/>
        <v>14.83372094973431</v>
      </c>
      <c r="GU13" s="146">
        <f t="shared" si="18"/>
        <v>15.031813721853725</v>
      </c>
      <c r="GV13" s="146">
        <f t="shared" si="18"/>
        <v>15.230807951143602</v>
      </c>
      <c r="GW13" s="146">
        <f t="shared" si="18"/>
        <v>15.4306916205572</v>
      </c>
      <c r="GX13" s="146">
        <f t="shared" si="18"/>
        <v>15.631452713808056</v>
      </c>
      <c r="GY13" s="146">
        <f t="shared" si="18"/>
        <v>15.833079217538634</v>
      </c>
      <c r="GZ13" s="146">
        <f t="shared" si="18"/>
        <v>16.035559123443939</v>
      </c>
      <c r="HA13" s="146">
        <f t="shared" si="18"/>
        <v>16.238880430350513</v>
      </c>
      <c r="HB13" s="146">
        <f t="shared" si="18"/>
        <v>16.44303114625145</v>
      </c>
      <c r="HC13" s="146">
        <f t="shared" si="18"/>
        <v>16.64799929029753</v>
      </c>
      <c r="HD13" s="146">
        <f t="shared" si="18"/>
        <v>16.853772894745401</v>
      </c>
      <c r="HE13" s="146">
        <f t="shared" si="18"/>
        <v>17.060340006862948</v>
      </c>
      <c r="HF13" s="146">
        <f t="shared" si="18"/>
        <v>17.267688690792308</v>
      </c>
      <c r="HG13" s="146">
        <f t="shared" si="18"/>
        <v>17.475807029371374</v>
      </c>
      <c r="HH13" s="146">
        <f t="shared" si="18"/>
        <v>17.684683125913782</v>
      </c>
      <c r="HI13" s="146">
        <f t="shared" si="18"/>
        <v>17.894305105948149</v>
      </c>
      <c r="HJ13" s="146">
        <f t="shared" si="18"/>
        <v>18.104661118917036</v>
      </c>
      <c r="HK13" s="146">
        <f t="shared" si="18"/>
        <v>18.315739339836025</v>
      </c>
      <c r="HL13" s="146">
        <f t="shared" si="18"/>
        <v>18.527527970913457</v>
      </c>
      <c r="HM13" s="146">
        <f t="shared" si="18"/>
        <v>18.740015243131197</v>
      </c>
      <c r="HN13" s="146">
        <f t="shared" si="18"/>
        <v>18.953189417787204</v>
      </c>
      <c r="HO13" s="146">
        <f t="shared" si="18"/>
        <v>19.167038787999967</v>
      </c>
      <c r="HP13" s="146">
        <f t="shared" si="18"/>
        <v>19.381551680175743</v>
      </c>
      <c r="HQ13" s="146">
        <f t="shared" si="18"/>
        <v>19.59671645543866</v>
      </c>
      <c r="HR13" s="146">
        <f t="shared" si="18"/>
        <v>19.812521511024485</v>
      </c>
      <c r="HS13" s="146">
        <f t="shared" si="18"/>
        <v>20.028955281638538</v>
      </c>
      <c r="HT13" s="146">
        <f t="shared" si="18"/>
        <v>20.24600624077782</v>
      </c>
      <c r="HU13" s="146">
        <f t="shared" si="18"/>
        <v>20.463662902018452</v>
      </c>
      <c r="HV13" s="146">
        <f t="shared" si="18"/>
        <v>20.681913820268491</v>
      </c>
      <c r="HW13" s="146">
        <f t="shared" si="18"/>
        <v>20.900747592986644</v>
      </c>
      <c r="HX13" s="146">
        <f t="shared" si="18"/>
        <v>21.120152861367568</v>
      </c>
      <c r="HY13" s="146">
        <f t="shared" si="18"/>
        <v>21.340118311493992</v>
      </c>
      <c r="HZ13" s="146">
        <f t="shared" si="18"/>
        <v>21.560632675456336</v>
      </c>
      <c r="IA13" s="146">
        <f t="shared" si="18"/>
        <v>21.781684732440052</v>
      </c>
      <c r="IB13" s="146">
        <f t="shared" si="18"/>
        <v>22.003263309781527</v>
      </c>
      <c r="IC13" s="146">
        <f t="shared" si="18"/>
        <v>22.225357283992672</v>
      </c>
      <c r="ID13" s="146">
        <f t="shared" si="18"/>
        <v>22.447955581754748</v>
      </c>
      <c r="IE13" s="146">
        <f t="shared" si="18"/>
        <v>22.671047180882127</v>
      </c>
      <c r="IF13" s="146">
        <f t="shared" si="18"/>
        <v>22.894621111256082</v>
      </c>
      <c r="IG13" s="146">
        <f t="shared" si="18"/>
        <v>23.118666455729386</v>
      </c>
      <c r="IH13" s="146">
        <f t="shared" si="18"/>
        <v>23.343172351001911</v>
      </c>
      <c r="II13" s="146">
        <f t="shared" si="18"/>
        <v>23.568127988468021</v>
      </c>
      <c r="IJ13" s="146">
        <f t="shared" si="18"/>
        <v>23.793522615035624</v>
      </c>
      <c r="IK13" s="146">
        <f t="shared" si="18"/>
        <v>24.019345533918209</v>
      </c>
      <c r="IL13" s="146">
        <f t="shared" si="18"/>
        <v>24.245586105399372</v>
      </c>
      <c r="IM13" s="146">
        <f t="shared" si="18"/>
        <v>24.472233747570893</v>
      </c>
      <c r="IN13" s="146">
        <f t="shared" si="18"/>
        <v>24.699277937044677</v>
      </c>
      <c r="IO13" s="146">
        <f t="shared" si="18"/>
        <v>24.9267082096388</v>
      </c>
      <c r="IP13" s="146">
        <f t="shared" si="18"/>
        <v>25.154514161038275</v>
      </c>
      <c r="IQ13" s="146">
        <f t="shared" si="18"/>
        <v>25.382685447430894</v>
      </c>
      <c r="IR13" s="146">
        <f t="shared" si="18"/>
        <v>25.611211786118737</v>
      </c>
      <c r="IS13" s="146">
        <f t="shared" si="18"/>
        <v>25.840082956105306</v>
      </c>
      <c r="IT13" s="146">
        <f t="shared" si="18"/>
        <v>26.069288798659311</v>
      </c>
      <c r="IU13" s="146">
        <f t="shared" si="18"/>
        <v>26.298819217855101</v>
      </c>
      <c r="IV13" s="146">
        <f t="shared" si="18"/>
        <v>26.528664181090228</v>
      </c>
      <c r="IW13" s="146">
        <f t="shared" si="18"/>
        <v>26.758813719580651</v>
      </c>
      <c r="IX13" s="146">
        <f t="shared" si="18"/>
        <v>26.989257928833901</v>
      </c>
      <c r="IY13" s="146">
        <f t="shared" si="18"/>
        <v>27.219986969100571</v>
      </c>
      <c r="IZ13" s="146">
        <f t="shared" si="18"/>
        <v>27.450991065804665</v>
      </c>
      <c r="JA13" s="146">
        <f t="shared" ref="JA13:LL13" si="19">JA12*(1-JA10)</f>
        <v>27.682260509953064</v>
      </c>
      <c r="JB13" s="146">
        <f t="shared" si="19"/>
        <v>27.913785658524393</v>
      </c>
      <c r="JC13" s="146">
        <f t="shared" si="19"/>
        <v>28.145556934838027</v>
      </c>
      <c r="JD13" s="146">
        <f t="shared" si="19"/>
        <v>28.377564828903314</v>
      </c>
      <c r="JE13" s="146">
        <f t="shared" si="19"/>
        <v>28.60979989774928</v>
      </c>
      <c r="JF13" s="146">
        <f t="shared" si="19"/>
        <v>28.84225276573574</v>
      </c>
      <c r="JG13" s="146">
        <f t="shared" si="19"/>
        <v>29.074914124845304</v>
      </c>
      <c r="JH13" s="146">
        <f t="shared" si="19"/>
        <v>29.3077747349577</v>
      </c>
      <c r="JI13" s="146">
        <f t="shared" si="19"/>
        <v>29.540825424105762</v>
      </c>
      <c r="JJ13" s="146">
        <f t="shared" si="19"/>
        <v>29.774057088714081</v>
      </c>
      <c r="JK13" s="146">
        <f t="shared" si="19"/>
        <v>30.007460693820391</v>
      </c>
      <c r="JL13" s="146">
        <f t="shared" si="19"/>
        <v>30.241027273280245</v>
      </c>
      <c r="JM13" s="146">
        <f t="shared" si="19"/>
        <v>30.474747929955004</v>
      </c>
      <c r="JN13" s="146">
        <f t="shared" si="19"/>
        <v>30.708613835883643</v>
      </c>
      <c r="JO13" s="146">
        <f t="shared" si="19"/>
        <v>30.942616232438986</v>
      </c>
      <c r="JP13" s="146">
        <f t="shared" si="19"/>
        <v>31.176746430468103</v>
      </c>
      <c r="JQ13" s="146">
        <f t="shared" si="19"/>
        <v>31.410995810417621</v>
      </c>
      <c r="JR13" s="146">
        <f t="shared" si="19"/>
        <v>31.64535582244428</v>
      </c>
      <c r="JS13" s="146">
        <f t="shared" si="19"/>
        <v>31.879817986510695</v>
      </c>
      <c r="JT13" s="146">
        <f t="shared" si="19"/>
        <v>32.114373892467036</v>
      </c>
      <c r="JU13" s="146">
        <f t="shared" si="19"/>
        <v>32.349015200118771</v>
      </c>
      <c r="JV13" s="146">
        <f t="shared" si="19"/>
        <v>32.583733639280638</v>
      </c>
      <c r="JW13" s="146">
        <f t="shared" si="19"/>
        <v>32.818521009817267</v>
      </c>
      <c r="JX13" s="146">
        <f t="shared" si="19"/>
        <v>33.053369181670874</v>
      </c>
      <c r="JY13" s="146">
        <f t="shared" si="19"/>
        <v>33.288270094876225</v>
      </c>
      <c r="JZ13" s="146">
        <f t="shared" si="19"/>
        <v>33.523215759562753</v>
      </c>
      <c r="KA13" s="146">
        <f t="shared" si="19"/>
        <v>33.758198255944997</v>
      </c>
      <c r="KB13" s="146">
        <f t="shared" si="19"/>
        <v>33.993209734300727</v>
      </c>
      <c r="KC13" s="146">
        <f t="shared" si="19"/>
        <v>34.228242414937526</v>
      </c>
      <c r="KD13" s="146">
        <f t="shared" si="19"/>
        <v>34.463288588148131</v>
      </c>
      <c r="KE13" s="146">
        <f t="shared" si="19"/>
        <v>34.698340614154439</v>
      </c>
      <c r="KF13" s="146">
        <f t="shared" si="19"/>
        <v>34.933390923040839</v>
      </c>
      <c r="KG13" s="146">
        <f t="shared" si="19"/>
        <v>35.168432014676853</v>
      </c>
      <c r="KH13" s="146">
        <f t="shared" si="19"/>
        <v>35.40345645862952</v>
      </c>
      <c r="KI13" s="146">
        <f t="shared" si="19"/>
        <v>35.638456894065548</v>
      </c>
      <c r="KJ13" s="146">
        <f t="shared" si="19"/>
        <v>35.873426029643802</v>
      </c>
      <c r="KK13" s="146">
        <f t="shared" si="19"/>
        <v>36.108356643398125</v>
      </c>
      <c r="KL13" s="146">
        <f t="shared" si="19"/>
        <v>36.343241582610723</v>
      </c>
      <c r="KM13" s="146">
        <f t="shared" si="19"/>
        <v>36.578073763676528</v>
      </c>
      <c r="KN13" s="146">
        <f t="shared" si="19"/>
        <v>36.812846171958675</v>
      </c>
      <c r="KO13" s="146">
        <f t="shared" si="19"/>
        <v>37.047551861635192</v>
      </c>
      <c r="KP13" s="146">
        <f t="shared" si="19"/>
        <v>37.28218395553742</v>
      </c>
      <c r="KQ13" s="146">
        <f t="shared" si="19"/>
        <v>37.516735644980187</v>
      </c>
      <c r="KR13" s="146">
        <f t="shared" si="19"/>
        <v>37.751200189583706</v>
      </c>
      <c r="KS13" s="146">
        <f t="shared" si="19"/>
        <v>37.985570917088232</v>
      </c>
      <c r="KT13" s="146">
        <f t="shared" si="19"/>
        <v>38.219841223160664</v>
      </c>
      <c r="KU13" s="146">
        <f t="shared" si="19"/>
        <v>38.454004571193906</v>
      </c>
      <c r="KV13" s="146">
        <f t="shared" si="19"/>
        <v>38.688054492099276</v>
      </c>
      <c r="KW13" s="146">
        <f t="shared" si="19"/>
        <v>38.92198458409176</v>
      </c>
      <c r="KX13" s="146">
        <f t="shared" si="19"/>
        <v>39.155788512468355</v>
      </c>
      <c r="KY13" s="146">
        <f t="shared" si="19"/>
        <v>39.389460009380386</v>
      </c>
      <c r="KZ13" s="146">
        <f t="shared" si="19"/>
        <v>39.622992873598776</v>
      </c>
      <c r="LA13" s="146">
        <f t="shared" si="19"/>
        <v>39.856380970273584</v>
      </c>
      <c r="LB13" s="146">
        <f t="shared" si="19"/>
        <v>40.089618230687471</v>
      </c>
      <c r="LC13" s="146">
        <f t="shared" si="19"/>
        <v>40.322698652003133</v>
      </c>
      <c r="LD13" s="146">
        <f t="shared" si="19"/>
        <v>40.555616297005301</v>
      </c>
      <c r="LE13" s="146">
        <f t="shared" si="19"/>
        <v>40.788365293837266</v>
      </c>
      <c r="LF13" s="146">
        <f t="shared" si="19"/>
        <v>41.02093983573198</v>
      </c>
      <c r="LG13" s="146">
        <f t="shared" si="19"/>
        <v>41.253334180738051</v>
      </c>
      <c r="LH13" s="146">
        <f t="shared" si="19"/>
        <v>41.48554265144098</v>
      </c>
      <c r="LI13" s="146">
        <f t="shared" si="19"/>
        <v>41.717559634679326</v>
      </c>
      <c r="LJ13" s="146">
        <f t="shared" si="19"/>
        <v>41.949379581256366</v>
      </c>
      <c r="LK13" s="146">
        <f t="shared" si="19"/>
        <v>42.180997005647328</v>
      </c>
      <c r="LL13" s="146">
        <f t="shared" si="19"/>
        <v>42.412406485702128</v>
      </c>
      <c r="LM13" s="146">
        <f t="shared" ref="LM13:NX13" si="20">LM12*(1-LM10)</f>
        <v>42.643602662344172</v>
      </c>
      <c r="LN13" s="146">
        <f t="shared" si="20"/>
        <v>42.874580239264986</v>
      </c>
      <c r="LO13" s="146">
        <f t="shared" si="20"/>
        <v>43.105333982614866</v>
      </c>
      <c r="LP13" s="146">
        <f t="shared" si="20"/>
        <v>43.335858720690041</v>
      </c>
      <c r="LQ13" s="146">
        <f t="shared" si="20"/>
        <v>43.566149343616146</v>
      </c>
      <c r="LR13" s="146">
        <f t="shared" si="20"/>
        <v>43.796200803028078</v>
      </c>
      <c r="LS13" s="146">
        <f t="shared" si="20"/>
        <v>44.026008111746819</v>
      </c>
      <c r="LT13" s="146">
        <f t="shared" si="20"/>
        <v>44.255566343452799</v>
      </c>
      <c r="LU13" s="146">
        <f t="shared" si="20"/>
        <v>44.484870632356518</v>
      </c>
      <c r="LV13" s="146">
        <f t="shared" si="20"/>
        <v>44.713916172865787</v>
      </c>
      <c r="LW13" s="146">
        <f t="shared" si="20"/>
        <v>44.942698219250765</v>
      </c>
      <c r="LX13" s="146">
        <f t="shared" si="20"/>
        <v>45.171212085305683</v>
      </c>
      <c r="LY13" s="146">
        <f t="shared" si="20"/>
        <v>45.399453144008582</v>
      </c>
      <c r="LZ13" s="146">
        <f t="shared" si="20"/>
        <v>45.627416827178166</v>
      </c>
      <c r="MA13" s="146">
        <f t="shared" si="20"/>
        <v>45.855098625128662</v>
      </c>
      <c r="MB13" s="146">
        <f t="shared" si="20"/>
        <v>46.082494086322257</v>
      </c>
      <c r="MC13" s="146">
        <f t="shared" si="20"/>
        <v>46.309598817019513</v>
      </c>
      <c r="MD13" s="146">
        <f t="shared" si="20"/>
        <v>46.536408480927847</v>
      </c>
      <c r="ME13" s="146">
        <f t="shared" si="20"/>
        <v>46.76291879884802</v>
      </c>
      <c r="MF13" s="146">
        <f t="shared" si="20"/>
        <v>46.989125548318974</v>
      </c>
      <c r="MG13" s="146">
        <f t="shared" si="20"/>
        <v>47.215024563260954</v>
      </c>
      <c r="MH13" s="146">
        <f t="shared" si="20"/>
        <v>47.440611733616912</v>
      </c>
      <c r="MI13" s="146">
        <f t="shared" si="20"/>
        <v>47.665883004992736</v>
      </c>
      <c r="MJ13" s="146">
        <f t="shared" si="20"/>
        <v>47.89083437829585</v>
      </c>
      <c r="MK13" s="146">
        <f t="shared" si="20"/>
        <v>48.115461909372534</v>
      </c>
      <c r="ML13" s="146">
        <f t="shared" si="20"/>
        <v>48.339761708644353</v>
      </c>
      <c r="MM13" s="146">
        <f t="shared" si="20"/>
        <v>48.563729940743123</v>
      </c>
      <c r="MN13" s="146">
        <f t="shared" si="20"/>
        <v>48.787362824144964</v>
      </c>
      <c r="MO13" s="146">
        <f t="shared" si="20"/>
        <v>49.010656630803624</v>
      </c>
      <c r="MP13" s="146">
        <f t="shared" si="20"/>
        <v>49.233607685782779</v>
      </c>
      <c r="MQ13" s="146">
        <f t="shared" si="20"/>
        <v>49.456212366887492</v>
      </c>
      <c r="MR13" s="146">
        <f t="shared" si="20"/>
        <v>49.678467104295329</v>
      </c>
      <c r="MS13" s="146">
        <f t="shared" si="20"/>
        <v>49.900368380186578</v>
      </c>
      <c r="MT13" s="146">
        <f t="shared" si="20"/>
        <v>50.121912728373914</v>
      </c>
      <c r="MU13" s="146">
        <f t="shared" si="20"/>
        <v>50.343096733932036</v>
      </c>
      <c r="MV13" s="146">
        <f t="shared" si="20"/>
        <v>50.563917032826382</v>
      </c>
      <c r="MW13" s="146">
        <f t="shared" si="20"/>
        <v>50.78437031154197</v>
      </c>
      <c r="MX13" s="146">
        <f t="shared" si="20"/>
        <v>51.004453306711795</v>
      </c>
      <c r="MY13" s="146">
        <f t="shared" si="20"/>
        <v>51.224162804745234</v>
      </c>
      <c r="MZ13" s="146">
        <f t="shared" si="20"/>
        <v>51.44349564145606</v>
      </c>
      <c r="NA13" s="146">
        <f t="shared" si="20"/>
        <v>51.662448701690863</v>
      </c>
      <c r="NB13" s="146">
        <f t="shared" si="20"/>
        <v>51.881018918957125</v>
      </c>
      <c r="NC13" s="146">
        <f t="shared" si="20"/>
        <v>52.099203275051636</v>
      </c>
      <c r="ND13" s="146">
        <f t="shared" si="20"/>
        <v>52.316998799688974</v>
      </c>
      <c r="NE13" s="146">
        <f t="shared" si="20"/>
        <v>52.534402570130162</v>
      </c>
      <c r="NF13" s="146">
        <f t="shared" si="20"/>
        <v>52.751411710811766</v>
      </c>
      <c r="NG13" s="146">
        <f t="shared" si="20"/>
        <v>52.968023392975248</v>
      </c>
      <c r="NH13" s="146">
        <f t="shared" si="20"/>
        <v>53.18423483429661</v>
      </c>
      <c r="NI13" s="146">
        <f t="shared" si="20"/>
        <v>53.400043298516628</v>
      </c>
      <c r="NJ13" s="146">
        <f t="shared" si="20"/>
        <v>53.615446095071576</v>
      </c>
      <c r="NK13" s="146">
        <f t="shared" si="20"/>
        <v>53.830440578724414</v>
      </c>
      <c r="NL13" s="146">
        <f t="shared" si="20"/>
        <v>54.045024149196699</v>
      </c>
      <c r="NM13" s="146">
        <f t="shared" si="20"/>
        <v>54.259194250800924</v>
      </c>
      <c r="NN13" s="146">
        <f t="shared" si="20"/>
        <v>54.472948372073894</v>
      </c>
      <c r="NO13" s="146">
        <f t="shared" si="20"/>
        <v>54.686284045410559</v>
      </c>
      <c r="NP13" s="146">
        <f t="shared" si="20"/>
        <v>54.899198846698795</v>
      </c>
      <c r="NQ13" s="146">
        <f t="shared" si="20"/>
        <v>55.111690394954792</v>
      </c>
      <c r="NR13" s="146">
        <f t="shared" si="20"/>
        <v>55.323756351959759</v>
      </c>
      <c r="NS13" s="146">
        <f t="shared" si="20"/>
        <v>55.535394421896981</v>
      </c>
      <c r="NT13" s="146">
        <f t="shared" si="20"/>
        <v>55.746602350990429</v>
      </c>
      <c r="NU13" s="146">
        <f t="shared" si="20"/>
        <v>55.957377927143689</v>
      </c>
      <c r="NV13" s="146">
        <f t="shared" si="20"/>
        <v>56.167718979580648</v>
      </c>
      <c r="NW13" s="146">
        <f t="shared" si="20"/>
        <v>56.377623378486703</v>
      </c>
      <c r="NX13" s="146">
        <f t="shared" si="20"/>
        <v>56.587089034651235</v>
      </c>
      <c r="NY13" s="146">
        <f t="shared" ref="NY13:QJ13" si="21">NY12*(1-NY10)</f>
        <v>56.796113899111383</v>
      </c>
      <c r="NZ13" s="146">
        <f t="shared" si="21"/>
        <v>57.004695962796752</v>
      </c>
      <c r="OA13" s="146">
        <f t="shared" si="21"/>
        <v>57.212833256175564</v>
      </c>
      <c r="OB13" s="146">
        <f t="shared" si="21"/>
        <v>57.420523848901752</v>
      </c>
      <c r="OC13" s="146">
        <f t="shared" si="21"/>
        <v>57.627765849463628</v>
      </c>
      <c r="OD13" s="146">
        <f t="shared" si="21"/>
        <v>57.834557404833625</v>
      </c>
      <c r="OE13" s="146">
        <f t="shared" si="21"/>
        <v>58.040896700119589</v>
      </c>
      <c r="OF13" s="146">
        <f t="shared" si="21"/>
        <v>58.246781958217092</v>
      </c>
      <c r="OG13" s="146">
        <f t="shared" si="21"/>
        <v>58.452211439463497</v>
      </c>
      <c r="OH13" s="146">
        <f t="shared" si="21"/>
        <v>58.657183441293149</v>
      </c>
      <c r="OI13" s="146">
        <f t="shared" si="21"/>
        <v>58.86169629789412</v>
      </c>
      <c r="OJ13" s="146">
        <f t="shared" si="21"/>
        <v>59.065748379866555</v>
      </c>
      <c r="OK13" s="146">
        <f t="shared" si="21"/>
        <v>59.269338093882119</v>
      </c>
      <c r="OL13" s="146">
        <f t="shared" si="21"/>
        <v>59.472463882345245</v>
      </c>
      <c r="OM13" s="146">
        <f t="shared" si="21"/>
        <v>59.67512422305596</v>
      </c>
      <c r="ON13" s="146">
        <f t="shared" si="21"/>
        <v>59.877317628873854</v>
      </c>
      <c r="OO13" s="146">
        <f t="shared" si="21"/>
        <v>60.07904264738427</v>
      </c>
      <c r="OP13" s="146">
        <f t="shared" si="21"/>
        <v>60.280297860565319</v>
      </c>
      <c r="OQ13" s="146">
        <f t="shared" si="21"/>
        <v>60.481081884457168</v>
      </c>
      <c r="OR13" s="146">
        <f t="shared" si="21"/>
        <v>60.681393368832417</v>
      </c>
      <c r="OS13" s="146">
        <f t="shared" si="21"/>
        <v>60.881230996868645</v>
      </c>
      <c r="OT13" s="146">
        <f t="shared" si="21"/>
        <v>61.080593484822025</v>
      </c>
      <c r="OU13" s="146">
        <f t="shared" si="21"/>
        <v>61.279479581703129</v>
      </c>
      <c r="OV13" s="146">
        <f t="shared" si="21"/>
        <v>61.477888068954108</v>
      </c>
      <c r="OW13" s="146">
        <f t="shared" si="21"/>
        <v>61.675817760127764</v>
      </c>
      <c r="OX13" s="146">
        <f t="shared" si="21"/>
        <v>61.873267500568055</v>
      </c>
      <c r="OY13" s="146">
        <f t="shared" si="21"/>
        <v>62.070236167092702</v>
      </c>
      <c r="OZ13" s="146">
        <f t="shared" si="21"/>
        <v>62.266722667677335</v>
      </c>
      <c r="PA13" s="146">
        <f t="shared" si="21"/>
        <v>62.462725941141237</v>
      </c>
      <c r="PB13" s="146">
        <f t="shared" si="21"/>
        <v>62.658244956835262</v>
      </c>
      <c r="PC13" s="146">
        <f t="shared" si="21"/>
        <v>62.853278714331083</v>
      </c>
      <c r="PD13" s="146">
        <f t="shared" si="21"/>
        <v>63.047826243112631</v>
      </c>
      <c r="PE13" s="146">
        <f t="shared" si="21"/>
        <v>63.241886602268991</v>
      </c>
      <c r="PF13" s="146">
        <f t="shared" si="21"/>
        <v>63.435458880189266</v>
      </c>
      <c r="PG13" s="146">
        <f t="shared" si="21"/>
        <v>63.628542194259261</v>
      </c>
      <c r="PH13" s="146">
        <f t="shared" si="21"/>
        <v>63.821135690560006</v>
      </c>
      <c r="PI13" s="146">
        <f t="shared" si="21"/>
        <v>64.013238543567965</v>
      </c>
      <c r="PJ13" s="146">
        <f t="shared" si="21"/>
        <v>64.204849955857242</v>
      </c>
      <c r="PK13" s="146">
        <f t="shared" si="21"/>
        <v>64.39596915780362</v>
      </c>
      <c r="PL13" s="146">
        <f t="shared" si="21"/>
        <v>64.586595407290247</v>
      </c>
      <c r="PM13" s="146">
        <f t="shared" si="21"/>
        <v>64.776727989415448</v>
      </c>
      <c r="PN13" s="146">
        <f t="shared" si="21"/>
        <v>64.966366216202275</v>
      </c>
      <c r="PO13" s="146">
        <f t="shared" si="21"/>
        <v>65.155509426309834</v>
      </c>
      <c r="PP13" s="146">
        <f t="shared" si="21"/>
        <v>65.344156984746718</v>
      </c>
      <c r="PQ13" s="146">
        <f t="shared" si="21"/>
        <v>65.532308282585973</v>
      </c>
      <c r="PR13" s="146">
        <f t="shared" si="21"/>
        <v>65.719962736682319</v>
      </c>
      <c r="PS13" s="146">
        <f t="shared" si="21"/>
        <v>65.907119789390876</v>
      </c>
      <c r="PT13" s="146">
        <f t="shared" si="21"/>
        <v>66.093778908288201</v>
      </c>
      <c r="PU13" s="146">
        <f t="shared" si="21"/>
        <v>66.279939585894752</v>
      </c>
      <c r="PV13" s="146">
        <f t="shared" si="21"/>
        <v>66.465601339399441</v>
      </c>
      <c r="PW13" s="146">
        <f t="shared" si="21"/>
        <v>66.650763710386386</v>
      </c>
      <c r="PX13" s="146">
        <f t="shared" si="21"/>
        <v>66.835426264562884</v>
      </c>
      <c r="PY13" s="146">
        <f t="shared" si="21"/>
        <v>67.01958859148985</v>
      </c>
      <c r="PZ13" s="146">
        <f t="shared" si="21"/>
        <v>67.203250304313968</v>
      </c>
      <c r="QA13" s="146">
        <f t="shared" si="21"/>
        <v>67.38641103950151</v>
      </c>
      <c r="QB13" s="146">
        <f t="shared" si="21"/>
        <v>67.569070456574465</v>
      </c>
      <c r="QC13" s="146">
        <f t="shared" si="21"/>
        <v>67.751228237848153</v>
      </c>
      <c r="QD13" s="146">
        <f t="shared" si="21"/>
        <v>67.932884088171107</v>
      </c>
      <c r="QE13" s="146">
        <f t="shared" si="21"/>
        <v>68.114037734666383</v>
      </c>
      <c r="QF13" s="146">
        <f t="shared" si="21"/>
        <v>68.294688926475317</v>
      </c>
      <c r="QG13" s="146">
        <f t="shared" si="21"/>
        <v>68.474837434502533</v>
      </c>
      <c r="QH13" s="146">
        <f t="shared" si="21"/>
        <v>68.654483051163453</v>
      </c>
      <c r="QI13" s="146">
        <f t="shared" si="21"/>
        <v>68.833625590133309</v>
      </c>
      <c r="QJ13" s="146">
        <f t="shared" si="21"/>
        <v>69.012264886098038</v>
      </c>
      <c r="QK13" s="146">
        <f t="shared" ref="QK13:RP13" si="22">QK12*(1-QK10)</f>
        <v>69.190400794507227</v>
      </c>
      <c r="QL13" s="146">
        <f t="shared" si="22"/>
        <v>69.368033191328891</v>
      </c>
      <c r="QM13" s="146">
        <f t="shared" si="22"/>
        <v>69.545161972805971</v>
      </c>
      <c r="QN13" s="146">
        <f t="shared" si="22"/>
        <v>69.721787055214747</v>
      </c>
      <c r="QO13" s="146">
        <f t="shared" si="22"/>
        <v>69.897908374625388</v>
      </c>
      <c r="QP13" s="146">
        <f t="shared" si="22"/>
        <v>70.073525886663958</v>
      </c>
      <c r="QQ13" s="146">
        <f t="shared" si="22"/>
        <v>70.248639566276367</v>
      </c>
      <c r="QR13" s="146">
        <f t="shared" si="22"/>
        <v>70.423249407494595</v>
      </c>
      <c r="QS13" s="146">
        <f t="shared" si="22"/>
        <v>70.597355423204021</v>
      </c>
      <c r="QT13" s="146">
        <f t="shared" si="22"/>
        <v>70.770957644913295</v>
      </c>
      <c r="QU13" s="146">
        <f t="shared" si="22"/>
        <v>70.944056122525581</v>
      </c>
      <c r="QV13" s="146">
        <f t="shared" si="22"/>
        <v>71.116650924111767</v>
      </c>
      <c r="QW13" s="146">
        <f t="shared" si="22"/>
        <v>71.288742135685695</v>
      </c>
      <c r="QX13" s="146">
        <f t="shared" si="22"/>
        <v>71.460329860980877</v>
      </c>
      <c r="QY13" s="146">
        <f t="shared" si="22"/>
        <v>71.631414221229164</v>
      </c>
      <c r="QZ13" s="146">
        <f t="shared" si="22"/>
        <v>71.801995354941454</v>
      </c>
      <c r="RA13" s="146">
        <f t="shared" si="22"/>
        <v>71.972073417689685</v>
      </c>
      <c r="RB13" s="146">
        <f t="shared" si="22"/>
        <v>72.141648581891161</v>
      </c>
      <c r="RC13" s="146">
        <f t="shared" si="22"/>
        <v>72.310721036594273</v>
      </c>
      <c r="RD13" s="146">
        <f t="shared" si="22"/>
        <v>72.479290987266268</v>
      </c>
      <c r="RE13" s="146">
        <f t="shared" si="22"/>
        <v>72.64735865558265</v>
      </c>
      <c r="RF13" s="146">
        <f t="shared" si="22"/>
        <v>72.814924279218275</v>
      </c>
      <c r="RG13" s="146">
        <f t="shared" si="22"/>
        <v>72.98198811164049</v>
      </c>
      <c r="RH13" s="146">
        <f t="shared" si="22"/>
        <v>73.148550421903693</v>
      </c>
      <c r="RI13" s="146">
        <f t="shared" si="22"/>
        <v>73.314611494445828</v>
      </c>
      <c r="RJ13" s="146">
        <f t="shared" si="22"/>
        <v>73.48017162888668</v>
      </c>
      <c r="RK13" s="146">
        <f t="shared" si="22"/>
        <v>73.645231139827686</v>
      </c>
      <c r="RL13" s="146">
        <f t="shared" si="22"/>
        <v>73.809790356653636</v>
      </c>
      <c r="RM13" s="146">
        <f t="shared" si="22"/>
        <v>73.973849623336093</v>
      </c>
      <c r="RN13" s="146">
        <f t="shared" si="22"/>
        <v>74.137409298238254</v>
      </c>
      <c r="RO13" s="146">
        <f t="shared" si="22"/>
        <v>74.300469753922116</v>
      </c>
      <c r="RP13" s="146">
        <f t="shared" si="22"/>
        <v>74.46303137695665</v>
      </c>
    </row>
    <row r="14" spans="1:495" ht="12.95" customHeight="1" x14ac:dyDescent="0.2">
      <c r="C14" s="21" t="s">
        <v>919</v>
      </c>
      <c r="D14" s="21" t="s">
        <v>916</v>
      </c>
      <c r="E14" s="146"/>
      <c r="F14" s="277">
        <f t="shared" ref="F14:BQ14" si="23">12*(F12-E12)</f>
        <v>7.1344810150982126E-4</v>
      </c>
      <c r="G14" s="277">
        <f t="shared" si="23"/>
        <v>1.9210599792084484E-3</v>
      </c>
      <c r="H14" s="277">
        <f t="shared" si="23"/>
        <v>3.710481284722322E-3</v>
      </c>
      <c r="I14" s="277">
        <f t="shared" si="23"/>
        <v>6.0669647836495387E-3</v>
      </c>
      <c r="J14" s="277">
        <f t="shared" si="23"/>
        <v>8.9760199367558934E-3</v>
      </c>
      <c r="K14" s="277">
        <f t="shared" si="23"/>
        <v>1.2423409050629839E-2</v>
      </c>
      <c r="L14" s="277">
        <f t="shared" si="23"/>
        <v>1.639514348189999E-2</v>
      </c>
      <c r="M14" s="277">
        <f t="shared" si="23"/>
        <v>2.0877479894295104E-2</v>
      </c>
      <c r="N14" s="277">
        <f t="shared" si="23"/>
        <v>2.5856916567854146E-2</v>
      </c>
      <c r="O14" s="277">
        <f t="shared" si="23"/>
        <v>3.1320189759568032E-2</v>
      </c>
      <c r="P14" s="277">
        <f t="shared" si="23"/>
        <v>3.7254270114793694E-2</v>
      </c>
      <c r="Q14" s="277">
        <f t="shared" si="23"/>
        <v>4.3646359128736795E-2</v>
      </c>
      <c r="R14" s="277">
        <f t="shared" si="23"/>
        <v>5.0483885657353303E-2</v>
      </c>
      <c r="S14" s="277">
        <f t="shared" si="23"/>
        <v>5.7754502476984215E-2</v>
      </c>
      <c r="T14" s="277">
        <f t="shared" si="23"/>
        <v>6.5446082892118812E-2</v>
      </c>
      <c r="U14" s="277">
        <f t="shared" si="23"/>
        <v>7.3546717390575778E-2</v>
      </c>
      <c r="V14" s="277">
        <f t="shared" si="23"/>
        <v>8.2044710345532762E-2</v>
      </c>
      <c r="W14" s="277">
        <f t="shared" si="23"/>
        <v>9.0928576763724012E-2</v>
      </c>
      <c r="X14" s="277">
        <f t="shared" si="23"/>
        <v>0.10018703907923224</v>
      </c>
      <c r="Y14" s="277">
        <f t="shared" si="23"/>
        <v>0.10980902399222769</v>
      </c>
      <c r="Z14" s="277">
        <f t="shared" si="23"/>
        <v>0.11978365935208451</v>
      </c>
      <c r="AA14" s="277">
        <f t="shared" si="23"/>
        <v>0.13010027108424005</v>
      </c>
      <c r="AB14" s="277">
        <f t="shared" si="23"/>
        <v>0.14074838016022767</v>
      </c>
      <c r="AC14" s="277">
        <f t="shared" si="23"/>
        <v>0.15171769961038062</v>
      </c>
      <c r="AD14" s="277">
        <f t="shared" si="23"/>
        <v>0.16299813157843607</v>
      </c>
      <c r="AE14" s="277">
        <f t="shared" si="23"/>
        <v>0.17457976441771961</v>
      </c>
      <c r="AF14" s="277">
        <f t="shared" si="23"/>
        <v>0.18645286982818121</v>
      </c>
      <c r="AG14" s="277">
        <f t="shared" si="23"/>
        <v>0.19860790003377726</v>
      </c>
      <c r="AH14" s="277">
        <f t="shared" si="23"/>
        <v>0.21103548499968905</v>
      </c>
      <c r="AI14" s="277">
        <f t="shared" si="23"/>
        <v>0.22372642968884782</v>
      </c>
      <c r="AJ14" s="277">
        <f t="shared" si="23"/>
        <v>0.23667171135710141</v>
      </c>
      <c r="AK14" s="277">
        <f t="shared" si="23"/>
        <v>0.24986247688678054</v>
      </c>
      <c r="AL14" s="277">
        <f t="shared" si="23"/>
        <v>0.26329004015779467</v>
      </c>
      <c r="AM14" s="277">
        <f t="shared" si="23"/>
        <v>0.27694587945605642</v>
      </c>
      <c r="AN14" s="277">
        <f t="shared" si="23"/>
        <v>0.29082163491860125</v>
      </c>
      <c r="AO14" s="277">
        <f t="shared" si="23"/>
        <v>0.3049091060148339</v>
      </c>
      <c r="AP14" s="277">
        <f t="shared" si="23"/>
        <v>0.3192002490635979</v>
      </c>
      <c r="AQ14" s="277">
        <f t="shared" si="23"/>
        <v>0.33368717478542353</v>
      </c>
      <c r="AR14" s="277">
        <f t="shared" si="23"/>
        <v>0.34836214588955405</v>
      </c>
      <c r="AS14" s="277">
        <f t="shared" si="23"/>
        <v>0.3632175746952464</v>
      </c>
      <c r="AT14" s="277">
        <f t="shared" si="23"/>
        <v>0.37824602078700154</v>
      </c>
      <c r="AU14" s="277">
        <f t="shared" si="23"/>
        <v>0.39344018870299546</v>
      </c>
      <c r="AV14" s="277">
        <f t="shared" si="23"/>
        <v>0.40879292565655989</v>
      </c>
      <c r="AW14" s="277">
        <f t="shared" si="23"/>
        <v>0.42429721929023012</v>
      </c>
      <c r="AX14" s="277">
        <f t="shared" si="23"/>
        <v>0.43994619546147229</v>
      </c>
      <c r="AY14" s="277">
        <f t="shared" si="23"/>
        <v>0.45573311606049494</v>
      </c>
      <c r="AZ14" s="277">
        <f t="shared" si="23"/>
        <v>0.47165137685889524</v>
      </c>
      <c r="BA14" s="277">
        <f t="shared" si="23"/>
        <v>0.48769450538915127</v>
      </c>
      <c r="BB14" s="277">
        <f t="shared" si="23"/>
        <v>0.50385615885448187</v>
      </c>
      <c r="BC14" s="277">
        <f t="shared" si="23"/>
        <v>0.52013012206869336</v>
      </c>
      <c r="BD14" s="277">
        <f t="shared" si="23"/>
        <v>0.53651030542531863</v>
      </c>
      <c r="BE14" s="277">
        <f t="shared" si="23"/>
        <v>0.55299074289624617</v>
      </c>
      <c r="BF14" s="277">
        <f t="shared" si="23"/>
        <v>0.56956559005861962</v>
      </c>
      <c r="BG14" s="277">
        <f t="shared" si="23"/>
        <v>0.58622912215049583</v>
      </c>
      <c r="BH14" s="277">
        <f t="shared" si="23"/>
        <v>0.60297573215423661</v>
      </c>
      <c r="BI14" s="277">
        <f t="shared" si="23"/>
        <v>0.61979992890742786</v>
      </c>
      <c r="BJ14" s="277">
        <f t="shared" si="23"/>
        <v>0.63669633524113944</v>
      </c>
      <c r="BK14" s="277">
        <f t="shared" si="23"/>
        <v>0.65365968614502901</v>
      </c>
      <c r="BL14" s="277">
        <f t="shared" si="23"/>
        <v>0.6706848269585155</v>
      </c>
      <c r="BM14" s="277">
        <f t="shared" si="23"/>
        <v>0.6877667115888153</v>
      </c>
      <c r="BN14" s="277">
        <f t="shared" si="23"/>
        <v>0.70490040075392635</v>
      </c>
      <c r="BO14" s="277">
        <f t="shared" si="23"/>
        <v>0.72208106025137564</v>
      </c>
      <c r="BP14" s="277">
        <f t="shared" si="23"/>
        <v>0.73930395925219994</v>
      </c>
      <c r="BQ14" s="277">
        <f t="shared" si="23"/>
        <v>0.75656446861922966</v>
      </c>
      <c r="BR14" s="277">
        <f t="shared" ref="BR14:EC14" si="24">12*(BR12-BQ12)</f>
        <v>0.77385805924998241</v>
      </c>
      <c r="BS14" s="277">
        <f t="shared" si="24"/>
        <v>0.79118030044360665</v>
      </c>
      <c r="BT14" s="277">
        <f t="shared" si="24"/>
        <v>0.80852685829139848</v>
      </c>
      <c r="BU14" s="277">
        <f t="shared" si="24"/>
        <v>0.82589349409075297</v>
      </c>
      <c r="BV14" s="277">
        <f t="shared" si="24"/>
        <v>0.843276062782361</v>
      </c>
      <c r="BW14" s="277">
        <f t="shared" si="24"/>
        <v>0.86067051140990536</v>
      </c>
      <c r="BX14" s="277">
        <f t="shared" si="24"/>
        <v>0.87807287760212027</v>
      </c>
      <c r="BY14" s="277">
        <f t="shared" si="24"/>
        <v>0.8954792880774729</v>
      </c>
      <c r="BZ14" s="277">
        <f t="shared" si="24"/>
        <v>0.91288595717022503</v>
      </c>
      <c r="CA14" s="277">
        <f t="shared" si="24"/>
        <v>0.93028918537791228</v>
      </c>
      <c r="CB14" s="277">
        <f t="shared" si="24"/>
        <v>0.94768535793073916</v>
      </c>
      <c r="CC14" s="277">
        <f t="shared" si="24"/>
        <v>0.96507094338107002</v>
      </c>
      <c r="CD14" s="277">
        <f t="shared" si="24"/>
        <v>0.98244249221424695</v>
      </c>
      <c r="CE14" s="277">
        <f t="shared" si="24"/>
        <v>0.99979663547923714</v>
      </c>
      <c r="CF14" s="277">
        <f t="shared" si="24"/>
        <v>1.0171300834401489</v>
      </c>
      <c r="CG14" s="277">
        <f t="shared" si="24"/>
        <v>1.0344396242462768</v>
      </c>
      <c r="CH14" s="277">
        <f t="shared" si="24"/>
        <v>1.051722122623266</v>
      </c>
      <c r="CI14" s="277">
        <f t="shared" si="24"/>
        <v>1.0689745185822463</v>
      </c>
      <c r="CJ14" s="277">
        <f t="shared" si="24"/>
        <v>1.0861938261487261</v>
      </c>
      <c r="CK14" s="277">
        <f t="shared" si="24"/>
        <v>1.103377132109701</v>
      </c>
      <c r="CL14" s="277">
        <f t="shared" si="24"/>
        <v>1.1205215947801399</v>
      </c>
      <c r="CM14" s="277">
        <f t="shared" si="24"/>
        <v>1.1376244427862403</v>
      </c>
      <c r="CN14" s="277">
        <f t="shared" si="24"/>
        <v>1.1546829738684128</v>
      </c>
      <c r="CO14" s="277">
        <f t="shared" si="24"/>
        <v>1.1716945537005028</v>
      </c>
      <c r="CP14" s="277">
        <f t="shared" si="24"/>
        <v>1.1886566147273339</v>
      </c>
      <c r="CQ14" s="277">
        <f t="shared" si="24"/>
        <v>1.2055666550192932</v>
      </c>
      <c r="CR14" s="277">
        <f t="shared" si="24"/>
        <v>1.222422237144098</v>
      </c>
      <c r="CS14" s="277">
        <f t="shared" si="24"/>
        <v>1.239220987054571</v>
      </c>
      <c r="CT14" s="277">
        <f t="shared" si="24"/>
        <v>1.2559605929941924</v>
      </c>
      <c r="CU14" s="277">
        <f t="shared" si="24"/>
        <v>1.2726388044181718</v>
      </c>
      <c r="CV14" s="277">
        <f t="shared" si="24"/>
        <v>1.2892534309301489</v>
      </c>
      <c r="CW14" s="277">
        <f t="shared" si="24"/>
        <v>1.3058023412363262</v>
      </c>
      <c r="CX14" s="277">
        <f t="shared" si="24"/>
        <v>1.3222834621134147</v>
      </c>
      <c r="CY14" s="277">
        <f t="shared" si="24"/>
        <v>1.3386947773936058</v>
      </c>
      <c r="CZ14" s="277">
        <f t="shared" si="24"/>
        <v>1.3550343269632279</v>
      </c>
      <c r="DA14" s="277">
        <f t="shared" si="24"/>
        <v>1.3713002057779029</v>
      </c>
      <c r="DB14" s="277">
        <f t="shared" si="24"/>
        <v>1.3874905628913652</v>
      </c>
      <c r="DC14" s="277">
        <f t="shared" si="24"/>
        <v>1.4036036004994585</v>
      </c>
      <c r="DD14" s="277">
        <f t="shared" si="24"/>
        <v>1.4196375729983508</v>
      </c>
      <c r="DE14" s="277">
        <f t="shared" si="24"/>
        <v>1.43559078605686</v>
      </c>
      <c r="DF14" s="277">
        <f t="shared" si="24"/>
        <v>1.4514615957027317</v>
      </c>
      <c r="DG14" s="277">
        <f t="shared" si="24"/>
        <v>1.4672484074230603</v>
      </c>
      <c r="DH14" s="277">
        <f t="shared" si="24"/>
        <v>1.4829496752780749</v>
      </c>
      <c r="DI14" s="277">
        <f t="shared" si="24"/>
        <v>1.4985639010279499</v>
      </c>
      <c r="DJ14" s="277">
        <f t="shared" si="24"/>
        <v>1.5140896332734926</v>
      </c>
      <c r="DK14" s="277">
        <f t="shared" si="24"/>
        <v>1.5295254666096412</v>
      </c>
      <c r="DL14" s="277">
        <f t="shared" si="24"/>
        <v>1.5448700407915936</v>
      </c>
      <c r="DM14" s="277">
        <f t="shared" si="24"/>
        <v>1.5601220399137254</v>
      </c>
      <c r="DN14" s="277">
        <f t="shared" si="24"/>
        <v>1.5752801916014576</v>
      </c>
      <c r="DO14" s="277">
        <f t="shared" si="24"/>
        <v>1.590343266214294</v>
      </c>
      <c r="DP14" s="277">
        <f t="shared" si="24"/>
        <v>1.605310076062576</v>
      </c>
      <c r="DQ14" s="277">
        <f t="shared" si="24"/>
        <v>1.6201794746350977</v>
      </c>
      <c r="DR14" s="277">
        <f t="shared" si="24"/>
        <v>1.6349503558382956</v>
      </c>
      <c r="DS14" s="277">
        <f t="shared" si="24"/>
        <v>1.6496216532485484</v>
      </c>
      <c r="DT14" s="277">
        <f t="shared" si="24"/>
        <v>1.66419233937442</v>
      </c>
      <c r="DU14" s="277">
        <f t="shared" si="24"/>
        <v>1.6786614249311178</v>
      </c>
      <c r="DV14" s="277">
        <f t="shared" si="24"/>
        <v>1.6930279581253096</v>
      </c>
      <c r="DW14" s="277">
        <f t="shared" si="24"/>
        <v>1.70729102395239</v>
      </c>
      <c r="DX14" s="277">
        <f t="shared" si="24"/>
        <v>1.7214497435027525</v>
      </c>
      <c r="DY14" s="277">
        <f t="shared" si="24"/>
        <v>1.7355032732801909</v>
      </c>
      <c r="DZ14" s="277">
        <f t="shared" si="24"/>
        <v>1.7494508045302659</v>
      </c>
      <c r="EA14" s="277">
        <f t="shared" si="24"/>
        <v>1.7632915625787646</v>
      </c>
      <c r="EB14" s="277">
        <f t="shared" si="24"/>
        <v>1.7770248061812879</v>
      </c>
      <c r="EC14" s="277">
        <f t="shared" si="24"/>
        <v>1.7906498268823654</v>
      </c>
      <c r="ED14" s="277">
        <f t="shared" ref="ED14:GO14" si="25">12*(ED12-EC12)</f>
        <v>1.804165948383897</v>
      </c>
      <c r="EE14" s="277">
        <f t="shared" si="25"/>
        <v>1.8175725259252857</v>
      </c>
      <c r="EF14" s="277">
        <f t="shared" si="25"/>
        <v>1.8308689456707228</v>
      </c>
      <c r="EG14" s="277">
        <f t="shared" si="25"/>
        <v>1.8440546241087077</v>
      </c>
      <c r="EH14" s="277">
        <f t="shared" si="25"/>
        <v>1.8571290074586244</v>
      </c>
      <c r="EI14" s="277">
        <f t="shared" si="25"/>
        <v>1.8700915710883379</v>
      </c>
      <c r="EJ14" s="277">
        <f t="shared" si="25"/>
        <v>1.8829418189390594</v>
      </c>
      <c r="EK14" s="277">
        <f t="shared" si="25"/>
        <v>1.8956792829622771</v>
      </c>
      <c r="EL14" s="277">
        <f t="shared" si="25"/>
        <v>1.9083035225617166</v>
      </c>
      <c r="EM14" s="277">
        <f t="shared" si="25"/>
        <v>1.9208141240470056</v>
      </c>
      <c r="EN14" s="277">
        <f t="shared" si="25"/>
        <v>1.9332107000950955</v>
      </c>
      <c r="EO14" s="277">
        <f t="shared" si="25"/>
        <v>1.9454928892194872</v>
      </c>
      <c r="EP14" s="277">
        <f t="shared" si="25"/>
        <v>1.9576603552487057</v>
      </c>
      <c r="EQ14" s="277">
        <f t="shared" si="25"/>
        <v>1.9697127868128987</v>
      </c>
      <c r="ER14" s="277">
        <f t="shared" si="25"/>
        <v>1.9816498968382987</v>
      </c>
      <c r="ES14" s="277">
        <f t="shared" si="25"/>
        <v>1.9934714220497654</v>
      </c>
      <c r="ET14" s="277">
        <f t="shared" si="25"/>
        <v>2.0051771224818324</v>
      </c>
      <c r="EU14" s="277">
        <f t="shared" si="25"/>
        <v>2.0167667809964271</v>
      </c>
      <c r="EV14" s="277">
        <f t="shared" si="25"/>
        <v>2.0282402028093074</v>
      </c>
      <c r="EW14" s="277">
        <f t="shared" si="25"/>
        <v>2.0395972150235977</v>
      </c>
      <c r="EX14" s="277">
        <f t="shared" si="25"/>
        <v>2.0508376661715957</v>
      </c>
      <c r="EY14" s="277">
        <f t="shared" si="25"/>
        <v>2.0619614257616519</v>
      </c>
      <c r="EZ14" s="277">
        <f t="shared" si="25"/>
        <v>2.0729683838357502</v>
      </c>
      <c r="FA14" s="277">
        <f t="shared" si="25"/>
        <v>2.0838584505313733</v>
      </c>
      <c r="FB14" s="277">
        <f t="shared" si="25"/>
        <v>2.0946315556515742</v>
      </c>
      <c r="FC14" s="277">
        <f t="shared" si="25"/>
        <v>2.1052876482421681</v>
      </c>
      <c r="FD14" s="277">
        <f t="shared" si="25"/>
        <v>2.1158266961755317</v>
      </c>
      <c r="FE14" s="277">
        <f t="shared" si="25"/>
        <v>2.1262486857403928</v>
      </c>
      <c r="FF14" s="277">
        <f t="shared" si="25"/>
        <v>2.1365536212403811</v>
      </c>
      <c r="FG14" s="277">
        <f t="shared" si="25"/>
        <v>2.1467415245963934</v>
      </c>
      <c r="FH14" s="277">
        <f t="shared" si="25"/>
        <v>2.1568124349577431</v>
      </c>
      <c r="FI14" s="277">
        <f t="shared" si="25"/>
        <v>2.1667664083179545</v>
      </c>
      <c r="FJ14" s="277">
        <f t="shared" si="25"/>
        <v>2.1766035171386804</v>
      </c>
      <c r="FK14" s="277">
        <f t="shared" si="25"/>
        <v>2.186323849977434</v>
      </c>
      <c r="FL14" s="277">
        <f t="shared" si="25"/>
        <v>2.1959275111236565</v>
      </c>
      <c r="FM14" s="277">
        <f t="shared" si="25"/>
        <v>2.2054146202397078</v>
      </c>
      <c r="FN14" s="277">
        <f t="shared" si="25"/>
        <v>2.2147853120080399</v>
      </c>
      <c r="FO14" s="277">
        <f t="shared" si="25"/>
        <v>2.2240397357833146</v>
      </c>
      <c r="FP14" s="277">
        <f t="shared" si="25"/>
        <v>2.233178055251706</v>
      </c>
      <c r="FQ14" s="277">
        <f t="shared" si="25"/>
        <v>2.2422004480957654</v>
      </c>
      <c r="FR14" s="277">
        <f t="shared" si="25"/>
        <v>2.2511071056630172</v>
      </c>
      <c r="FS14" s="277">
        <f t="shared" si="25"/>
        <v>2.2598982326426125</v>
      </c>
      <c r="FT14" s="277">
        <f t="shared" si="25"/>
        <v>2.2685740467450088</v>
      </c>
      <c r="FU14" s="277">
        <f t="shared" si="25"/>
        <v>2.2771347783889198</v>
      </c>
      <c r="FV14" s="277">
        <f t="shared" si="25"/>
        <v>2.2855806703929744</v>
      </c>
      <c r="FW14" s="277">
        <f t="shared" si="25"/>
        <v>2.2939119776711721</v>
      </c>
      <c r="FX14" s="277">
        <f t="shared" si="25"/>
        <v>2.3021289669356264</v>
      </c>
      <c r="FY14" s="277">
        <f t="shared" si="25"/>
        <v>2.3102319164034242</v>
      </c>
      <c r="FZ14" s="277">
        <f t="shared" si="25"/>
        <v>2.3182211155076828</v>
      </c>
      <c r="GA14" s="277">
        <f t="shared" si="25"/>
        <v>2.3260968646134472</v>
      </c>
      <c r="GB14" s="277">
        <f t="shared" si="25"/>
        <v>2.3338594747421126</v>
      </c>
      <c r="GC14" s="277">
        <f t="shared" si="25"/>
        <v>2.341509267293759</v>
      </c>
      <c r="GD14" s="277">
        <f t="shared" si="25"/>
        <v>2.3490465737809103</v>
      </c>
      <c r="GE14" s="277">
        <f t="shared" si="25"/>
        <v>2.356471735562252</v>
      </c>
      <c r="GF14" s="277">
        <f t="shared" si="25"/>
        <v>2.3637851035833819</v>
      </c>
      <c r="GG14" s="277">
        <f t="shared" si="25"/>
        <v>2.3709870381211005</v>
      </c>
      <c r="GH14" s="277">
        <f t="shared" si="25"/>
        <v>2.3780779085332</v>
      </c>
      <c r="GI14" s="277">
        <f t="shared" si="25"/>
        <v>2.385058093009107</v>
      </c>
      <c r="GJ14" s="277">
        <f t="shared" si="25"/>
        <v>2.3919279783302869</v>
      </c>
      <c r="GK14" s="277">
        <f t="shared" si="25"/>
        <v>2.398687959630351</v>
      </c>
      <c r="GL14" s="277">
        <f t="shared" si="25"/>
        <v>2.4053384401610884</v>
      </c>
      <c r="GM14" s="277">
        <f t="shared" si="25"/>
        <v>2.4118798310619098</v>
      </c>
      <c r="GN14" s="277">
        <f t="shared" si="25"/>
        <v>2.4183125511359407</v>
      </c>
      <c r="GO14" s="277">
        <f t="shared" si="25"/>
        <v>2.424637026624282</v>
      </c>
      <c r="GP14" s="277">
        <f t="shared" ref="GP14:JA14" si="26">12*(GP12-GO12)</f>
        <v>2.4308536909921656</v>
      </c>
      <c r="GQ14" s="277">
        <f t="shared" si="26"/>
        <v>2.4369629847096945</v>
      </c>
      <c r="GR14" s="277">
        <f t="shared" si="26"/>
        <v>2.4429653550468657</v>
      </c>
      <c r="GS14" s="277">
        <f t="shared" si="26"/>
        <v>2.4488612558608764</v>
      </c>
      <c r="GT14" s="277">
        <f t="shared" si="26"/>
        <v>2.4546511473984367</v>
      </c>
      <c r="GU14" s="277">
        <f t="shared" si="26"/>
        <v>2.4603354960920711</v>
      </c>
      <c r="GV14" s="277">
        <f t="shared" si="26"/>
        <v>2.4659147743661407</v>
      </c>
      <c r="GW14" s="277">
        <f t="shared" si="26"/>
        <v>2.4713894604449962</v>
      </c>
      <c r="GX14" s="277">
        <f t="shared" si="26"/>
        <v>2.4767600381617711</v>
      </c>
      <c r="GY14" s="277">
        <f t="shared" si="26"/>
        <v>2.4820269967748061</v>
      </c>
      <c r="GZ14" s="277">
        <f t="shared" si="26"/>
        <v>2.4871908307847548</v>
      </c>
      <c r="HA14" s="277">
        <f t="shared" si="26"/>
        <v>2.4922520397549306</v>
      </c>
      <c r="HB14" s="277">
        <f t="shared" si="26"/>
        <v>2.4972111281378773</v>
      </c>
      <c r="HC14" s="277">
        <f t="shared" si="26"/>
        <v>2.502068605099339</v>
      </c>
      <c r="HD14" s="277">
        <f t="shared" si="26"/>
        <v>2.5068249843525052</v>
      </c>
      <c r="HE14" s="277">
        <f t="shared" si="26"/>
        <v>2.5114807839901658</v>
      </c>
      <c r="HF14" s="277">
        <f t="shared" si="26"/>
        <v>2.5160365263204056</v>
      </c>
      <c r="HG14" s="277">
        <f t="shared" si="26"/>
        <v>2.5204927377098016</v>
      </c>
      <c r="HH14" s="277">
        <f t="shared" si="26"/>
        <v>2.524849948423082</v>
      </c>
      <c r="HI14" s="277">
        <f t="shared" si="26"/>
        <v>2.5291086924699044</v>
      </c>
      <c r="HJ14" s="277">
        <f t="shared" si="26"/>
        <v>2.5332695074544063</v>
      </c>
      <c r="HK14" s="277">
        <f t="shared" si="26"/>
        <v>2.5373329344255637</v>
      </c>
      <c r="HL14" s="277">
        <f t="shared" si="26"/>
        <v>2.5412995177324973</v>
      </c>
      <c r="HM14" s="277">
        <f t="shared" si="26"/>
        <v>2.5451698048796914</v>
      </c>
      <c r="HN14" s="277">
        <f t="shared" si="26"/>
        <v>2.5489443463893338</v>
      </c>
      <c r="HO14" s="277">
        <f t="shared" si="26"/>
        <v>2.5526236956611399</v>
      </c>
      <c r="HP14" s="277">
        <f t="shared" si="26"/>
        <v>2.556208408839808</v>
      </c>
      <c r="HQ14" s="277">
        <f t="shared" si="26"/>
        <v>2.5596990446800447</v>
      </c>
      <c r="HR14" s="277">
        <f t="shared" si="26"/>
        <v>2.5630961644182406</v>
      </c>
      <c r="HS14" s="277">
        <f t="shared" si="26"/>
        <v>2.5664003316464488</v>
      </c>
      <c r="HT14" s="277">
        <f t="shared" si="26"/>
        <v>2.5696121121838047</v>
      </c>
      <c r="HU14" s="277">
        <f t="shared" si="26"/>
        <v>2.5727320739571979</v>
      </c>
      <c r="HV14" s="277">
        <f t="shared" si="26"/>
        <v>2.5757607868804939</v>
      </c>
      <c r="HW14" s="277">
        <f t="shared" si="26"/>
        <v>2.578698822735717</v>
      </c>
      <c r="HX14" s="277">
        <f t="shared" si="26"/>
        <v>2.5815467550591791</v>
      </c>
      <c r="HY14" s="277">
        <f t="shared" si="26"/>
        <v>2.5843051590267549</v>
      </c>
      <c r="HZ14" s="277">
        <f t="shared" si="26"/>
        <v>2.5869746113451697</v>
      </c>
      <c r="IA14" s="277">
        <f t="shared" si="26"/>
        <v>2.5895556901399601</v>
      </c>
      <c r="IB14" s="277">
        <f t="shared" si="26"/>
        <v>2.592048974852645</v>
      </c>
      <c r="IC14" s="277">
        <f t="shared" si="26"/>
        <v>2.594455046134442</v>
      </c>
      <c r="ID14" s="277">
        <f t="shared" si="26"/>
        <v>2.5967744857429267</v>
      </c>
      <c r="IE14" s="277">
        <f t="shared" si="26"/>
        <v>2.5990078764447873</v>
      </c>
      <c r="IF14" s="277">
        <f t="shared" si="26"/>
        <v>2.6011558019146577</v>
      </c>
      <c r="IG14" s="277">
        <f t="shared" si="26"/>
        <v>2.6032188466414539</v>
      </c>
      <c r="IH14" s="277">
        <f t="shared" si="26"/>
        <v>2.6051975958315552</v>
      </c>
      <c r="II14" s="277">
        <f t="shared" si="26"/>
        <v>2.6070926353204271</v>
      </c>
      <c r="IJ14" s="277">
        <f t="shared" si="26"/>
        <v>2.6089045514761438</v>
      </c>
      <c r="IK14" s="277">
        <f t="shared" si="26"/>
        <v>2.6106339311187696</v>
      </c>
      <c r="IL14" s="277">
        <f t="shared" si="26"/>
        <v>2.6122813614270797</v>
      </c>
      <c r="IM14" s="277">
        <f t="shared" si="26"/>
        <v>2.61384742985679</v>
      </c>
      <c r="IN14" s="277">
        <f t="shared" si="26"/>
        <v>2.6153327240580211</v>
      </c>
      <c r="IO14" s="277">
        <f t="shared" si="26"/>
        <v>2.6167378317926335</v>
      </c>
      <c r="IP14" s="277">
        <f t="shared" si="26"/>
        <v>2.6180633408553149</v>
      </c>
      <c r="IQ14" s="277">
        <f t="shared" si="26"/>
        <v>2.6193098389953917</v>
      </c>
      <c r="IR14" s="277">
        <f t="shared" si="26"/>
        <v>2.620477913842862</v>
      </c>
      <c r="IS14" s="277">
        <f t="shared" si="26"/>
        <v>2.621568152830335</v>
      </c>
      <c r="IT14" s="277">
        <f t="shared" si="26"/>
        <v>2.6225811431227726</v>
      </c>
      <c r="IU14" s="277">
        <f t="shared" si="26"/>
        <v>2.6235174715465064</v>
      </c>
      <c r="IV14" s="277">
        <f t="shared" si="26"/>
        <v>2.6243777245176148</v>
      </c>
      <c r="IW14" s="277">
        <f t="shared" si="26"/>
        <v>2.6251624879755013</v>
      </c>
      <c r="IX14" s="277">
        <f t="shared" si="26"/>
        <v>2.6258723473157488</v>
      </c>
      <c r="IY14" s="277">
        <f t="shared" si="26"/>
        <v>2.6265078873247205</v>
      </c>
      <c r="IZ14" s="277">
        <f t="shared" si="26"/>
        <v>2.62706969211672</v>
      </c>
      <c r="JA14" s="277">
        <f t="shared" si="26"/>
        <v>2.6275583450720887</v>
      </c>
      <c r="JB14" s="277">
        <f t="shared" ref="JB14:LM14" si="27">12*(JB12-JA12)</f>
        <v>2.6279744287738538</v>
      </c>
      <c r="JC14" s="277">
        <f t="shared" si="27"/>
        <v>2.6283185249521352</v>
      </c>
      <c r="JD14" s="277">
        <f t="shared" si="27"/>
        <v>2.6285912144247163</v>
      </c>
      <c r="JE14" s="277">
        <f t="shared" si="27"/>
        <v>2.6287930770381251</v>
      </c>
      <c r="JF14" s="277">
        <f t="shared" si="27"/>
        <v>2.6289246916175841</v>
      </c>
      <c r="JG14" s="277">
        <f t="shared" si="27"/>
        <v>2.6289866359058749</v>
      </c>
      <c r="JH14" s="277">
        <f t="shared" si="27"/>
        <v>2.6289794865190004</v>
      </c>
      <c r="JI14" s="277">
        <f t="shared" si="27"/>
        <v>2.6289038188879488</v>
      </c>
      <c r="JJ14" s="277">
        <f t="shared" si="27"/>
        <v>2.6287602072120535</v>
      </c>
      <c r="JK14" s="277">
        <f t="shared" si="27"/>
        <v>2.6285492244086015</v>
      </c>
      <c r="JL14" s="277">
        <f t="shared" si="27"/>
        <v>2.6282714420668754</v>
      </c>
      <c r="JM14" s="277">
        <f t="shared" si="27"/>
        <v>2.6279274304000637</v>
      </c>
      <c r="JN14" s="277">
        <f t="shared" si="27"/>
        <v>2.6275177581988771</v>
      </c>
      <c r="JO14" s="277">
        <f t="shared" si="27"/>
        <v>2.6270429927915586</v>
      </c>
      <c r="JP14" s="277">
        <f t="shared" si="27"/>
        <v>2.6265036999963058</v>
      </c>
      <c r="JQ14" s="277">
        <f t="shared" si="27"/>
        <v>2.6259004440809406</v>
      </c>
      <c r="JR14" s="277">
        <f t="shared" si="27"/>
        <v>2.6252337877236869</v>
      </c>
      <c r="JS14" s="277">
        <f t="shared" si="27"/>
        <v>2.6245042919700268</v>
      </c>
      <c r="JT14" s="277">
        <f t="shared" si="27"/>
        <v>2.6237125161966333</v>
      </c>
      <c r="JU14" s="277">
        <f t="shared" si="27"/>
        <v>2.622859018073683</v>
      </c>
      <c r="JV14" s="277">
        <f t="shared" si="27"/>
        <v>2.6219443535260609</v>
      </c>
      <c r="JW14" s="277">
        <f t="shared" si="27"/>
        <v>2.6209690766986569</v>
      </c>
      <c r="JX14" s="277">
        <f t="shared" si="27"/>
        <v>2.61993373992226</v>
      </c>
      <c r="JY14" s="277">
        <f t="shared" si="27"/>
        <v>2.6188388936808167</v>
      </c>
      <c r="JZ14" s="277">
        <f t="shared" si="27"/>
        <v>2.6176850865741699</v>
      </c>
      <c r="KA14" s="277">
        <f t="shared" si="27"/>
        <v>2.6164728652919678</v>
      </c>
      <c r="KB14" s="277">
        <f t="shared" si="27"/>
        <v>2.6152027745788757</v>
      </c>
      <c r="KC14" s="277">
        <f t="shared" si="27"/>
        <v>2.6138753572046483</v>
      </c>
      <c r="KD14" s="277">
        <f t="shared" si="27"/>
        <v>2.6124911539376967</v>
      </c>
      <c r="KE14" s="277">
        <f t="shared" si="27"/>
        <v>2.611050703513115</v>
      </c>
      <c r="KF14" s="277">
        <f t="shared" si="27"/>
        <v>2.6095545426087199</v>
      </c>
      <c r="KG14" s="277">
        <f t="shared" si="27"/>
        <v>2.6080032058151232</v>
      </c>
      <c r="KH14" s="277">
        <f t="shared" si="27"/>
        <v>2.6063972256134775</v>
      </c>
      <c r="KI14" s="277">
        <f t="shared" si="27"/>
        <v>2.6047371323463153</v>
      </c>
      <c r="KJ14" s="277">
        <f t="shared" si="27"/>
        <v>2.6030234541971708</v>
      </c>
      <c r="KK14" s="277">
        <f t="shared" si="27"/>
        <v>2.6012567171658532</v>
      </c>
      <c r="KL14" s="277">
        <f t="shared" si="27"/>
        <v>2.5994374450441455</v>
      </c>
      <c r="KM14" s="277">
        <f t="shared" si="27"/>
        <v>2.5975661593962798</v>
      </c>
      <c r="KN14" s="277">
        <f t="shared" si="27"/>
        <v>2.5956433795370231</v>
      </c>
      <c r="KO14" s="277">
        <f t="shared" si="27"/>
        <v>2.5936696225101059</v>
      </c>
      <c r="KP14" s="277">
        <f t="shared" si="27"/>
        <v>2.5916454030700606</v>
      </c>
      <c r="KQ14" s="277">
        <f t="shared" si="27"/>
        <v>2.5895712336637189</v>
      </c>
      <c r="KR14" s="277">
        <f t="shared" si="27"/>
        <v>2.5874476244071047</v>
      </c>
      <c r="KS14" s="277">
        <f t="shared" si="27"/>
        <v>2.5852750830757998</v>
      </c>
      <c r="KT14" s="277">
        <f t="shared" si="27"/>
        <v>2.5830541150814099</v>
      </c>
      <c r="KU14" s="277">
        <f t="shared" si="27"/>
        <v>2.5807852234562176</v>
      </c>
      <c r="KV14" s="277">
        <f t="shared" si="27"/>
        <v>2.5784689088413302</v>
      </c>
      <c r="KW14" s="277">
        <f t="shared" si="27"/>
        <v>2.5761056694671538</v>
      </c>
      <c r="KX14" s="277">
        <f t="shared" si="27"/>
        <v>2.5736960011399219</v>
      </c>
      <c r="KY14" s="277">
        <f t="shared" si="27"/>
        <v>2.5712403972315485</v>
      </c>
      <c r="KZ14" s="277">
        <f t="shared" si="27"/>
        <v>2.5687393486598467</v>
      </c>
      <c r="LA14" s="277">
        <f t="shared" si="27"/>
        <v>2.5661933438814515</v>
      </c>
      <c r="LB14" s="277">
        <f t="shared" si="27"/>
        <v>2.5636028688777515</v>
      </c>
      <c r="LC14" s="277">
        <f t="shared" si="27"/>
        <v>2.5609684071418428</v>
      </c>
      <c r="LD14" s="277">
        <f t="shared" si="27"/>
        <v>2.5582904396693209</v>
      </c>
      <c r="LE14" s="277">
        <f t="shared" si="27"/>
        <v>2.5555694449486452</v>
      </c>
      <c r="LF14" s="277">
        <f t="shared" si="27"/>
        <v>2.5528058989482645</v>
      </c>
      <c r="LG14" s="277">
        <f t="shared" si="27"/>
        <v>2.550000275108772</v>
      </c>
      <c r="LH14" s="277">
        <f t="shared" si="27"/>
        <v>2.5471530443357437</v>
      </c>
      <c r="LI14" s="277">
        <f t="shared" si="27"/>
        <v>2.5442646749878008</v>
      </c>
      <c r="LJ14" s="277">
        <f t="shared" si="27"/>
        <v>2.5413356328710677</v>
      </c>
      <c r="LK14" s="277">
        <f t="shared" si="27"/>
        <v>2.5383663812314978</v>
      </c>
      <c r="LL14" s="277">
        <f t="shared" si="27"/>
        <v>2.5353573807462624</v>
      </c>
      <c r="LM14" s="277">
        <f t="shared" si="27"/>
        <v>2.5323090895200835</v>
      </c>
      <c r="LN14" s="277">
        <f t="shared" ref="LN14:NY14" si="28">12*(LN12-LM12)</f>
        <v>2.5292219630770489</v>
      </c>
      <c r="LO14" s="277">
        <f t="shared" si="28"/>
        <v>2.5260964543540467</v>
      </c>
      <c r="LP14" s="277">
        <f t="shared" si="28"/>
        <v>2.5229330136986334</v>
      </c>
      <c r="LQ14" s="277">
        <f t="shared" si="28"/>
        <v>2.5197320888625541</v>
      </c>
      <c r="LR14" s="277">
        <f t="shared" si="28"/>
        <v>2.5164941249956883</v>
      </c>
      <c r="LS14" s="277">
        <f t="shared" si="28"/>
        <v>2.5132195646461355</v>
      </c>
      <c r="LT14" s="277">
        <f t="shared" si="28"/>
        <v>2.5099088477522002</v>
      </c>
      <c r="LU14" s="277">
        <f t="shared" si="28"/>
        <v>2.5065624116438414</v>
      </c>
      <c r="LV14" s="277">
        <f t="shared" si="28"/>
        <v>2.5031806910340606</v>
      </c>
      <c r="LW14" s="277">
        <f t="shared" si="28"/>
        <v>2.4997641180241033</v>
      </c>
      <c r="LX14" s="277">
        <f t="shared" si="28"/>
        <v>2.4963131220928005</v>
      </c>
      <c r="LY14" s="277">
        <f t="shared" si="28"/>
        <v>2.4928281301031348</v>
      </c>
      <c r="LZ14" s="277">
        <f t="shared" si="28"/>
        <v>2.4893095662943949</v>
      </c>
      <c r="MA14" s="277">
        <f t="shared" si="28"/>
        <v>2.4857578522856727</v>
      </c>
      <c r="MB14" s="277">
        <f t="shared" si="28"/>
        <v>2.4821734070724517</v>
      </c>
      <c r="MC14" s="277">
        <f t="shared" si="28"/>
        <v>2.478556647027375</v>
      </c>
      <c r="MD14" s="277">
        <f t="shared" si="28"/>
        <v>2.4749079859009271</v>
      </c>
      <c r="ME14" s="277">
        <f t="shared" si="28"/>
        <v>2.4712278348198993</v>
      </c>
      <c r="MF14" s="277">
        <f t="shared" si="28"/>
        <v>2.4675166022902886</v>
      </c>
      <c r="MG14" s="277">
        <f t="shared" si="28"/>
        <v>2.4637746941971272</v>
      </c>
      <c r="MH14" s="277">
        <f t="shared" si="28"/>
        <v>2.460002513804568</v>
      </c>
      <c r="MI14" s="277">
        <f t="shared" si="28"/>
        <v>2.4562004617598916</v>
      </c>
      <c r="MJ14" s="277">
        <f t="shared" si="28"/>
        <v>2.4523689360941887</v>
      </c>
      <c r="MK14" s="277">
        <f t="shared" si="28"/>
        <v>2.4485083322221044</v>
      </c>
      <c r="ML14" s="277">
        <f t="shared" si="28"/>
        <v>2.4446190429500234</v>
      </c>
      <c r="MM14" s="277">
        <f t="shared" si="28"/>
        <v>2.4407014584727449</v>
      </c>
      <c r="MN14" s="277">
        <f t="shared" si="28"/>
        <v>2.436755966378513</v>
      </c>
      <c r="MO14" s="277">
        <f t="shared" si="28"/>
        <v>2.4327829516541328</v>
      </c>
      <c r="MP14" s="277">
        <f t="shared" si="28"/>
        <v>2.4287827966860789</v>
      </c>
      <c r="MQ14" s="277">
        <f t="shared" si="28"/>
        <v>2.4247558812633088</v>
      </c>
      <c r="MR14" s="277">
        <f t="shared" si="28"/>
        <v>2.4207025825851929</v>
      </c>
      <c r="MS14" s="277">
        <f t="shared" si="28"/>
        <v>2.4166232752615144</v>
      </c>
      <c r="MT14" s="277">
        <f t="shared" si="28"/>
        <v>2.4125183313175853</v>
      </c>
      <c r="MU14" s="277">
        <f t="shared" si="28"/>
        <v>2.4083881202020905</v>
      </c>
      <c r="MV14" s="277">
        <f t="shared" si="28"/>
        <v>2.4042330087866617</v>
      </c>
      <c r="MW14" s="277">
        <f t="shared" si="28"/>
        <v>2.4000533613751713</v>
      </c>
      <c r="MX14" s="277">
        <f t="shared" si="28"/>
        <v>2.3958495397070578</v>
      </c>
      <c r="MY14" s="277">
        <f t="shared" si="28"/>
        <v>2.3916219029632941</v>
      </c>
      <c r="MZ14" s="277">
        <f t="shared" si="28"/>
        <v>2.3873708077702247</v>
      </c>
      <c r="NA14" s="277">
        <f t="shared" si="28"/>
        <v>2.3830966082089446</v>
      </c>
      <c r="NB14" s="277">
        <f t="shared" si="28"/>
        <v>2.3787996558175166</v>
      </c>
      <c r="NC14" s="277">
        <f t="shared" si="28"/>
        <v>2.3744802995998384</v>
      </c>
      <c r="ND14" s="277">
        <f t="shared" si="28"/>
        <v>2.3701388860303325</v>
      </c>
      <c r="NE14" s="277">
        <f t="shared" si="28"/>
        <v>2.3657757590605968</v>
      </c>
      <c r="NF14" s="277">
        <f t="shared" si="28"/>
        <v>2.3613912601272489</v>
      </c>
      <c r="NG14" s="277">
        <f t="shared" si="28"/>
        <v>2.3569857281584916</v>
      </c>
      <c r="NH14" s="277">
        <f t="shared" si="28"/>
        <v>2.3525594995791437</v>
      </c>
      <c r="NI14" s="277">
        <f t="shared" si="28"/>
        <v>2.3481129083201893</v>
      </c>
      <c r="NJ14" s="277">
        <f t="shared" si="28"/>
        <v>2.3436462858252582</v>
      </c>
      <c r="NK14" s="277">
        <f t="shared" si="28"/>
        <v>2.3391599610576179</v>
      </c>
      <c r="NL14" s="277">
        <f t="shared" si="28"/>
        <v>2.3346542605087848</v>
      </c>
      <c r="NM14" s="277">
        <f t="shared" si="28"/>
        <v>2.3301295082042373</v>
      </c>
      <c r="NN14" s="277">
        <f t="shared" si="28"/>
        <v>2.3255860257141592</v>
      </c>
      <c r="NO14" s="277">
        <f t="shared" si="28"/>
        <v>2.3210241321592378</v>
      </c>
      <c r="NP14" s="277">
        <f t="shared" si="28"/>
        <v>2.316444144220128</v>
      </c>
      <c r="NQ14" s="277">
        <f t="shared" si="28"/>
        <v>2.3118463761429098</v>
      </c>
      <c r="NR14" s="277">
        <f t="shared" si="28"/>
        <v>2.3072311397531564</v>
      </c>
      <c r="NS14" s="277">
        <f t="shared" si="28"/>
        <v>2.3025987444572991</v>
      </c>
      <c r="NT14" s="277">
        <f t="shared" si="28"/>
        <v>2.2979494972582302</v>
      </c>
      <c r="NU14" s="277">
        <f t="shared" si="28"/>
        <v>2.2932837027566677</v>
      </c>
      <c r="NV14" s="277">
        <f t="shared" si="28"/>
        <v>2.2886016631682935</v>
      </c>
      <c r="NW14" s="277">
        <f t="shared" si="28"/>
        <v>2.2839036783250322</v>
      </c>
      <c r="NX14" s="277">
        <f t="shared" si="28"/>
        <v>2.2791900456882672</v>
      </c>
      <c r="NY14" s="277">
        <f t="shared" si="28"/>
        <v>2.2744610603575381</v>
      </c>
      <c r="NZ14" s="277">
        <f t="shared" ref="NZ14:QK14" si="29">12*(NZ12-NY12)</f>
        <v>2.2697170150786405</v>
      </c>
      <c r="OA14" s="277">
        <f t="shared" si="29"/>
        <v>2.2649582002544548</v>
      </c>
      <c r="OB14" s="277">
        <f t="shared" si="29"/>
        <v>2.2601849039520232</v>
      </c>
      <c r="OC14" s="277">
        <f t="shared" si="29"/>
        <v>2.2553974119147426</v>
      </c>
      <c r="OD14" s="277">
        <f t="shared" si="29"/>
        <v>2.2505960075692713</v>
      </c>
      <c r="OE14" s="277">
        <f t="shared" si="29"/>
        <v>2.245780972038915</v>
      </c>
      <c r="OF14" s="277">
        <f t="shared" si="29"/>
        <v>2.2409525841479763</v>
      </c>
      <c r="OG14" s="277">
        <f t="shared" si="29"/>
        <v>2.236111120436675</v>
      </c>
      <c r="OH14" s="277">
        <f t="shared" si="29"/>
        <v>2.2312568551677998</v>
      </c>
      <c r="OI14" s="277">
        <f t="shared" si="29"/>
        <v>2.226390060337792</v>
      </c>
      <c r="OJ14" s="277">
        <f t="shared" si="29"/>
        <v>2.2215110056881713</v>
      </c>
      <c r="OK14" s="277">
        <f t="shared" si="29"/>
        <v>2.2166199587118456</v>
      </c>
      <c r="OL14" s="277">
        <f t="shared" si="29"/>
        <v>2.2117171846661563</v>
      </c>
      <c r="OM14" s="277">
        <f t="shared" si="29"/>
        <v>2.2068029465840482</v>
      </c>
      <c r="ON14" s="277">
        <f t="shared" si="29"/>
        <v>2.2018775052792705</v>
      </c>
      <c r="OO14" s="277">
        <f t="shared" si="29"/>
        <v>2.1969411193642827</v>
      </c>
      <c r="OP14" s="277">
        <f t="shared" si="29"/>
        <v>2.1919940452523861</v>
      </c>
      <c r="OQ14" s="277">
        <f t="shared" si="29"/>
        <v>2.1870365371749472</v>
      </c>
      <c r="OR14" s="277">
        <f t="shared" si="29"/>
        <v>2.1820688471866845</v>
      </c>
      <c r="OS14" s="277">
        <f t="shared" si="29"/>
        <v>2.1770912251808454</v>
      </c>
      <c r="OT14" s="277">
        <f t="shared" si="29"/>
        <v>2.1721039188948339</v>
      </c>
      <c r="OU14" s="277">
        <f t="shared" si="29"/>
        <v>2.167107173925217</v>
      </c>
      <c r="OV14" s="277">
        <f t="shared" si="29"/>
        <v>2.1621012337349725</v>
      </c>
      <c r="OW14" s="277">
        <f t="shared" si="29"/>
        <v>2.1570863396672166</v>
      </c>
      <c r="OX14" s="277">
        <f t="shared" si="29"/>
        <v>2.1520627309518545</v>
      </c>
      <c r="OY14" s="277">
        <f t="shared" si="29"/>
        <v>2.1470306447202461</v>
      </c>
      <c r="OZ14" s="277">
        <f t="shared" si="29"/>
        <v>2.1419903160150966</v>
      </c>
      <c r="PA14" s="277">
        <f t="shared" si="29"/>
        <v>2.1369419777971075</v>
      </c>
      <c r="PB14" s="277">
        <f t="shared" si="29"/>
        <v>2.1318858609630524</v>
      </c>
      <c r="PC14" s="277">
        <f t="shared" si="29"/>
        <v>2.1268221943496997</v>
      </c>
      <c r="PD14" s="277">
        <f t="shared" si="29"/>
        <v>2.1217512047498417</v>
      </c>
      <c r="PE14" s="277">
        <f t="shared" si="29"/>
        <v>2.1166731169191166</v>
      </c>
      <c r="PF14" s="277">
        <f t="shared" si="29"/>
        <v>2.111588153589139</v>
      </c>
      <c r="PG14" s="277">
        <f t="shared" si="29"/>
        <v>2.1064965354784135</v>
      </c>
      <c r="PH14" s="277">
        <f t="shared" si="29"/>
        <v>2.1013984813027378</v>
      </c>
      <c r="PI14" s="277">
        <f t="shared" si="29"/>
        <v>2.0962942077854336</v>
      </c>
      <c r="PJ14" s="277">
        <f t="shared" si="29"/>
        <v>2.0911839296696257</v>
      </c>
      <c r="PK14" s="277">
        <f t="shared" si="29"/>
        <v>2.0860678597289848</v>
      </c>
      <c r="PL14" s="277">
        <f t="shared" si="29"/>
        <v>2.0809462087769361</v>
      </c>
      <c r="PM14" s="277">
        <f t="shared" si="29"/>
        <v>2.0758191856801318</v>
      </c>
      <c r="PN14" s="277">
        <f t="shared" si="29"/>
        <v>2.0706869973681705</v>
      </c>
      <c r="PO14" s="277">
        <f t="shared" si="29"/>
        <v>2.0655498488440003</v>
      </c>
      <c r="PP14" s="277">
        <f t="shared" si="29"/>
        <v>2.0604079431967079</v>
      </c>
      <c r="PQ14" s="277">
        <f t="shared" si="29"/>
        <v>2.0552614816102164</v>
      </c>
      <c r="PR14" s="277">
        <f t="shared" si="29"/>
        <v>2.0501106633764152</v>
      </c>
      <c r="PS14" s="277">
        <f t="shared" si="29"/>
        <v>2.0449556859041991</v>
      </c>
      <c r="PT14" s="277">
        <f t="shared" si="29"/>
        <v>2.0397967447329393</v>
      </c>
      <c r="PU14" s="277">
        <f t="shared" si="29"/>
        <v>2.0346340335410105</v>
      </c>
      <c r="PV14" s="277">
        <f t="shared" si="29"/>
        <v>2.0294677441563636</v>
      </c>
      <c r="PW14" s="277">
        <f t="shared" si="29"/>
        <v>2.024298066573067</v>
      </c>
      <c r="PX14" s="277">
        <f t="shared" si="29"/>
        <v>2.0191251889535238</v>
      </c>
      <c r="PY14" s="277">
        <f t="shared" si="29"/>
        <v>2.0139492976465476</v>
      </c>
      <c r="PZ14" s="277">
        <f t="shared" si="29"/>
        <v>2.0087705771962305</v>
      </c>
      <c r="QA14" s="277">
        <f t="shared" si="29"/>
        <v>2.0035892103499577</v>
      </c>
      <c r="QB14" s="277">
        <f t="shared" si="29"/>
        <v>1.9984053780746081</v>
      </c>
      <c r="QC14" s="277">
        <f t="shared" si="29"/>
        <v>1.9932192595632046</v>
      </c>
      <c r="QD14" s="277">
        <f t="shared" si="29"/>
        <v>1.988031032248557</v>
      </c>
      <c r="QE14" s="277">
        <f t="shared" si="29"/>
        <v>1.9828408718109358</v>
      </c>
      <c r="QF14" s="277">
        <f t="shared" si="29"/>
        <v>1.9776489521942722</v>
      </c>
      <c r="QG14" s="277">
        <f t="shared" si="29"/>
        <v>1.9724554456099099</v>
      </c>
      <c r="QH14" s="277">
        <f t="shared" si="29"/>
        <v>1.9672605225541702</v>
      </c>
      <c r="QI14" s="277">
        <f t="shared" si="29"/>
        <v>1.962064351816025</v>
      </c>
      <c r="QJ14" s="277">
        <f t="shared" si="29"/>
        <v>1.9568671004869884</v>
      </c>
      <c r="QK14" s="277">
        <f t="shared" si="29"/>
        <v>1.9516689339740765</v>
      </c>
      <c r="QL14" s="277">
        <f t="shared" ref="QL14:RP14" si="30">12*(QL12-QK12)</f>
        <v>1.9464700160100392</v>
      </c>
      <c r="QM14" s="277">
        <f t="shared" si="30"/>
        <v>1.9412705086632513</v>
      </c>
      <c r="QN14" s="277">
        <f t="shared" si="30"/>
        <v>1.9360705723481146</v>
      </c>
      <c r="QO14" s="277">
        <f t="shared" si="30"/>
        <v>1.9308703658392119</v>
      </c>
      <c r="QP14" s="277">
        <f t="shared" si="30"/>
        <v>1.925670046277105</v>
      </c>
      <c r="QQ14" s="277">
        <f t="shared" si="30"/>
        <v>1.9204697691812953</v>
      </c>
      <c r="QR14" s="277">
        <f t="shared" si="30"/>
        <v>1.9152696884638658</v>
      </c>
      <c r="QS14" s="277">
        <f t="shared" si="30"/>
        <v>1.9100699564332331</v>
      </c>
      <c r="QT14" s="277">
        <f t="shared" si="30"/>
        <v>1.9048707238118823</v>
      </c>
      <c r="QU14" s="277">
        <f t="shared" si="30"/>
        <v>1.8996721397419947</v>
      </c>
      <c r="QV14" s="277">
        <f t="shared" si="30"/>
        <v>1.8944743517975553</v>
      </c>
      <c r="QW14" s="277">
        <f t="shared" si="30"/>
        <v>1.8892775059973133</v>
      </c>
      <c r="QX14" s="277">
        <f t="shared" si="30"/>
        <v>1.8840817468104092</v>
      </c>
      <c r="QY14" s="277">
        <f t="shared" si="30"/>
        <v>1.8788872171701883</v>
      </c>
      <c r="QZ14" s="277">
        <f t="shared" si="30"/>
        <v>1.8736940584859667</v>
      </c>
      <c r="RA14" s="277">
        <f t="shared" si="30"/>
        <v>1.8685024106476362</v>
      </c>
      <c r="RB14" s="277">
        <f t="shared" si="30"/>
        <v>1.8633124120432285</v>
      </c>
      <c r="RC14" s="277">
        <f t="shared" si="30"/>
        <v>1.8581241995636901</v>
      </c>
      <c r="RD14" s="277">
        <f t="shared" si="30"/>
        <v>1.8529379086158428</v>
      </c>
      <c r="RE14" s="277">
        <f t="shared" si="30"/>
        <v>1.8477536731327859</v>
      </c>
      <c r="RF14" s="277">
        <f t="shared" si="30"/>
        <v>1.8425716255824227</v>
      </c>
      <c r="RG14" s="277">
        <f t="shared" si="30"/>
        <v>1.8373918969795682</v>
      </c>
      <c r="RH14" s="277">
        <f t="shared" si="30"/>
        <v>1.8322146168941345</v>
      </c>
      <c r="RI14" s="277">
        <f t="shared" si="30"/>
        <v>1.827039913463409</v>
      </c>
      <c r="RJ14" s="277">
        <f t="shared" si="30"/>
        <v>1.8218679134012632</v>
      </c>
      <c r="RK14" s="277">
        <f t="shared" si="30"/>
        <v>1.8166987420075316</v>
      </c>
      <c r="RL14" s="277">
        <f t="shared" si="30"/>
        <v>1.8115325231784141</v>
      </c>
      <c r="RM14" s="277">
        <f t="shared" si="30"/>
        <v>1.8063693794177311</v>
      </c>
      <c r="RN14" s="277">
        <f t="shared" si="30"/>
        <v>1.8012094318434038</v>
      </c>
      <c r="RO14" s="277">
        <f t="shared" si="30"/>
        <v>1.7960528002038245</v>
      </c>
      <c r="RP14" s="277">
        <f t="shared" si="30"/>
        <v>1.7908996028804154</v>
      </c>
    </row>
    <row r="15" spans="1:495" ht="12.95" customHeight="1" x14ac:dyDescent="0.2">
      <c r="C15" s="21" t="s">
        <v>920</v>
      </c>
      <c r="D15" s="21" t="s">
        <v>916</v>
      </c>
      <c r="E15" s="146"/>
      <c r="F15" s="277">
        <f>12*(F13-E13)</f>
        <v>7.1344810150982126E-4</v>
      </c>
      <c r="G15" s="277">
        <f t="shared" ref="G15:BR15" si="31">12*(G13-F13)</f>
        <v>1.9210599792084484E-3</v>
      </c>
      <c r="H15" s="277">
        <f t="shared" si="31"/>
        <v>3.710481284722322E-3</v>
      </c>
      <c r="I15" s="277">
        <f t="shared" si="31"/>
        <v>6.0669647836495387E-3</v>
      </c>
      <c r="J15" s="277">
        <f t="shared" si="31"/>
        <v>8.9760199367558934E-3</v>
      </c>
      <c r="K15" s="277">
        <f t="shared" si="31"/>
        <v>1.2423409050629839E-2</v>
      </c>
      <c r="L15" s="277">
        <f t="shared" si="31"/>
        <v>1.639514348189999E-2</v>
      </c>
      <c r="M15" s="277">
        <f t="shared" si="31"/>
        <v>2.0877479894295104E-2</v>
      </c>
      <c r="N15" s="277">
        <f t="shared" si="31"/>
        <v>2.5856916567854146E-2</v>
      </c>
      <c r="O15" s="277">
        <f t="shared" si="31"/>
        <v>3.1320189759568032E-2</v>
      </c>
      <c r="P15" s="277">
        <f t="shared" si="31"/>
        <v>3.7254270114793694E-2</v>
      </c>
      <c r="Q15" s="277">
        <f t="shared" si="31"/>
        <v>4.3646359128736795E-2</v>
      </c>
      <c r="R15" s="277">
        <f t="shared" si="31"/>
        <v>5.0483885657353303E-2</v>
      </c>
      <c r="S15" s="277">
        <f t="shared" si="31"/>
        <v>5.7754502476984215E-2</v>
      </c>
      <c r="T15" s="277">
        <f t="shared" si="31"/>
        <v>6.5446082892118812E-2</v>
      </c>
      <c r="U15" s="277">
        <f t="shared" si="31"/>
        <v>7.3546717390575778E-2</v>
      </c>
      <c r="V15" s="277">
        <f t="shared" si="31"/>
        <v>8.2044710345532762E-2</v>
      </c>
      <c r="W15" s="277">
        <f t="shared" si="31"/>
        <v>9.0928576763724012E-2</v>
      </c>
      <c r="X15" s="277">
        <f t="shared" si="31"/>
        <v>0.10018703907923224</v>
      </c>
      <c r="Y15" s="277">
        <f t="shared" si="31"/>
        <v>0.10980902399222769</v>
      </c>
      <c r="Z15" s="277">
        <f t="shared" si="31"/>
        <v>0.11978365935208451</v>
      </c>
      <c r="AA15" s="277">
        <f t="shared" si="31"/>
        <v>0.13010027108424005</v>
      </c>
      <c r="AB15" s="277">
        <f t="shared" si="31"/>
        <v>0.14074838016022767</v>
      </c>
      <c r="AC15" s="277">
        <f t="shared" si="31"/>
        <v>0.15171769961038062</v>
      </c>
      <c r="AD15" s="277">
        <f t="shared" si="31"/>
        <v>0.16299813157843607</v>
      </c>
      <c r="AE15" s="277">
        <f t="shared" si="31"/>
        <v>0.17457976441771961</v>
      </c>
      <c r="AF15" s="277">
        <f t="shared" si="31"/>
        <v>0.18645286982818121</v>
      </c>
      <c r="AG15" s="277">
        <f t="shared" si="31"/>
        <v>0.19860790003377726</v>
      </c>
      <c r="AH15" s="277">
        <f t="shared" si="31"/>
        <v>0.21103548499968905</v>
      </c>
      <c r="AI15" s="277">
        <f t="shared" si="31"/>
        <v>0.22372642968884782</v>
      </c>
      <c r="AJ15" s="277">
        <f t="shared" si="31"/>
        <v>0.23667171135710141</v>
      </c>
      <c r="AK15" s="277">
        <f t="shared" si="31"/>
        <v>0.24986247688678054</v>
      </c>
      <c r="AL15" s="277">
        <f t="shared" si="31"/>
        <v>0.26329004015779467</v>
      </c>
      <c r="AM15" s="277">
        <f t="shared" si="31"/>
        <v>0.27694587945605642</v>
      </c>
      <c r="AN15" s="277">
        <f t="shared" si="31"/>
        <v>0.29082163491860125</v>
      </c>
      <c r="AO15" s="277">
        <f t="shared" si="31"/>
        <v>0.3049091060148339</v>
      </c>
      <c r="AP15" s="277">
        <f t="shared" si="31"/>
        <v>0.3192002490635979</v>
      </c>
      <c r="AQ15" s="277">
        <f t="shared" si="31"/>
        <v>0.33368717478542353</v>
      </c>
      <c r="AR15" s="277">
        <f t="shared" si="31"/>
        <v>0.34836214588955405</v>
      </c>
      <c r="AS15" s="277">
        <f t="shared" si="31"/>
        <v>0.3632175746952464</v>
      </c>
      <c r="AT15" s="277">
        <f t="shared" si="31"/>
        <v>0.37824602078700154</v>
      </c>
      <c r="AU15" s="277">
        <f t="shared" si="31"/>
        <v>0.39344018870299546</v>
      </c>
      <c r="AV15" s="277">
        <f t="shared" si="31"/>
        <v>0.40879292565655989</v>
      </c>
      <c r="AW15" s="277">
        <f t="shared" si="31"/>
        <v>0.42429721929023012</v>
      </c>
      <c r="AX15" s="277">
        <f t="shared" si="31"/>
        <v>0.43994619546147229</v>
      </c>
      <c r="AY15" s="277">
        <f t="shared" si="31"/>
        <v>0.45573311606049494</v>
      </c>
      <c r="AZ15" s="277">
        <f t="shared" si="31"/>
        <v>0.47165137685889524</v>
      </c>
      <c r="BA15" s="277">
        <f t="shared" si="31"/>
        <v>0.48769450538915127</v>
      </c>
      <c r="BB15" s="277">
        <f t="shared" si="31"/>
        <v>0.50385615885448187</v>
      </c>
      <c r="BC15" s="277">
        <f t="shared" si="31"/>
        <v>0.52013012206869336</v>
      </c>
      <c r="BD15" s="277">
        <f t="shared" si="31"/>
        <v>0.53651030542531863</v>
      </c>
      <c r="BE15" s="277">
        <f t="shared" si="31"/>
        <v>0.55299074289624617</v>
      </c>
      <c r="BF15" s="277">
        <f t="shared" si="31"/>
        <v>0.56956559005861962</v>
      </c>
      <c r="BG15" s="277">
        <f t="shared" si="31"/>
        <v>0.58622912215049583</v>
      </c>
      <c r="BH15" s="277">
        <f t="shared" si="31"/>
        <v>0.60297573215423661</v>
      </c>
      <c r="BI15" s="277">
        <f t="shared" si="31"/>
        <v>0.61979992890742786</v>
      </c>
      <c r="BJ15" s="277">
        <f t="shared" si="31"/>
        <v>0.63669633524113944</v>
      </c>
      <c r="BK15" s="277">
        <f t="shared" si="31"/>
        <v>0.65365968614502901</v>
      </c>
      <c r="BL15" s="277">
        <f t="shared" si="31"/>
        <v>0.6706848269585155</v>
      </c>
      <c r="BM15" s="277">
        <f t="shared" si="31"/>
        <v>0.6877667115888153</v>
      </c>
      <c r="BN15" s="277">
        <f t="shared" si="31"/>
        <v>0.70490040075392635</v>
      </c>
      <c r="BO15" s="277">
        <f t="shared" si="31"/>
        <v>0.72208106025137564</v>
      </c>
      <c r="BP15" s="277">
        <f t="shared" si="31"/>
        <v>0.73930395925219994</v>
      </c>
      <c r="BQ15" s="277">
        <f t="shared" si="31"/>
        <v>0.75656446861922966</v>
      </c>
      <c r="BR15" s="277">
        <f t="shared" si="31"/>
        <v>0.77385805924998241</v>
      </c>
      <c r="BS15" s="277">
        <f t="shared" ref="BS15:ED15" si="32">12*(BS13-BR13)</f>
        <v>0.79118030044360665</v>
      </c>
      <c r="BT15" s="277">
        <f t="shared" si="32"/>
        <v>0.80852685829139848</v>
      </c>
      <c r="BU15" s="277">
        <f t="shared" si="32"/>
        <v>0.82589349409075297</v>
      </c>
      <c r="BV15" s="277">
        <f t="shared" si="32"/>
        <v>0.843276062782361</v>
      </c>
      <c r="BW15" s="277">
        <f t="shared" si="32"/>
        <v>0.86067051140990536</v>
      </c>
      <c r="BX15" s="277">
        <f t="shared" si="32"/>
        <v>0.87807287760212027</v>
      </c>
      <c r="BY15" s="277">
        <f t="shared" si="32"/>
        <v>0.8954792880774729</v>
      </c>
      <c r="BZ15" s="277">
        <f t="shared" si="32"/>
        <v>0.91288595717022503</v>
      </c>
      <c r="CA15" s="277">
        <f t="shared" si="32"/>
        <v>0.93028918537791228</v>
      </c>
      <c r="CB15" s="277">
        <f t="shared" si="32"/>
        <v>0.94768535793073916</v>
      </c>
      <c r="CC15" s="277">
        <f t="shared" si="32"/>
        <v>0.96507094338107002</v>
      </c>
      <c r="CD15" s="277">
        <f t="shared" si="32"/>
        <v>0.98244249221424695</v>
      </c>
      <c r="CE15" s="277">
        <f t="shared" si="32"/>
        <v>0.99979663547923714</v>
      </c>
      <c r="CF15" s="277">
        <f t="shared" si="32"/>
        <v>1.0171300834401489</v>
      </c>
      <c r="CG15" s="277">
        <f t="shared" si="32"/>
        <v>1.0344396242462768</v>
      </c>
      <c r="CH15" s="277">
        <f t="shared" si="32"/>
        <v>1.051722122623266</v>
      </c>
      <c r="CI15" s="277">
        <f t="shared" si="32"/>
        <v>1.0689745185822463</v>
      </c>
      <c r="CJ15" s="277">
        <f t="shared" si="32"/>
        <v>1.0861938261487261</v>
      </c>
      <c r="CK15" s="277">
        <f t="shared" si="32"/>
        <v>1.103377132109701</v>
      </c>
      <c r="CL15" s="277">
        <f t="shared" si="32"/>
        <v>1.1205215947801399</v>
      </c>
      <c r="CM15" s="277">
        <f t="shared" si="32"/>
        <v>1.1376244427862403</v>
      </c>
      <c r="CN15" s="277">
        <f t="shared" si="32"/>
        <v>1.1546829738684128</v>
      </c>
      <c r="CO15" s="277">
        <f t="shared" si="32"/>
        <v>1.1716945537005028</v>
      </c>
      <c r="CP15" s="277">
        <f t="shared" si="32"/>
        <v>1.1886566147273339</v>
      </c>
      <c r="CQ15" s="277">
        <f t="shared" si="32"/>
        <v>1.2055666550192932</v>
      </c>
      <c r="CR15" s="277">
        <f t="shared" si="32"/>
        <v>1.222422237144098</v>
      </c>
      <c r="CS15" s="277">
        <f t="shared" si="32"/>
        <v>1.239220987054571</v>
      </c>
      <c r="CT15" s="277">
        <f t="shared" si="32"/>
        <v>1.2559605929941924</v>
      </c>
      <c r="CU15" s="277">
        <f t="shared" si="32"/>
        <v>1.2726388044181718</v>
      </c>
      <c r="CV15" s="277">
        <f t="shared" si="32"/>
        <v>1.2892534309301489</v>
      </c>
      <c r="CW15" s="277">
        <f t="shared" si="32"/>
        <v>1.3058023412363262</v>
      </c>
      <c r="CX15" s="277">
        <f t="shared" si="32"/>
        <v>1.3222834621134147</v>
      </c>
      <c r="CY15" s="277">
        <f t="shared" si="32"/>
        <v>1.3386947773936058</v>
      </c>
      <c r="CZ15" s="277">
        <f t="shared" si="32"/>
        <v>1.3550343269632279</v>
      </c>
      <c r="DA15" s="277">
        <f t="shared" si="32"/>
        <v>1.3713002057779029</v>
      </c>
      <c r="DB15" s="277">
        <f t="shared" si="32"/>
        <v>1.3874905628913652</v>
      </c>
      <c r="DC15" s="277">
        <f t="shared" si="32"/>
        <v>1.4036036004994585</v>
      </c>
      <c r="DD15" s="277">
        <f t="shared" si="32"/>
        <v>1.4196375729983508</v>
      </c>
      <c r="DE15" s="277">
        <f t="shared" si="32"/>
        <v>1.43559078605686</v>
      </c>
      <c r="DF15" s="277">
        <f t="shared" si="32"/>
        <v>1.4514615957027317</v>
      </c>
      <c r="DG15" s="277">
        <f t="shared" si="32"/>
        <v>1.4672484074230603</v>
      </c>
      <c r="DH15" s="277">
        <f t="shared" si="32"/>
        <v>1.4829496752780749</v>
      </c>
      <c r="DI15" s="277">
        <f t="shared" si="32"/>
        <v>1.4985639010279499</v>
      </c>
      <c r="DJ15" s="277">
        <f t="shared" si="32"/>
        <v>1.5140896332734926</v>
      </c>
      <c r="DK15" s="277">
        <f t="shared" si="32"/>
        <v>1.5295254666096412</v>
      </c>
      <c r="DL15" s="277">
        <f t="shared" si="32"/>
        <v>1.5448700407915936</v>
      </c>
      <c r="DM15" s="277">
        <f t="shared" si="32"/>
        <v>1.5601220399137254</v>
      </c>
      <c r="DN15" s="277">
        <f t="shared" si="32"/>
        <v>1.5752801916014576</v>
      </c>
      <c r="DO15" s="277">
        <f t="shared" si="32"/>
        <v>1.590343266214294</v>
      </c>
      <c r="DP15" s="277">
        <f t="shared" si="32"/>
        <v>1.605310076062576</v>
      </c>
      <c r="DQ15" s="277">
        <f t="shared" si="32"/>
        <v>1.6201794746350977</v>
      </c>
      <c r="DR15" s="277">
        <f t="shared" si="32"/>
        <v>1.6349503558382956</v>
      </c>
      <c r="DS15" s="277">
        <f t="shared" si="32"/>
        <v>1.6496216532485484</v>
      </c>
      <c r="DT15" s="277">
        <f t="shared" si="32"/>
        <v>1.66419233937442</v>
      </c>
      <c r="DU15" s="277">
        <f t="shared" si="32"/>
        <v>1.6786614249311178</v>
      </c>
      <c r="DV15" s="277">
        <f t="shared" si="32"/>
        <v>1.6930279581253096</v>
      </c>
      <c r="DW15" s="277">
        <f t="shared" si="32"/>
        <v>1.70729102395239</v>
      </c>
      <c r="DX15" s="277">
        <f t="shared" si="32"/>
        <v>1.7214497435027525</v>
      </c>
      <c r="DY15" s="277">
        <f t="shared" si="32"/>
        <v>1.7355032732801909</v>
      </c>
      <c r="DZ15" s="277">
        <f t="shared" si="32"/>
        <v>1.7494508045302659</v>
      </c>
      <c r="EA15" s="277">
        <f t="shared" si="32"/>
        <v>1.7632915625787646</v>
      </c>
      <c r="EB15" s="277">
        <f t="shared" si="32"/>
        <v>1.7770248061812879</v>
      </c>
      <c r="EC15" s="277">
        <f t="shared" si="32"/>
        <v>1.7906498268823654</v>
      </c>
      <c r="ED15" s="277">
        <f t="shared" si="32"/>
        <v>1.804165948383897</v>
      </c>
      <c r="EE15" s="277">
        <f t="shared" ref="EE15:GP15" si="33">12*(EE13-ED13)</f>
        <v>1.8175725259252857</v>
      </c>
      <c r="EF15" s="277">
        <f t="shared" si="33"/>
        <v>1.8308689456707228</v>
      </c>
      <c r="EG15" s="277">
        <f t="shared" si="33"/>
        <v>1.8440546241087077</v>
      </c>
      <c r="EH15" s="277">
        <f t="shared" si="33"/>
        <v>1.8571290074586244</v>
      </c>
      <c r="EI15" s="277">
        <f t="shared" si="33"/>
        <v>1.8700915710883379</v>
      </c>
      <c r="EJ15" s="277">
        <f t="shared" si="33"/>
        <v>1.8829418189390594</v>
      </c>
      <c r="EK15" s="277">
        <f t="shared" si="33"/>
        <v>1.8956792829622771</v>
      </c>
      <c r="EL15" s="277">
        <f t="shared" si="33"/>
        <v>1.9083035225617166</v>
      </c>
      <c r="EM15" s="277">
        <f t="shared" si="33"/>
        <v>1.9208141240470056</v>
      </c>
      <c r="EN15" s="277">
        <f t="shared" si="33"/>
        <v>1.9332107000950955</v>
      </c>
      <c r="EO15" s="277">
        <f t="shared" si="33"/>
        <v>1.9454928892194872</v>
      </c>
      <c r="EP15" s="277">
        <f t="shared" si="33"/>
        <v>1.9576603552487057</v>
      </c>
      <c r="EQ15" s="277">
        <f t="shared" si="33"/>
        <v>1.9697127868128987</v>
      </c>
      <c r="ER15" s="277">
        <f t="shared" si="33"/>
        <v>1.9816498968382987</v>
      </c>
      <c r="ES15" s="277">
        <f t="shared" si="33"/>
        <v>1.9934714220497654</v>
      </c>
      <c r="ET15" s="277">
        <f t="shared" si="33"/>
        <v>2.0051771224818324</v>
      </c>
      <c r="EU15" s="277">
        <f t="shared" si="33"/>
        <v>2.0167667809964271</v>
      </c>
      <c r="EV15" s="277">
        <f t="shared" si="33"/>
        <v>2.0282402028093074</v>
      </c>
      <c r="EW15" s="277">
        <f t="shared" si="33"/>
        <v>2.0395972150235977</v>
      </c>
      <c r="EX15" s="277">
        <f t="shared" si="33"/>
        <v>2.0508376661715957</v>
      </c>
      <c r="EY15" s="277">
        <f t="shared" si="33"/>
        <v>2.0619614257616519</v>
      </c>
      <c r="EZ15" s="277">
        <f t="shared" si="33"/>
        <v>2.0729683838357502</v>
      </c>
      <c r="FA15" s="277">
        <f t="shared" si="33"/>
        <v>2.0838584505313733</v>
      </c>
      <c r="FB15" s="277">
        <f t="shared" si="33"/>
        <v>2.0946315556515742</v>
      </c>
      <c r="FC15" s="277">
        <f t="shared" si="33"/>
        <v>2.1052876482421681</v>
      </c>
      <c r="FD15" s="277">
        <f t="shared" si="33"/>
        <v>2.1158266961755317</v>
      </c>
      <c r="FE15" s="277">
        <f t="shared" si="33"/>
        <v>2.1262486857403928</v>
      </c>
      <c r="FF15" s="277">
        <f t="shared" si="33"/>
        <v>2.1365536212403811</v>
      </c>
      <c r="FG15" s="277">
        <f t="shared" si="33"/>
        <v>2.1467415245963934</v>
      </c>
      <c r="FH15" s="277">
        <f t="shared" si="33"/>
        <v>2.1568124349577431</v>
      </c>
      <c r="FI15" s="277">
        <f t="shared" si="33"/>
        <v>2.1667664083179545</v>
      </c>
      <c r="FJ15" s="277">
        <f t="shared" si="33"/>
        <v>2.1766035171386804</v>
      </c>
      <c r="FK15" s="277">
        <f t="shared" si="33"/>
        <v>2.186323849977434</v>
      </c>
      <c r="FL15" s="277">
        <f t="shared" si="33"/>
        <v>2.1959275111236565</v>
      </c>
      <c r="FM15" s="277">
        <f t="shared" si="33"/>
        <v>2.2054146202397078</v>
      </c>
      <c r="FN15" s="277">
        <f t="shared" si="33"/>
        <v>2.2147853120080399</v>
      </c>
      <c r="FO15" s="277">
        <f t="shared" si="33"/>
        <v>2.2240397357833146</v>
      </c>
      <c r="FP15" s="277">
        <f t="shared" si="33"/>
        <v>2.233178055251706</v>
      </c>
      <c r="FQ15" s="277">
        <f t="shared" si="33"/>
        <v>2.2422004480957654</v>
      </c>
      <c r="FR15" s="277">
        <f t="shared" si="33"/>
        <v>2.2511071056630172</v>
      </c>
      <c r="FS15" s="277">
        <f t="shared" si="33"/>
        <v>2.2598982326426125</v>
      </c>
      <c r="FT15" s="277">
        <f t="shared" si="33"/>
        <v>2.2685740467450088</v>
      </c>
      <c r="FU15" s="277">
        <f t="shared" si="33"/>
        <v>2.2771347783889198</v>
      </c>
      <c r="FV15" s="277">
        <f t="shared" si="33"/>
        <v>2.2855806703929744</v>
      </c>
      <c r="FW15" s="277">
        <f t="shared" si="33"/>
        <v>2.2939119776711721</v>
      </c>
      <c r="FX15" s="277">
        <f t="shared" si="33"/>
        <v>2.3021289669356264</v>
      </c>
      <c r="FY15" s="277">
        <f t="shared" si="33"/>
        <v>2.3102319164034242</v>
      </c>
      <c r="FZ15" s="277">
        <f t="shared" si="33"/>
        <v>2.3182211155076828</v>
      </c>
      <c r="GA15" s="277">
        <f t="shared" si="33"/>
        <v>2.3260968646134472</v>
      </c>
      <c r="GB15" s="277">
        <f t="shared" si="33"/>
        <v>2.3338594747421126</v>
      </c>
      <c r="GC15" s="277"/>
      <c r="GD15" s="277">
        <f t="shared" si="33"/>
        <v>2.1712813313624935</v>
      </c>
      <c r="GE15" s="277">
        <f t="shared" si="33"/>
        <v>2.1845237509842406</v>
      </c>
      <c r="GF15" s="277">
        <f t="shared" si="33"/>
        <v>2.197626340929574</v>
      </c>
      <c r="GG15" s="277">
        <f t="shared" si="33"/>
        <v>2.2105885803642167</v>
      </c>
      <c r="GH15" s="277">
        <f t="shared" si="33"/>
        <v>2.2234099844147153</v>
      </c>
      <c r="GI15" s="277">
        <f t="shared" si="33"/>
        <v>2.2360901035475607</v>
      </c>
      <c r="GJ15" s="277">
        <f t="shared" si="33"/>
        <v>2.248628522956345</v>
      </c>
      <c r="GK15" s="277">
        <f t="shared" si="33"/>
        <v>2.2610248619496218</v>
      </c>
      <c r="GL15" s="277">
        <f t="shared" si="33"/>
        <v>2.2732787733428808</v>
      </c>
      <c r="GM15" s="277">
        <f t="shared" si="33"/>
        <v>2.2853899428554456</v>
      </c>
      <c r="GN15" s="277">
        <f t="shared" si="33"/>
        <v>2.2973580885125102</v>
      </c>
      <c r="GO15" s="277">
        <f t="shared" si="33"/>
        <v>2.3091829600473446</v>
      </c>
      <c r="GP15" s="277">
        <f t="shared" si="33"/>
        <v>2.3208643383144789</v>
      </c>
      <c r="GQ15" s="277">
        <f t="shared" ref="GQ15:JB15" si="34">12*(GQ13-GP13)</f>
        <v>2.3324020346999887</v>
      </c>
      <c r="GR15" s="277">
        <f t="shared" si="34"/>
        <v>2.3437958905441434</v>
      </c>
      <c r="GS15" s="277">
        <f t="shared" si="34"/>
        <v>2.3550457765614112</v>
      </c>
      <c r="GT15" s="277">
        <f t="shared" si="34"/>
        <v>2.3661515922719119</v>
      </c>
      <c r="GU15" s="277">
        <f t="shared" si="34"/>
        <v>2.3771132654329747</v>
      </c>
      <c r="GV15" s="277">
        <f t="shared" si="34"/>
        <v>2.3879307514785211</v>
      </c>
      <c r="GW15" s="277">
        <f t="shared" si="34"/>
        <v>2.3986040329631777</v>
      </c>
      <c r="GX15" s="277">
        <f t="shared" si="34"/>
        <v>2.4091331190102707</v>
      </c>
      <c r="GY15" s="277">
        <f t="shared" si="34"/>
        <v>2.4195180447669387</v>
      </c>
      <c r="GZ15" s="277">
        <f t="shared" si="34"/>
        <v>2.4297588708636582</v>
      </c>
      <c r="HA15" s="277">
        <f t="shared" si="34"/>
        <v>2.4398556828788855</v>
      </c>
      <c r="HB15" s="277">
        <f t="shared" si="34"/>
        <v>2.4498085908112444</v>
      </c>
      <c r="HC15" s="277">
        <f t="shared" si="34"/>
        <v>2.4596177285529706</v>
      </c>
      <c r="HD15" s="277">
        <f t="shared" si="34"/>
        <v>2.4692832533744422</v>
      </c>
      <c r="HE15" s="277">
        <f t="shared" si="34"/>
        <v>2.4788053454105636</v>
      </c>
      <c r="HF15" s="277">
        <f t="shared" si="34"/>
        <v>2.4881842071523295</v>
      </c>
      <c r="HG15" s="277">
        <f t="shared" si="34"/>
        <v>2.497420062948791</v>
      </c>
      <c r="HH15" s="277">
        <f t="shared" si="34"/>
        <v>2.5065131585088949</v>
      </c>
      <c r="HI15" s="277">
        <f t="shared" si="34"/>
        <v>2.5154637604124019</v>
      </c>
      <c r="HJ15" s="277">
        <f t="shared" si="34"/>
        <v>2.5242721556266474</v>
      </c>
      <c r="HK15" s="277">
        <f t="shared" si="34"/>
        <v>2.5329386510278624</v>
      </c>
      <c r="HL15" s="277">
        <f t="shared" si="34"/>
        <v>2.5414635729291888</v>
      </c>
      <c r="HM15" s="277">
        <f t="shared" si="34"/>
        <v>2.549847266612872</v>
      </c>
      <c r="HN15" s="277">
        <f t="shared" si="34"/>
        <v>2.5580900958720889</v>
      </c>
      <c r="HO15" s="277">
        <f t="shared" si="34"/>
        <v>2.5661924425531595</v>
      </c>
      <c r="HP15" s="277">
        <f t="shared" si="34"/>
        <v>2.5741547061093115</v>
      </c>
      <c r="HQ15" s="277">
        <f t="shared" si="34"/>
        <v>2.581977303155</v>
      </c>
      <c r="HR15" s="277">
        <f t="shared" si="34"/>
        <v>2.5896606670299036</v>
      </c>
      <c r="HS15" s="277">
        <f t="shared" si="34"/>
        <v>2.5972052473686347</v>
      </c>
      <c r="HT15" s="277">
        <f t="shared" si="34"/>
        <v>2.6046115096713862</v>
      </c>
      <c r="HU15" s="277">
        <f t="shared" si="34"/>
        <v>2.6118799348875825</v>
      </c>
      <c r="HV15" s="277">
        <f t="shared" si="34"/>
        <v>2.6190110190004674</v>
      </c>
      <c r="HW15" s="277">
        <f t="shared" si="34"/>
        <v>2.6260052726178316</v>
      </c>
      <c r="HX15" s="277">
        <f t="shared" si="34"/>
        <v>2.632863220571096</v>
      </c>
      <c r="HY15" s="277">
        <f t="shared" si="34"/>
        <v>2.6395854015170812</v>
      </c>
      <c r="HZ15" s="277">
        <f t="shared" si="34"/>
        <v>2.6461723675481323</v>
      </c>
      <c r="IA15" s="277">
        <f t="shared" si="34"/>
        <v>2.6526246838045893</v>
      </c>
      <c r="IB15" s="277">
        <f t="shared" si="34"/>
        <v>2.6589429280977015</v>
      </c>
      <c r="IC15" s="277">
        <f t="shared" si="34"/>
        <v>2.6651276905337369</v>
      </c>
      <c r="ID15" s="277">
        <f t="shared" si="34"/>
        <v>2.6711795731449115</v>
      </c>
      <c r="IE15" s="277">
        <f t="shared" si="34"/>
        <v>2.6770991895285476</v>
      </c>
      <c r="IF15" s="277">
        <f t="shared" si="34"/>
        <v>2.6828871644874681</v>
      </c>
      <c r="IG15" s="277">
        <f t="shared" si="34"/>
        <v>2.6885441336796418</v>
      </c>
      <c r="IH15" s="277">
        <f t="shared" si="34"/>
        <v>2.6940707432703022</v>
      </c>
      <c r="II15" s="277">
        <f t="shared" si="34"/>
        <v>2.6994676495933163</v>
      </c>
      <c r="IJ15" s="277">
        <f t="shared" si="34"/>
        <v>2.7047355188112334</v>
      </c>
      <c r="IK15" s="277">
        <f t="shared" si="34"/>
        <v>2.7098750265910212</v>
      </c>
      <c r="IL15" s="277">
        <f t="shared" si="34"/>
        <v>2.714886857773962</v>
      </c>
      <c r="IM15" s="277">
        <f t="shared" si="34"/>
        <v>2.7197717060582534</v>
      </c>
      <c r="IN15" s="277">
        <f t="shared" si="34"/>
        <v>2.7245302736854029</v>
      </c>
      <c r="IO15" s="277">
        <f t="shared" si="34"/>
        <v>2.7291632711294795</v>
      </c>
      <c r="IP15" s="277">
        <f t="shared" si="34"/>
        <v>2.7336714167936975</v>
      </c>
      <c r="IQ15" s="277">
        <f t="shared" si="34"/>
        <v>2.7380554367114343</v>
      </c>
      <c r="IR15" s="277">
        <f t="shared" si="34"/>
        <v>2.742316064254112</v>
      </c>
      <c r="IS15" s="277">
        <f t="shared" si="34"/>
        <v>2.7464540398388237</v>
      </c>
      <c r="IT15" s="277">
        <f t="shared" si="34"/>
        <v>2.7504701106480667</v>
      </c>
      <c r="IU15" s="277">
        <f t="shared" si="34"/>
        <v>2.7543650303494758</v>
      </c>
      <c r="IV15" s="277">
        <f t="shared" si="34"/>
        <v>2.7581395588215258</v>
      </c>
      <c r="IW15" s="277">
        <f t="shared" si="34"/>
        <v>2.7617944618850743</v>
      </c>
      <c r="IX15" s="277">
        <f t="shared" si="34"/>
        <v>2.7653305110389965</v>
      </c>
      <c r="IY15" s="277">
        <f t="shared" si="34"/>
        <v>2.7687484832000422</v>
      </c>
      <c r="IZ15" s="277">
        <f t="shared" si="34"/>
        <v>2.7720491604491286</v>
      </c>
      <c r="JA15" s="277">
        <f t="shared" si="34"/>
        <v>2.7752333297807894</v>
      </c>
      <c r="JB15" s="277">
        <f t="shared" si="34"/>
        <v>2.778301782855948</v>
      </c>
      <c r="JC15" s="277">
        <f t="shared" ref="JC15:LN15" si="35">12*(JC13-JB13)</f>
        <v>2.7812553157636017</v>
      </c>
      <c r="JD15" s="277">
        <f t="shared" si="35"/>
        <v>2.7840947287834439</v>
      </c>
      <c r="JE15" s="277">
        <f t="shared" si="35"/>
        <v>2.7868208261515974</v>
      </c>
      <c r="JF15" s="277">
        <f t="shared" si="35"/>
        <v>2.7894344158375191</v>
      </c>
      <c r="JG15" s="277">
        <f t="shared" si="35"/>
        <v>2.7919363093147638</v>
      </c>
      <c r="JH15" s="277">
        <f t="shared" si="35"/>
        <v>2.7943273213487601</v>
      </c>
      <c r="JI15" s="277">
        <f t="shared" si="35"/>
        <v>2.7966082697767405</v>
      </c>
      <c r="JJ15" s="277">
        <f t="shared" si="35"/>
        <v>2.7987799752998228</v>
      </c>
      <c r="JK15" s="277">
        <f t="shared" si="35"/>
        <v>2.8008432612757304</v>
      </c>
      <c r="JL15" s="277">
        <f t="shared" si="35"/>
        <v>2.8027989535182485</v>
      </c>
      <c r="JM15" s="277">
        <f t="shared" si="35"/>
        <v>2.8046478800971073</v>
      </c>
      <c r="JN15" s="277">
        <f t="shared" si="35"/>
        <v>2.8063908711436625</v>
      </c>
      <c r="JO15" s="277">
        <f t="shared" si="35"/>
        <v>2.8080287586641219</v>
      </c>
      <c r="JP15" s="277">
        <f t="shared" si="35"/>
        <v>2.8095623763494046</v>
      </c>
      <c r="JQ15" s="277">
        <f t="shared" si="35"/>
        <v>2.810992559394208</v>
      </c>
      <c r="JR15" s="277">
        <f t="shared" si="35"/>
        <v>2.8123201443199122</v>
      </c>
      <c r="JS15" s="277">
        <f t="shared" si="35"/>
        <v>2.8135459687969728</v>
      </c>
      <c r="JT15" s="277">
        <f t="shared" si="35"/>
        <v>2.8146708714760962</v>
      </c>
      <c r="JU15" s="277">
        <f t="shared" si="35"/>
        <v>2.8156956918208209</v>
      </c>
      <c r="JV15" s="277">
        <f t="shared" si="35"/>
        <v>2.8166212699424023</v>
      </c>
      <c r="JW15" s="277">
        <f t="shared" si="35"/>
        <v>2.8174484464395562</v>
      </c>
      <c r="JX15" s="277">
        <f t="shared" si="35"/>
        <v>2.8181780622432768</v>
      </c>
      <c r="JY15" s="277">
        <f t="shared" si="35"/>
        <v>2.818810958464212</v>
      </c>
      <c r="JZ15" s="277">
        <f t="shared" si="35"/>
        <v>2.8193479762383333</v>
      </c>
      <c r="KA15" s="277">
        <f t="shared" si="35"/>
        <v>2.8197899565869307</v>
      </c>
      <c r="KB15" s="277">
        <f t="shared" si="35"/>
        <v>2.8201377402687626</v>
      </c>
      <c r="KC15" s="277">
        <f t="shared" si="35"/>
        <v>2.820392167641586</v>
      </c>
      <c r="KD15" s="277">
        <f t="shared" si="35"/>
        <v>2.820554078527266</v>
      </c>
      <c r="KE15" s="277">
        <f t="shared" si="35"/>
        <v>2.8206243120756938</v>
      </c>
      <c r="KF15" s="277">
        <f t="shared" si="35"/>
        <v>2.8206037066368026</v>
      </c>
      <c r="KG15" s="277">
        <f t="shared" si="35"/>
        <v>2.8204930996321593</v>
      </c>
      <c r="KH15" s="277">
        <f t="shared" si="35"/>
        <v>2.8202933274320117</v>
      </c>
      <c r="KI15" s="277">
        <f t="shared" si="35"/>
        <v>2.820005225232336</v>
      </c>
      <c r="KJ15" s="277">
        <f t="shared" si="35"/>
        <v>2.8196296269390473</v>
      </c>
      <c r="KK15" s="277">
        <f t="shared" si="35"/>
        <v>2.819167365051868</v>
      </c>
      <c r="KL15" s="277">
        <f t="shared" si="35"/>
        <v>2.8186192705511814</v>
      </c>
      <c r="KM15" s="277">
        <f t="shared" si="35"/>
        <v>2.8179861727896593</v>
      </c>
      <c r="KN15" s="277">
        <f t="shared" si="35"/>
        <v>2.8172688993857662</v>
      </c>
      <c r="KO15" s="277">
        <f t="shared" si="35"/>
        <v>2.8164682761182007</v>
      </c>
      <c r="KP15" s="277">
        <f t="shared" si="35"/>
        <v>2.8155851268267327</v>
      </c>
      <c r="KQ15" s="277">
        <f t="shared" si="35"/>
        <v>2.81462027331321</v>
      </c>
      <c r="KR15" s="277">
        <f t="shared" si="35"/>
        <v>2.8135745352422248</v>
      </c>
      <c r="KS15" s="277">
        <f t="shared" si="35"/>
        <v>2.8124487300543137</v>
      </c>
      <c r="KT15" s="277">
        <f t="shared" si="35"/>
        <v>2.8112436728691819</v>
      </c>
      <c r="KU15" s="277">
        <f t="shared" si="35"/>
        <v>2.8099601763989028</v>
      </c>
      <c r="KV15" s="277">
        <f t="shared" si="35"/>
        <v>2.8085990508644443</v>
      </c>
      <c r="KW15" s="277">
        <f t="shared" si="35"/>
        <v>2.8071611039098059</v>
      </c>
      <c r="KX15" s="277">
        <f t="shared" si="35"/>
        <v>2.8056471405191417</v>
      </c>
      <c r="KY15" s="277">
        <f t="shared" si="35"/>
        <v>2.8040579629443698</v>
      </c>
      <c r="KZ15" s="277">
        <f t="shared" si="35"/>
        <v>2.8023943706206751</v>
      </c>
      <c r="LA15" s="277">
        <f t="shared" si="35"/>
        <v>2.8006571600976997</v>
      </c>
      <c r="LB15" s="277">
        <f t="shared" si="35"/>
        <v>2.7988471249666418</v>
      </c>
      <c r="LC15" s="277">
        <f t="shared" si="35"/>
        <v>2.7969650557879504</v>
      </c>
      <c r="LD15" s="277">
        <f t="shared" si="35"/>
        <v>2.7950117400260126</v>
      </c>
      <c r="LE15" s="277">
        <f t="shared" si="35"/>
        <v>2.7929879619835845</v>
      </c>
      <c r="LF15" s="277">
        <f t="shared" si="35"/>
        <v>2.7908945027365633</v>
      </c>
      <c r="LG15" s="277">
        <f t="shared" si="35"/>
        <v>2.7887321400728524</v>
      </c>
      <c r="LH15" s="277">
        <f t="shared" si="35"/>
        <v>2.7865016484351486</v>
      </c>
      <c r="LI15" s="277">
        <f t="shared" si="35"/>
        <v>2.7842037988601476</v>
      </c>
      <c r="LJ15" s="277">
        <f t="shared" si="35"/>
        <v>2.7818393589244863</v>
      </c>
      <c r="LK15" s="277">
        <f t="shared" si="35"/>
        <v>2.7794090926915374</v>
      </c>
      <c r="LL15" s="277">
        <f t="shared" si="35"/>
        <v>2.7769137606576066</v>
      </c>
      <c r="LM15" s="277">
        <f t="shared" si="35"/>
        <v>2.7743541197045261</v>
      </c>
      <c r="LN15" s="277">
        <f t="shared" si="35"/>
        <v>2.7717309230497733</v>
      </c>
      <c r="LO15" s="277">
        <f t="shared" ref="LO15:NZ15" si="36">12*(LO13-LN13)</f>
        <v>2.769044920198553</v>
      </c>
      <c r="LP15" s="277">
        <f t="shared" si="36"/>
        <v>2.7662968569021018</v>
      </c>
      <c r="LQ15" s="277">
        <f t="shared" si="36"/>
        <v>2.7634874751132656</v>
      </c>
      <c r="LR15" s="277">
        <f t="shared" si="36"/>
        <v>2.7606175129431847</v>
      </c>
      <c r="LS15" s="277">
        <f t="shared" si="36"/>
        <v>2.7576877046248853</v>
      </c>
      <c r="LT15" s="277">
        <f t="shared" si="36"/>
        <v>2.754698780471756</v>
      </c>
      <c r="LU15" s="277">
        <f t="shared" si="36"/>
        <v>2.7516514668446348</v>
      </c>
      <c r="LV15" s="277">
        <f t="shared" si="36"/>
        <v>2.7485464861112234</v>
      </c>
      <c r="LW15" s="277">
        <f t="shared" si="36"/>
        <v>2.7453845566197401</v>
      </c>
      <c r="LX15" s="277">
        <f t="shared" si="36"/>
        <v>2.7421663926590156</v>
      </c>
      <c r="LY15" s="277">
        <f t="shared" si="36"/>
        <v>2.7388927044347895</v>
      </c>
      <c r="LZ15" s="277">
        <f t="shared" si="36"/>
        <v>2.7355641980350072</v>
      </c>
      <c r="MA15" s="277">
        <f t="shared" si="36"/>
        <v>2.7321815754059458</v>
      </c>
      <c r="MB15" s="277">
        <f t="shared" si="36"/>
        <v>2.7287455343231386</v>
      </c>
      <c r="MC15" s="277">
        <f t="shared" si="36"/>
        <v>2.7252567683670748</v>
      </c>
      <c r="MD15" s="277">
        <f t="shared" si="36"/>
        <v>2.7217159669000068</v>
      </c>
      <c r="ME15" s="277">
        <f t="shared" si="36"/>
        <v>2.7181238150420768</v>
      </c>
      <c r="MF15" s="277">
        <f t="shared" si="36"/>
        <v>2.7144809936514491</v>
      </c>
      <c r="MG15" s="277">
        <f t="shared" si="36"/>
        <v>2.710788179303762</v>
      </c>
      <c r="MH15" s="277">
        <f t="shared" si="36"/>
        <v>2.7070460442714932</v>
      </c>
      <c r="MI15" s="277">
        <f t="shared" si="36"/>
        <v>2.7032552565098911</v>
      </c>
      <c r="MJ15" s="277">
        <f t="shared" si="36"/>
        <v>2.6994164796373639</v>
      </c>
      <c r="MK15" s="277">
        <f t="shared" si="36"/>
        <v>2.6955303729202171</v>
      </c>
      <c r="ML15" s="277">
        <f t="shared" si="36"/>
        <v>2.6915975912618251</v>
      </c>
      <c r="MM15" s="277">
        <f t="shared" si="36"/>
        <v>2.6876187851852364</v>
      </c>
      <c r="MN15" s="277">
        <f t="shared" si="36"/>
        <v>2.6835946008220901</v>
      </c>
      <c r="MO15" s="277">
        <f t="shared" si="36"/>
        <v>2.679525679903918</v>
      </c>
      <c r="MP15" s="277">
        <f t="shared" si="36"/>
        <v>2.6754126597498669</v>
      </c>
      <c r="MQ15" s="277">
        <f t="shared" si="36"/>
        <v>2.6712561732565518</v>
      </c>
      <c r="MR15" s="277">
        <f t="shared" si="36"/>
        <v>2.6670568488940489</v>
      </c>
      <c r="MS15" s="277">
        <f t="shared" si="36"/>
        <v>2.662815310694981</v>
      </c>
      <c r="MT15" s="277">
        <f t="shared" si="36"/>
        <v>2.6585321782480378</v>
      </c>
      <c r="MU15" s="277">
        <f t="shared" si="36"/>
        <v>2.6542080666974641</v>
      </c>
      <c r="MV15" s="277">
        <f t="shared" si="36"/>
        <v>2.6498435867321462</v>
      </c>
      <c r="MW15" s="277">
        <f t="shared" si="36"/>
        <v>2.6454393445870608</v>
      </c>
      <c r="MX15" s="277">
        <f t="shared" si="36"/>
        <v>2.6409959420379039</v>
      </c>
      <c r="MY15" s="277">
        <f t="shared" si="36"/>
        <v>2.6365139764012611</v>
      </c>
      <c r="MZ15" s="277">
        <f t="shared" si="36"/>
        <v>2.6319940405299178</v>
      </c>
      <c r="NA15" s="277">
        <f t="shared" si="36"/>
        <v>2.6274367228176345</v>
      </c>
      <c r="NB15" s="277">
        <f t="shared" si="36"/>
        <v>2.622842607195139</v>
      </c>
      <c r="NC15" s="277">
        <f t="shared" si="36"/>
        <v>2.6182122731341337</v>
      </c>
      <c r="ND15" s="277">
        <f t="shared" si="36"/>
        <v>2.6135462956480637</v>
      </c>
      <c r="NE15" s="277">
        <f t="shared" si="36"/>
        <v>2.6088452452942477</v>
      </c>
      <c r="NF15" s="277">
        <f t="shared" si="36"/>
        <v>2.6041096881792498</v>
      </c>
      <c r="NG15" s="277">
        <f t="shared" si="36"/>
        <v>2.5993401859617791</v>
      </c>
      <c r="NH15" s="277">
        <f t="shared" si="36"/>
        <v>2.5945372958563553</v>
      </c>
      <c r="NI15" s="277">
        <f t="shared" si="36"/>
        <v>2.5897015706402158</v>
      </c>
      <c r="NJ15" s="277">
        <f t="shared" si="36"/>
        <v>2.5848335586593691</v>
      </c>
      <c r="NK15" s="277">
        <f t="shared" si="36"/>
        <v>2.5799338038340522</v>
      </c>
      <c r="NL15" s="277">
        <f t="shared" si="36"/>
        <v>2.5750028456674272</v>
      </c>
      <c r="NM15" s="277">
        <f t="shared" si="36"/>
        <v>2.5700412192506974</v>
      </c>
      <c r="NN15" s="277">
        <f t="shared" si="36"/>
        <v>2.5650494552756413</v>
      </c>
      <c r="NO15" s="277">
        <f t="shared" si="36"/>
        <v>2.5600280800399844</v>
      </c>
      <c r="NP15" s="277">
        <f t="shared" si="36"/>
        <v>2.5549776154588244</v>
      </c>
      <c r="NQ15" s="277">
        <f t="shared" si="36"/>
        <v>2.5498985790719644</v>
      </c>
      <c r="NR15" s="277">
        <f t="shared" si="36"/>
        <v>2.5447914840596013</v>
      </c>
      <c r="NS15" s="277">
        <f t="shared" si="36"/>
        <v>2.5396568392466747</v>
      </c>
      <c r="NT15" s="277">
        <f t="shared" si="36"/>
        <v>2.5344951491213692</v>
      </c>
      <c r="NU15" s="277">
        <f t="shared" si="36"/>
        <v>2.5293069138391218</v>
      </c>
      <c r="NV15" s="277">
        <f t="shared" si="36"/>
        <v>2.524092629243512</v>
      </c>
      <c r="NW15" s="277">
        <f t="shared" si="36"/>
        <v>2.5188527868726567</v>
      </c>
      <c r="NX15" s="277">
        <f t="shared" si="36"/>
        <v>2.5135878739743873</v>
      </c>
      <c r="NY15" s="277">
        <f t="shared" si="36"/>
        <v>2.5082983735217681</v>
      </c>
      <c r="NZ15" s="277">
        <f t="shared" si="36"/>
        <v>2.5029847642244363</v>
      </c>
      <c r="OA15" s="277">
        <f t="shared" ref="OA15:QL15" si="37">12*(OA13-NZ13)</f>
        <v>2.4976475205457405</v>
      </c>
      <c r="OB15" s="277">
        <f t="shared" si="37"/>
        <v>2.4922871127142514</v>
      </c>
      <c r="OC15" s="277">
        <f t="shared" si="37"/>
        <v>2.4869040067425203</v>
      </c>
      <c r="OD15" s="277">
        <f t="shared" si="37"/>
        <v>2.4814986644399539</v>
      </c>
      <c r="OE15" s="277">
        <f t="shared" si="37"/>
        <v>2.4760715434315728</v>
      </c>
      <c r="OF15" s="277">
        <f t="shared" si="37"/>
        <v>2.4706230971700336</v>
      </c>
      <c r="OG15" s="277">
        <f t="shared" si="37"/>
        <v>2.4651537749568604</v>
      </c>
      <c r="OH15" s="277">
        <f t="shared" si="37"/>
        <v>2.459664021955831</v>
      </c>
      <c r="OI15" s="277">
        <f t="shared" si="37"/>
        <v>2.4541542792116502</v>
      </c>
      <c r="OJ15" s="277">
        <f t="shared" si="37"/>
        <v>2.4486249836692195</v>
      </c>
      <c r="OK15" s="277">
        <f t="shared" si="37"/>
        <v>2.4430765681867683</v>
      </c>
      <c r="OL15" s="277">
        <f t="shared" si="37"/>
        <v>2.4375094615575108</v>
      </c>
      <c r="OM15" s="277">
        <f t="shared" si="37"/>
        <v>2.4319240885285751</v>
      </c>
      <c r="ON15" s="277">
        <f t="shared" si="37"/>
        <v>2.4263208698147309</v>
      </c>
      <c r="OO15" s="277">
        <f t="shared" si="37"/>
        <v>2.4207002221249923</v>
      </c>
      <c r="OP15" s="277">
        <f t="shared" si="37"/>
        <v>2.4150625581725933</v>
      </c>
      <c r="OQ15" s="277">
        <f t="shared" si="37"/>
        <v>2.4094082867021882</v>
      </c>
      <c r="OR15" s="277">
        <f t="shared" si="37"/>
        <v>2.4037378125029818</v>
      </c>
      <c r="OS15" s="277">
        <f t="shared" si="37"/>
        <v>2.3980515364347355</v>
      </c>
      <c r="OT15" s="277">
        <f t="shared" si="37"/>
        <v>2.3923498554405569</v>
      </c>
      <c r="OU15" s="277">
        <f t="shared" si="37"/>
        <v>2.3866331625732471</v>
      </c>
      <c r="OV15" s="277">
        <f t="shared" si="37"/>
        <v>2.3809018470117564</v>
      </c>
      <c r="OW15" s="277">
        <f t="shared" si="37"/>
        <v>2.3751562940838653</v>
      </c>
      <c r="OX15" s="277">
        <f t="shared" si="37"/>
        <v>2.3693968852834928</v>
      </c>
      <c r="OY15" s="277">
        <f t="shared" si="37"/>
        <v>2.3636239982957647</v>
      </c>
      <c r="OZ15" s="277">
        <f t="shared" si="37"/>
        <v>2.3578380070156015</v>
      </c>
      <c r="PA15" s="277">
        <f t="shared" si="37"/>
        <v>2.3520392815668174</v>
      </c>
      <c r="PB15" s="277">
        <f t="shared" si="37"/>
        <v>2.3462281883282969</v>
      </c>
      <c r="PC15" s="277">
        <f t="shared" si="37"/>
        <v>2.3404050899498543</v>
      </c>
      <c r="PD15" s="277">
        <f t="shared" si="37"/>
        <v>2.3345703453785802</v>
      </c>
      <c r="PE15" s="277">
        <f t="shared" si="37"/>
        <v>2.3287243098763213</v>
      </c>
      <c r="PF15" s="277">
        <f t="shared" si="37"/>
        <v>2.3228673350432985</v>
      </c>
      <c r="PG15" s="277">
        <f t="shared" si="37"/>
        <v>2.3169997688399349</v>
      </c>
      <c r="PH15" s="277">
        <f t="shared" si="37"/>
        <v>2.3111219556089395</v>
      </c>
      <c r="PI15" s="277">
        <f t="shared" si="37"/>
        <v>2.3052342360955151</v>
      </c>
      <c r="PJ15" s="277">
        <f t="shared" si="37"/>
        <v>2.2993369474713177</v>
      </c>
      <c r="PK15" s="277">
        <f t="shared" si="37"/>
        <v>2.2934304233565399</v>
      </c>
      <c r="PL15" s="277">
        <f t="shared" si="37"/>
        <v>2.2875149938395225</v>
      </c>
      <c r="PM15" s="277">
        <f t="shared" si="37"/>
        <v>2.2815909855024188</v>
      </c>
      <c r="PN15" s="277">
        <f t="shared" si="37"/>
        <v>2.2756587214419142</v>
      </c>
      <c r="PO15" s="277">
        <f t="shared" si="37"/>
        <v>2.2697185212907129</v>
      </c>
      <c r="PP15" s="277">
        <f t="shared" si="37"/>
        <v>2.2637707012426063</v>
      </c>
      <c r="PQ15" s="277">
        <f t="shared" si="37"/>
        <v>2.2578155740710599</v>
      </c>
      <c r="PR15" s="277">
        <f t="shared" si="37"/>
        <v>2.2518534491561581</v>
      </c>
      <c r="PS15" s="277">
        <f t="shared" si="37"/>
        <v>2.2458846325026798</v>
      </c>
      <c r="PT15" s="277">
        <f t="shared" si="37"/>
        <v>2.2399094267678947</v>
      </c>
      <c r="PU15" s="277">
        <f t="shared" si="37"/>
        <v>2.233928131278617</v>
      </c>
      <c r="PV15" s="277">
        <f t="shared" si="37"/>
        <v>2.2279410420562726</v>
      </c>
      <c r="PW15" s="277">
        <f t="shared" si="37"/>
        <v>2.2219484518433319</v>
      </c>
      <c r="PX15" s="277">
        <f t="shared" si="37"/>
        <v>2.2159506501179749</v>
      </c>
      <c r="PY15" s="277">
        <f t="shared" si="37"/>
        <v>2.2099479231235932</v>
      </c>
      <c r="PZ15" s="277">
        <f t="shared" si="37"/>
        <v>2.2039405538894243</v>
      </c>
      <c r="QA15" s="277">
        <f t="shared" si="37"/>
        <v>2.1979288222505033</v>
      </c>
      <c r="QB15" s="277">
        <f t="shared" si="37"/>
        <v>2.1919130048754596</v>
      </c>
      <c r="QC15" s="277">
        <f t="shared" si="37"/>
        <v>2.1858933752842518</v>
      </c>
      <c r="QD15" s="277">
        <f t="shared" si="37"/>
        <v>2.1798702038754527</v>
      </c>
      <c r="QE15" s="277">
        <f t="shared" si="37"/>
        <v>2.1738437579433025</v>
      </c>
      <c r="QF15" s="277">
        <f t="shared" si="37"/>
        <v>2.1678143017072102</v>
      </c>
      <c r="QG15" s="277">
        <f t="shared" si="37"/>
        <v>2.1617820963265899</v>
      </c>
      <c r="QH15" s="277">
        <f t="shared" si="37"/>
        <v>2.1557473999310446</v>
      </c>
      <c r="QI15" s="277">
        <f t="shared" si="37"/>
        <v>2.1497104676382719</v>
      </c>
      <c r="QJ15" s="277">
        <f t="shared" si="37"/>
        <v>2.1436715515767446</v>
      </c>
      <c r="QK15" s="277">
        <f t="shared" si="37"/>
        <v>2.137630900910267</v>
      </c>
      <c r="QL15" s="277">
        <f t="shared" si="37"/>
        <v>2.1315887618599731</v>
      </c>
      <c r="QM15" s="277">
        <f t="shared" ref="QM15:RP15" si="38">12*(QM13-QL13)</f>
        <v>2.1255453777249613</v>
      </c>
      <c r="QN15" s="277">
        <f t="shared" si="38"/>
        <v>2.1195009889053154</v>
      </c>
      <c r="QO15" s="277">
        <f t="shared" si="38"/>
        <v>2.1134558329276842</v>
      </c>
      <c r="QP15" s="277">
        <f t="shared" si="38"/>
        <v>2.1074101444628468</v>
      </c>
      <c r="QQ15" s="277">
        <f t="shared" si="38"/>
        <v>2.1013641553489038</v>
      </c>
      <c r="QR15" s="277">
        <f t="shared" si="38"/>
        <v>2.0953180946187331</v>
      </c>
      <c r="QS15" s="277">
        <f t="shared" si="38"/>
        <v>2.0892721885131209</v>
      </c>
      <c r="QT15" s="277">
        <f t="shared" si="38"/>
        <v>2.0832266605112864</v>
      </c>
      <c r="QU15" s="277">
        <f t="shared" si="38"/>
        <v>2.077181731347423</v>
      </c>
      <c r="QV15" s="277">
        <f t="shared" si="38"/>
        <v>2.0711376190342321</v>
      </c>
      <c r="QW15" s="277">
        <f t="shared" si="38"/>
        <v>2.0650945388871378</v>
      </c>
      <c r="QX15" s="277">
        <f t="shared" si="38"/>
        <v>2.0590527035421928</v>
      </c>
      <c r="QY15" s="277">
        <f t="shared" si="38"/>
        <v>2.0530123229794413</v>
      </c>
      <c r="QZ15" s="277">
        <f t="shared" si="38"/>
        <v>2.0469736045474747</v>
      </c>
      <c r="RA15" s="277">
        <f t="shared" si="38"/>
        <v>2.0409367529787801</v>
      </c>
      <c r="RB15" s="277">
        <f t="shared" si="38"/>
        <v>2.0349019704177067</v>
      </c>
      <c r="RC15" s="277">
        <f t="shared" si="38"/>
        <v>2.0288694564373486</v>
      </c>
      <c r="RD15" s="277">
        <f t="shared" si="38"/>
        <v>2.0228394080639305</v>
      </c>
      <c r="RE15" s="277">
        <f t="shared" si="38"/>
        <v>2.0168120197965891</v>
      </c>
      <c r="RF15" s="277">
        <f t="shared" si="38"/>
        <v>2.0107874836274959</v>
      </c>
      <c r="RG15" s="277">
        <f t="shared" si="38"/>
        <v>2.0047659890665841</v>
      </c>
      <c r="RH15" s="277">
        <f t="shared" si="38"/>
        <v>1.9987477231584307</v>
      </c>
      <c r="RI15" s="277">
        <f t="shared" si="38"/>
        <v>1.9927328705056198</v>
      </c>
      <c r="RJ15" s="277">
        <f t="shared" si="38"/>
        <v>1.9867216132902286</v>
      </c>
      <c r="RK15" s="277">
        <f t="shared" si="38"/>
        <v>1.9807141312920749</v>
      </c>
      <c r="RL15" s="277">
        <f t="shared" si="38"/>
        <v>1.9747106019113971</v>
      </c>
      <c r="RM15" s="277">
        <f t="shared" si="38"/>
        <v>1.9687112001894889</v>
      </c>
      <c r="RN15" s="277">
        <f t="shared" si="38"/>
        <v>1.962716098825922</v>
      </c>
      <c r="RO15" s="277">
        <f t="shared" si="38"/>
        <v>1.9567254682063435</v>
      </c>
      <c r="RP15" s="277">
        <f t="shared" si="38"/>
        <v>1.9507394764144124</v>
      </c>
    </row>
    <row r="16" spans="1:495" ht="12.95" customHeight="1" x14ac:dyDescent="0.2">
      <c r="B16" s="152" t="s">
        <v>922</v>
      </c>
      <c r="C16" s="152"/>
      <c r="D16" s="152"/>
      <c r="E16" s="147"/>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E16" s="147"/>
      <c r="DF16" s="147"/>
      <c r="DG16" s="147"/>
      <c r="DH16" s="147"/>
      <c r="DI16" s="147"/>
      <c r="DJ16" s="147"/>
      <c r="DK16" s="147"/>
      <c r="DL16" s="147"/>
      <c r="DM16" s="147"/>
      <c r="DN16" s="147"/>
      <c r="DO16" s="147"/>
      <c r="DP16" s="147"/>
      <c r="DQ16" s="147"/>
      <c r="DR16" s="147"/>
      <c r="DS16" s="147"/>
      <c r="DT16" s="147"/>
      <c r="DU16" s="147"/>
      <c r="DV16" s="147"/>
      <c r="DW16" s="147"/>
      <c r="DX16" s="147"/>
      <c r="DY16" s="147"/>
      <c r="DZ16" s="147"/>
      <c r="EA16" s="147"/>
      <c r="EB16" s="147"/>
      <c r="EC16" s="147"/>
      <c r="ED16" s="147"/>
      <c r="EE16" s="147"/>
      <c r="EF16" s="147"/>
      <c r="EG16" s="147"/>
      <c r="EH16" s="147"/>
      <c r="EI16" s="147"/>
      <c r="EJ16" s="147"/>
      <c r="EK16" s="147"/>
      <c r="EL16" s="147"/>
      <c r="EM16" s="147"/>
      <c r="EN16" s="147"/>
      <c r="EO16" s="147"/>
      <c r="EP16" s="147"/>
      <c r="EQ16" s="147"/>
      <c r="ER16" s="147"/>
      <c r="ES16" s="147"/>
      <c r="ET16" s="147"/>
      <c r="EU16" s="147"/>
      <c r="EV16" s="147"/>
      <c r="EW16" s="147"/>
      <c r="EX16" s="147"/>
      <c r="EY16" s="147"/>
      <c r="EZ16" s="147"/>
      <c r="FA16" s="147"/>
      <c r="FB16" s="147"/>
      <c r="FC16" s="147"/>
      <c r="FD16" s="147"/>
      <c r="FE16" s="147"/>
      <c r="FF16" s="147"/>
      <c r="FG16" s="147"/>
      <c r="FH16" s="147"/>
      <c r="FI16" s="147"/>
      <c r="FJ16" s="147"/>
      <c r="FK16" s="147"/>
      <c r="FL16" s="147"/>
      <c r="FM16" s="147"/>
      <c r="FN16" s="147"/>
      <c r="FO16" s="147"/>
      <c r="FP16" s="147"/>
      <c r="FQ16" s="147"/>
      <c r="FR16" s="147"/>
      <c r="FS16" s="147"/>
      <c r="FT16" s="147"/>
      <c r="FU16" s="147"/>
      <c r="FV16" s="147"/>
      <c r="FW16" s="147"/>
      <c r="FX16" s="147"/>
      <c r="FY16" s="147"/>
      <c r="FZ16" s="147"/>
      <c r="GA16" s="147"/>
      <c r="GB16" s="147"/>
      <c r="GC16" s="279"/>
      <c r="GD16" s="147"/>
      <c r="GE16" s="147"/>
      <c r="GF16" s="147"/>
      <c r="GG16" s="147"/>
      <c r="GH16" s="147"/>
      <c r="GI16" s="147"/>
      <c r="GJ16" s="147"/>
      <c r="GK16" s="147"/>
      <c r="GL16" s="147"/>
      <c r="GM16" s="147"/>
      <c r="GN16" s="147"/>
      <c r="GO16" s="147"/>
      <c r="GP16" s="147"/>
      <c r="GQ16" s="147"/>
      <c r="GR16" s="147"/>
      <c r="GS16" s="147"/>
      <c r="GT16" s="147"/>
      <c r="GU16" s="147"/>
      <c r="GV16" s="147"/>
      <c r="GW16" s="147"/>
      <c r="GX16" s="147"/>
      <c r="GY16" s="147"/>
      <c r="GZ16" s="147"/>
      <c r="HA16" s="147"/>
      <c r="HB16" s="147"/>
      <c r="HC16" s="147"/>
      <c r="HD16" s="147"/>
      <c r="HE16" s="147"/>
      <c r="HF16" s="147"/>
      <c r="HG16" s="147"/>
      <c r="HH16" s="147"/>
      <c r="HI16" s="147"/>
      <c r="HJ16" s="147"/>
      <c r="HK16" s="147"/>
      <c r="HL16" s="147"/>
      <c r="HM16" s="147"/>
      <c r="HN16" s="147"/>
      <c r="HO16" s="147"/>
      <c r="HP16" s="147"/>
      <c r="HQ16" s="147"/>
      <c r="HR16" s="147"/>
      <c r="HS16" s="147"/>
      <c r="HT16" s="147"/>
      <c r="HU16" s="147"/>
      <c r="HV16" s="147"/>
      <c r="HW16" s="147"/>
      <c r="HX16" s="147"/>
      <c r="HY16" s="147"/>
      <c r="HZ16" s="147"/>
      <c r="IA16" s="147"/>
      <c r="IB16" s="147"/>
      <c r="IC16" s="147"/>
      <c r="ID16" s="147"/>
      <c r="IE16" s="147"/>
      <c r="IF16" s="147"/>
      <c r="IG16" s="147"/>
      <c r="IH16" s="147"/>
      <c r="II16" s="147"/>
      <c r="IJ16" s="147"/>
      <c r="IK16" s="147"/>
      <c r="IL16" s="147"/>
      <c r="IM16" s="147"/>
      <c r="IN16" s="147"/>
      <c r="IO16" s="147"/>
      <c r="IP16" s="147"/>
      <c r="IQ16" s="147"/>
      <c r="IR16" s="147"/>
      <c r="IS16" s="147"/>
      <c r="IT16" s="147"/>
      <c r="IU16" s="147"/>
      <c r="IV16" s="147"/>
      <c r="IW16" s="147"/>
      <c r="IX16" s="147"/>
      <c r="IY16" s="147"/>
      <c r="IZ16" s="147"/>
      <c r="JA16" s="147"/>
      <c r="JB16" s="147"/>
      <c r="JC16" s="147"/>
      <c r="JD16" s="147"/>
      <c r="JE16" s="147"/>
      <c r="JF16" s="147"/>
      <c r="JG16" s="147"/>
      <c r="JH16" s="147"/>
      <c r="JI16" s="147"/>
      <c r="JJ16" s="147"/>
      <c r="JK16" s="147"/>
      <c r="JL16" s="147"/>
      <c r="JM16" s="147"/>
      <c r="JN16" s="147"/>
      <c r="JO16" s="147"/>
      <c r="JP16" s="147"/>
      <c r="JQ16" s="147"/>
      <c r="JR16" s="147"/>
      <c r="JS16" s="147"/>
      <c r="JT16" s="147"/>
      <c r="JU16" s="147"/>
      <c r="JV16" s="147"/>
      <c r="JW16" s="147"/>
      <c r="JX16" s="147"/>
      <c r="JY16" s="147"/>
      <c r="JZ16" s="147"/>
      <c r="KA16" s="147"/>
      <c r="KB16" s="147"/>
      <c r="KC16" s="147"/>
      <c r="KD16" s="147"/>
      <c r="KE16" s="147"/>
      <c r="KF16" s="147"/>
      <c r="KG16" s="147"/>
      <c r="KH16" s="147"/>
      <c r="KI16" s="147"/>
      <c r="KJ16" s="147"/>
      <c r="KK16" s="147"/>
      <c r="KL16" s="147"/>
      <c r="KM16" s="147"/>
      <c r="KN16" s="147"/>
      <c r="KO16" s="147"/>
      <c r="KP16" s="147"/>
      <c r="KQ16" s="147"/>
      <c r="KR16" s="147"/>
      <c r="KS16" s="147"/>
      <c r="KT16" s="147"/>
      <c r="KU16" s="147"/>
      <c r="KV16" s="147"/>
      <c r="KW16" s="147"/>
      <c r="KX16" s="147"/>
      <c r="KY16" s="147"/>
      <c r="KZ16" s="147"/>
      <c r="LA16" s="147"/>
      <c r="LB16" s="147"/>
      <c r="LC16" s="147"/>
      <c r="LD16" s="147"/>
      <c r="LE16" s="147"/>
      <c r="LF16" s="147"/>
      <c r="LG16" s="147"/>
      <c r="LH16" s="147"/>
      <c r="LI16" s="147"/>
      <c r="LJ16" s="147"/>
      <c r="LK16" s="147"/>
      <c r="LL16" s="147"/>
      <c r="LM16" s="147"/>
      <c r="LN16" s="147"/>
      <c r="LO16" s="147"/>
      <c r="LP16" s="147"/>
      <c r="LQ16" s="147"/>
      <c r="LR16" s="147"/>
      <c r="LS16" s="147"/>
      <c r="LT16" s="147"/>
      <c r="LU16" s="147"/>
      <c r="LV16" s="147"/>
      <c r="LW16" s="147"/>
      <c r="LX16" s="147"/>
      <c r="LY16" s="147"/>
      <c r="LZ16" s="147"/>
      <c r="MA16" s="147"/>
      <c r="MB16" s="147"/>
      <c r="MC16" s="147"/>
      <c r="MD16" s="147"/>
      <c r="ME16" s="147"/>
      <c r="MF16" s="147"/>
      <c r="MG16" s="147"/>
      <c r="MH16" s="147"/>
      <c r="MI16" s="147"/>
      <c r="MJ16" s="147"/>
      <c r="MK16" s="147"/>
      <c r="ML16" s="147"/>
      <c r="MM16" s="147"/>
      <c r="MN16" s="147"/>
      <c r="MO16" s="147"/>
      <c r="MP16" s="147"/>
      <c r="MQ16" s="147"/>
      <c r="MR16" s="147"/>
      <c r="MS16" s="147"/>
      <c r="MT16" s="147"/>
      <c r="MU16" s="147"/>
      <c r="MV16" s="147"/>
      <c r="MW16" s="147"/>
      <c r="MX16" s="147"/>
      <c r="MY16" s="147"/>
      <c r="MZ16" s="147"/>
      <c r="NA16" s="147"/>
      <c r="NB16" s="147"/>
      <c r="NC16" s="147"/>
      <c r="ND16" s="147"/>
      <c r="NE16" s="147"/>
      <c r="NF16" s="147"/>
      <c r="NG16" s="147"/>
      <c r="NH16" s="147"/>
      <c r="NI16" s="147"/>
      <c r="NJ16" s="147"/>
      <c r="NK16" s="147"/>
      <c r="NL16" s="147"/>
      <c r="NM16" s="147"/>
      <c r="NN16" s="147"/>
      <c r="NO16" s="147"/>
      <c r="NP16" s="147"/>
      <c r="NQ16" s="147"/>
      <c r="NR16" s="147"/>
      <c r="NS16" s="147"/>
      <c r="NT16" s="147"/>
      <c r="NU16" s="147"/>
      <c r="NV16" s="147"/>
      <c r="NW16" s="147"/>
      <c r="NX16" s="147"/>
      <c r="NY16" s="147"/>
      <c r="NZ16" s="147"/>
      <c r="OA16" s="147"/>
      <c r="OB16" s="147"/>
      <c r="OC16" s="147"/>
      <c r="OD16" s="147"/>
      <c r="OE16" s="147"/>
      <c r="OF16" s="147"/>
      <c r="OG16" s="147"/>
      <c r="OH16" s="147"/>
      <c r="OI16" s="147"/>
      <c r="OJ16" s="147"/>
      <c r="OK16" s="147"/>
      <c r="OL16" s="147"/>
      <c r="OM16" s="147"/>
      <c r="ON16" s="147"/>
      <c r="OO16" s="147"/>
      <c r="OP16" s="147"/>
      <c r="OQ16" s="147"/>
      <c r="OR16" s="147"/>
      <c r="OS16" s="147"/>
      <c r="OT16" s="147"/>
      <c r="OU16" s="147"/>
      <c r="OV16" s="147"/>
      <c r="OW16" s="147"/>
      <c r="OX16" s="147"/>
      <c r="OY16" s="147"/>
      <c r="OZ16" s="147"/>
      <c r="PA16" s="147"/>
      <c r="PB16" s="147"/>
      <c r="PC16" s="147"/>
      <c r="PD16" s="147"/>
      <c r="PE16" s="147"/>
      <c r="PF16" s="147"/>
      <c r="PG16" s="147"/>
      <c r="PH16" s="147"/>
      <c r="PI16" s="147"/>
      <c r="PJ16" s="147"/>
      <c r="PK16" s="147"/>
      <c r="PL16" s="147"/>
      <c r="PM16" s="147"/>
      <c r="PN16" s="147"/>
      <c r="PO16" s="147"/>
      <c r="PP16" s="147"/>
      <c r="PQ16" s="147"/>
      <c r="PR16" s="147"/>
      <c r="PS16" s="147"/>
      <c r="PT16" s="147"/>
      <c r="PU16" s="147"/>
      <c r="PV16" s="147"/>
      <c r="PW16" s="147"/>
      <c r="PX16" s="147"/>
      <c r="PY16" s="147"/>
      <c r="PZ16" s="147"/>
      <c r="QA16" s="147"/>
      <c r="QB16" s="147"/>
      <c r="QC16" s="147"/>
      <c r="QD16" s="147"/>
      <c r="QE16" s="147"/>
      <c r="QF16" s="147"/>
      <c r="QG16" s="147"/>
      <c r="QH16" s="147"/>
      <c r="QI16" s="147"/>
      <c r="QJ16" s="147"/>
      <c r="QK16" s="147"/>
      <c r="QL16" s="147"/>
      <c r="QM16" s="147"/>
      <c r="QN16" s="147"/>
      <c r="QO16" s="147"/>
      <c r="QP16" s="147"/>
      <c r="QQ16" s="147"/>
      <c r="QR16" s="147"/>
      <c r="QS16" s="147"/>
      <c r="QT16" s="147"/>
      <c r="QU16" s="147"/>
      <c r="QV16" s="147"/>
      <c r="QW16" s="147"/>
      <c r="QX16" s="147"/>
      <c r="QY16" s="147"/>
      <c r="QZ16" s="147"/>
      <c r="RA16" s="147"/>
      <c r="RB16" s="147"/>
      <c r="RC16" s="147"/>
      <c r="RD16" s="147"/>
      <c r="RE16" s="147"/>
      <c r="RF16" s="147"/>
      <c r="RG16" s="147"/>
      <c r="RH16" s="147"/>
      <c r="RI16" s="147"/>
      <c r="RJ16" s="147"/>
      <c r="RK16" s="147"/>
      <c r="RL16" s="147"/>
      <c r="RM16" s="147"/>
      <c r="RN16" s="147"/>
      <c r="RO16" s="147"/>
      <c r="RP16" s="147"/>
    </row>
    <row r="17" spans="2:484" ht="12.95" customHeight="1" x14ac:dyDescent="0.2">
      <c r="B17" s="152"/>
      <c r="C17" s="152" t="s">
        <v>925</v>
      </c>
      <c r="D17" s="152"/>
      <c r="E17" s="147"/>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c r="BM17" s="147"/>
      <c r="BN17" s="147"/>
      <c r="BO17" s="147"/>
      <c r="BP17" s="147"/>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DE17" s="147"/>
      <c r="DF17" s="147"/>
      <c r="DG17" s="147"/>
      <c r="DH17" s="147"/>
      <c r="DI17" s="147"/>
      <c r="DJ17" s="147"/>
      <c r="DK17" s="147"/>
      <c r="DL17" s="147"/>
      <c r="DM17" s="147"/>
      <c r="DN17" s="147"/>
      <c r="DO17" s="147"/>
      <c r="DP17" s="147"/>
      <c r="DQ17" s="147"/>
      <c r="DR17" s="147"/>
      <c r="DS17" s="147"/>
      <c r="DT17" s="147"/>
      <c r="DU17" s="147"/>
      <c r="DV17" s="147"/>
      <c r="DW17" s="147"/>
      <c r="DX17" s="147"/>
      <c r="DY17" s="147"/>
      <c r="DZ17" s="147"/>
      <c r="EA17" s="147"/>
      <c r="EB17" s="147"/>
      <c r="EC17" s="147"/>
      <c r="ED17" s="147"/>
      <c r="EE17" s="147"/>
      <c r="EF17" s="147"/>
      <c r="EG17" s="147"/>
      <c r="EH17" s="147"/>
      <c r="EI17" s="147"/>
      <c r="EJ17" s="147"/>
      <c r="EK17" s="147"/>
      <c r="EL17" s="147"/>
      <c r="EM17" s="147"/>
      <c r="EN17" s="147"/>
      <c r="EO17" s="147"/>
      <c r="EP17" s="147"/>
      <c r="EQ17" s="147"/>
      <c r="ER17" s="147"/>
      <c r="ES17" s="147"/>
      <c r="ET17" s="147"/>
      <c r="EU17" s="147"/>
      <c r="EV17" s="147"/>
      <c r="EW17" s="147"/>
      <c r="EX17" s="147"/>
      <c r="EY17" s="147"/>
      <c r="EZ17" s="147"/>
      <c r="FA17" s="147"/>
      <c r="FB17" s="147"/>
      <c r="FC17" s="147"/>
      <c r="FD17" s="147"/>
      <c r="FE17" s="147"/>
      <c r="FF17" s="147"/>
      <c r="FG17" s="147"/>
      <c r="FH17" s="147"/>
      <c r="FI17" s="147"/>
      <c r="FJ17" s="147"/>
      <c r="FK17" s="147"/>
      <c r="FL17" s="147"/>
      <c r="FM17" s="147"/>
      <c r="FN17" s="147"/>
      <c r="FO17" s="147"/>
      <c r="FP17" s="147"/>
      <c r="FQ17" s="147"/>
      <c r="FR17" s="147"/>
      <c r="FS17" s="147"/>
      <c r="FT17" s="147"/>
      <c r="FU17" s="147"/>
      <c r="FV17" s="147"/>
      <c r="FW17" s="147"/>
      <c r="FX17" s="147"/>
      <c r="FY17" s="147"/>
      <c r="FZ17" s="147"/>
      <c r="GA17" s="147"/>
      <c r="GB17" s="147"/>
      <c r="GC17" s="147">
        <f>IF(AND(GC7&gt;THIN!$F$9,GC7&lt;THIN!$F$32),GC10,"")</f>
        <v>0.34094640252590885</v>
      </c>
      <c r="GD17" s="147">
        <f>IF(AND(GD7&gt;THIN!$F$9,GD7&lt;THIN!$F$32),GD10,"")</f>
        <v>0.33803246942376741</v>
      </c>
      <c r="GE17" s="147">
        <f>IF(AND(GE7&gt;THIN!$F$9,GE7&lt;THIN!$F$32),GE10,"")</f>
        <v>0.33514344054721928</v>
      </c>
      <c r="GF17" s="147">
        <f>IF(AND(GF7&gt;THIN!$F$9,GF7&lt;THIN!$F$32),GF10,"")</f>
        <v>0.33227910304976782</v>
      </c>
      <c r="GG17" s="147">
        <f>IF(AND(GG7&gt;THIN!$F$9,GG7&lt;THIN!$F$32),GG10,"")</f>
        <v>0.32943924590403068</v>
      </c>
      <c r="GH17" s="147">
        <f>IF(AND(GH7&gt;THIN!$F$9,GH7&lt;THIN!$F$32),GH10,"")</f>
        <v>0.32662365988619219</v>
      </c>
      <c r="GI17" s="147">
        <f>IF(AND(GI7&gt;THIN!$F$9,GI7&lt;THIN!$F$32),GI10,"")</f>
        <v>0.32383213756058948</v>
      </c>
      <c r="GJ17" s="147">
        <f>IF(AND(GJ7&gt;THIN!$F$9,GJ7&lt;THIN!$F$32),GJ10,"")</f>
        <v>0.32106447326442988</v>
      </c>
      <c r="GK17" s="147">
        <f>IF(AND(GK7&gt;THIN!$F$9,GK7&lt;THIN!$F$32),GK10,"")</f>
        <v>0.31832046309263828</v>
      </c>
      <c r="GL17" s="147">
        <f>IF(AND(GL7&gt;THIN!$F$9,GL7&lt;THIN!$F$32),GL10,"")</f>
        <v>0.31559990488283535</v>
      </c>
      <c r="GM17" s="147">
        <f>IF(AND(GM7&gt;THIN!$F$9,GM7&lt;THIN!$F$32),GM10,"")</f>
        <v>0.31290259820044292</v>
      </c>
      <c r="GN17" s="147">
        <f>IF(AND(GN7&gt;THIN!$F$9,GN7&lt;THIN!$F$32),GN10,"")</f>
        <v>0.31022834432391738</v>
      </c>
      <c r="GO17" s="147">
        <f>IF(AND(GO7&gt;THIN!$F$9,GO7&lt;THIN!$F$32),GO10,"")</f>
        <v>0.30757694623010906</v>
      </c>
      <c r="GP17" s="147">
        <f>IF(AND(GP7&gt;THIN!$F$9,GP7&lt;THIN!$F$32),GP10,"")</f>
        <v>0.30494820857974647</v>
      </c>
      <c r="GQ17" s="147">
        <f>IF(AND(GQ7&gt;THIN!$F$9,GQ7&lt;THIN!$F$32),GQ10,"")</f>
        <v>0.30234193770304546</v>
      </c>
      <c r="GR17" s="147">
        <f>IF(AND(GR7&gt;THIN!$F$9,GR7&lt;THIN!$F$32),GR10,"")</f>
        <v>0.29975794158544006</v>
      </c>
      <c r="GS17" s="147">
        <f>IF(AND(GS7&gt;THIN!$F$9,GS7&lt;THIN!$F$32),GS10,"")</f>
        <v>0.29719602985343618</v>
      </c>
      <c r="GT17" s="147">
        <f>IF(AND(GT7&gt;THIN!$F$9,GT7&lt;THIN!$F$32),GT10,"")</f>
        <v>0.29465601376058675</v>
      </c>
      <c r="GU17" s="147">
        <f>IF(AND(GU7&gt;THIN!$F$9,GU7&lt;THIN!$F$32),GU10,"")</f>
        <v>0.29213770617358475</v>
      </c>
      <c r="GV17" s="147">
        <f>IF(AND(GV7&gt;THIN!$F$9,GV7&lt;THIN!$F$32),GV10,"")</f>
        <v>0.28964092155847732</v>
      </c>
      <c r="GW17" s="147">
        <f>IF(AND(GW7&gt;THIN!$F$9,GW7&lt;THIN!$F$32),GW10,"")</f>
        <v>0.28716547596699654</v>
      </c>
      <c r="GX17" s="147">
        <f>IF(AND(GX7&gt;THIN!$F$9,GX7&lt;THIN!$F$32),GX10,"")</f>
        <v>0.28471118702300674</v>
      </c>
      <c r="GY17" s="147">
        <f>IF(AND(GY7&gt;THIN!$F$9,GY7&lt;THIN!$F$32),GY10,"")</f>
        <v>0.28227787390906856</v>
      </c>
      <c r="GZ17" s="147">
        <f>IF(AND(GZ7&gt;THIN!$F$9,GZ7&lt;THIN!$F$32),GZ10,"")</f>
        <v>0.27986535735311735</v>
      </c>
      <c r="HA17" s="147">
        <f>IF(AND(HA7&gt;THIN!$F$9,HA7&lt;THIN!$F$32),HA10,"")</f>
        <v>0.27747345961525538</v>
      </c>
      <c r="HB17" s="147">
        <f>IF(AND(HB7&gt;THIN!$F$9,HB7&lt;THIN!$F$32),HB10,"")</f>
        <v>0.27510200447465694</v>
      </c>
      <c r="HC17" s="147">
        <f>IF(AND(HC7&gt;THIN!$F$9,HC7&lt;THIN!$F$32),HC10,"")</f>
        <v>0.27275081721658562</v>
      </c>
      <c r="HD17" s="147">
        <f>IF(AND(HD7&gt;THIN!$F$9,HD7&lt;THIN!$F$32),HD10,"")</f>
        <v>0.27041972461952224</v>
      </c>
      <c r="HE17" s="147">
        <f>IF(AND(HE7&gt;THIN!$F$9,HE7&lt;THIN!$F$32),HE10,"")</f>
        <v>0.26810855494240282</v>
      </c>
      <c r="HF17" s="147">
        <f>IF(AND(HF7&gt;THIN!$F$9,HF7&lt;THIN!$F$32),HF10,"")</f>
        <v>0.26581713791196615</v>
      </c>
      <c r="HG17" s="147">
        <f>IF(AND(HG7&gt;THIN!$F$9,HG7&lt;THIN!$F$32),HG10,"")</f>
        <v>0.26354530471020859</v>
      </c>
      <c r="HH17" s="147">
        <f>IF(AND(HH7&gt;THIN!$F$9,HH7&lt;THIN!$F$32),HH10,"")</f>
        <v>0.2612928879619465</v>
      </c>
      <c r="HI17" s="147">
        <f>IF(AND(HI7&gt;THIN!$F$9,HI7&lt;THIN!$F$32),HI10,"")</f>
        <v>0.25905972172248576</v>
      </c>
      <c r="HJ17" s="147">
        <f>IF(AND(HJ7&gt;THIN!$F$9,HJ7&lt;THIN!$F$32),HJ10,"")</f>
        <v>0.25684564146539507</v>
      </c>
      <c r="HK17" s="147">
        <f>IF(AND(HK7&gt;THIN!$F$9,HK7&lt;THIN!$F$32),HK10,"")</f>
        <v>0.2546504840703851</v>
      </c>
      <c r="HL17" s="147">
        <f>IF(AND(HL7&gt;THIN!$F$9,HL7&lt;THIN!$F$32),HL10,"")</f>
        <v>0.25247408781129083</v>
      </c>
      <c r="HM17" s="147">
        <f>IF(AND(HM7&gt;THIN!$F$9,HM7&lt;THIN!$F$32),HM10,"")</f>
        <v>0.25031629234415614</v>
      </c>
      <c r="HN17" s="147">
        <f>IF(AND(HN7&gt;THIN!$F$9,HN7&lt;THIN!$F$32),HN10,"")</f>
        <v>0.24817693869542085</v>
      </c>
      <c r="HO17" s="147">
        <f>IF(AND(HO7&gt;THIN!$F$9,HO7&lt;THIN!$F$32),HO10,"")</f>
        <v>0.24605586925020867</v>
      </c>
      <c r="HP17" s="147">
        <f>IF(AND(HP7&gt;THIN!$F$9,HP7&lt;THIN!$F$32),HP10,"")</f>
        <v>0.2439529277407147</v>
      </c>
      <c r="HQ17" s="147">
        <f>IF(AND(HQ7&gt;THIN!$F$9,HQ7&lt;THIN!$F$32),HQ10,"")</f>
        <v>0.24186795923469273</v>
      </c>
      <c r="HR17" s="147">
        <f>IF(AND(HR7&gt;THIN!$F$9,HR7&lt;THIN!$F$32),HR10,"")</f>
        <v>0.23980081012404092</v>
      </c>
      <c r="HS17" s="147">
        <f>IF(AND(HS7&gt;THIN!$F$9,HS7&lt;THIN!$F$32),HS10,"")</f>
        <v>0.23775132811348448</v>
      </c>
      <c r="HT17" s="147">
        <f>IF(AND(HT7&gt;THIN!$F$9,HT7&lt;THIN!$F$32),HT10,"")</f>
        <v>0.23571936220935577</v>
      </c>
      <c r="HU17" s="147">
        <f>IF(AND(HU7&gt;THIN!$F$9,HU7&lt;THIN!$F$32),HU10,"")</f>
        <v>0.23370476270846996</v>
      </c>
      <c r="HV17" s="147">
        <f>IF(AND(HV7&gt;THIN!$F$9,HV7&lt;THIN!$F$32),HV10,"")</f>
        <v>0.23170738118709555</v>
      </c>
      <c r="HW17" s="147">
        <f>IF(AND(HW7&gt;THIN!$F$9,HW7&lt;THIN!$F$32),HW10,"")</f>
        <v>0.22972707049001964</v>
      </c>
      <c r="HX17" s="147">
        <f>IF(AND(HX7&gt;THIN!$F$9,HX7&lt;THIN!$F$32),HX10,"")</f>
        <v>0.22776368471970646</v>
      </c>
      <c r="HY17" s="147">
        <f>IF(AND(HY7&gt;THIN!$F$9,HY7&lt;THIN!$F$32),HY10,"")</f>
        <v>0.22581707922554811</v>
      </c>
      <c r="HZ17" s="147">
        <f>IF(AND(HZ7&gt;THIN!$F$9,HZ7&lt;THIN!$F$32),HZ10,"")</f>
        <v>0.22388711059320787</v>
      </c>
      <c r="IA17" s="147">
        <f>IF(AND(IA7&gt;THIN!$F$9,IA7&lt;THIN!$F$32),IA10,"")</f>
        <v>0.22197363663405448</v>
      </c>
      <c r="IB17" s="147">
        <f>IF(AND(IB7&gt;THIN!$F$9,IB7&lt;THIN!$F$32),IB10,"")</f>
        <v>0.22007651637468606</v>
      </c>
      <c r="IC17" s="147">
        <f>IF(AND(IC7&gt;THIN!$F$9,IC7&lt;THIN!$F$32),IC10,"")</f>
        <v>0.21819561004654417</v>
      </c>
      <c r="ID17" s="147">
        <f>IF(AND(ID7&gt;THIN!$F$9,ID7&lt;THIN!$F$32),ID10,"")</f>
        <v>0.21633077907561682</v>
      </c>
      <c r="IE17" s="147">
        <f>IF(AND(IE7&gt;THIN!$F$9,IE7&lt;THIN!$F$32),IE10,"")</f>
        <v>0.21448188607222876</v>
      </c>
      <c r="IF17" s="147">
        <f>IF(AND(IF7&gt;THIN!$F$9,IF7&lt;THIN!$F$32),IF10,"")</f>
        <v>0.21264879482091947</v>
      </c>
      <c r="IG17" s="147">
        <f>IF(AND(IG7&gt;THIN!$F$9,IG7&lt;THIN!$F$32),IG10,"")</f>
        <v>0.21083137027040796</v>
      </c>
      <c r="IH17" s="147">
        <f>IF(AND(IH7&gt;THIN!$F$9,IH7&lt;THIN!$F$32),IH10,"")</f>
        <v>0.20902947852364259</v>
      </c>
      <c r="II17" s="147">
        <f>IF(AND(II7&gt;THIN!$F$9,II7&lt;THIN!$F$32),II10,"")</f>
        <v>0.2072429868279364</v>
      </c>
      <c r="IJ17" s="147">
        <f>IF(AND(IJ7&gt;THIN!$F$9,IJ7&lt;THIN!$F$32),IJ10,"")</f>
        <v>0.20547176356518707</v>
      </c>
      <c r="IK17" s="147">
        <f>IF(AND(IK7&gt;THIN!$F$9,IK7&lt;THIN!$F$32),IK10,"")</f>
        <v>0.20371567824217954</v>
      </c>
      <c r="IL17" s="147">
        <f>IF(AND(IL7&gt;THIN!$F$9,IL7&lt;THIN!$F$32),IL10,"")</f>
        <v>0.20197460148097215</v>
      </c>
      <c r="IM17" s="147">
        <f>IF(AND(IM7&gt;THIN!$F$9,IM7&lt;THIN!$F$32),IM10,"")</f>
        <v>0.20024840500936547</v>
      </c>
      <c r="IN17" s="147">
        <f>IF(AND(IN7&gt;THIN!$F$9,IN7&lt;THIN!$F$32),IN10,"")</f>
        <v>0.19853696165145091</v>
      </c>
      <c r="IO17" s="147">
        <f>IF(AND(IO7&gt;THIN!$F$9,IO7&lt;THIN!$F$32),IO10,"")</f>
        <v>0.19684014531824207</v>
      </c>
      <c r="IP17" s="147">
        <f>IF(AND(IP7&gt;THIN!$F$9,IP7&lt;THIN!$F$32),IP10,"")</f>
        <v>0.19515783099838477</v>
      </c>
      <c r="IQ17" s="147">
        <f>IF(AND(IQ7&gt;THIN!$F$9,IQ7&lt;THIN!$F$32),IQ10,"")</f>
        <v>0.19348989474894718</v>
      </c>
      <c r="IR17" s="147">
        <f>IF(AND(IR7&gt;THIN!$F$9,IR7&lt;THIN!$F$32),IR10,"")</f>
        <v>0.19183621368628803</v>
      </c>
      <c r="IS17" s="147">
        <f>IF(AND(IS7&gt;THIN!$F$9,IS7&lt;THIN!$F$32),IS10,"")</f>
        <v>0.19019666597700413</v>
      </c>
      <c r="IT17" s="147">
        <f>IF(AND(IT7&gt;THIN!$F$9,IT7&lt;THIN!$F$32),IT10,"")</f>
        <v>0.18857113082895333</v>
      </c>
      <c r="IU17" s="147">
        <f>IF(AND(IU7&gt;THIN!$F$9,IU7&lt;THIN!$F$32),IU10,"")</f>
        <v>0.18695948848235608</v>
      </c>
      <c r="IV17" s="147">
        <f>IF(AND(IV7&gt;THIN!$F$9,IV7&lt;THIN!$F$32),IV10,"")</f>
        <v>0.18536162020097194</v>
      </c>
      <c r="IW17" s="147">
        <f>IF(AND(IW7&gt;THIN!$F$9,IW7&lt;THIN!$F$32),IW10,"")</f>
        <v>0.18377740826335184</v>
      </c>
      <c r="IX17" s="147">
        <f>IF(AND(IX7&gt;THIN!$F$9,IX7&lt;THIN!$F$32),IX10,"")</f>
        <v>0.18220673595416484</v>
      </c>
      <c r="IY17" s="147">
        <f>IF(AND(IY7&gt;THIN!$F$9,IY7&lt;THIN!$F$32),IY10,"")</f>
        <v>0.18064948755559979</v>
      </c>
      <c r="IZ17" s="147">
        <f>IF(AND(IZ7&gt;THIN!$F$9,IZ7&lt;THIN!$F$32),IZ10,"")</f>
        <v>0.17910554833883935</v>
      </c>
      <c r="JA17" s="147">
        <f>IF(AND(JA7&gt;THIN!$F$9,JA7&lt;THIN!$F$32),JA10,"")</f>
        <v>0.17757480455560762</v>
      </c>
      <c r="JB17" s="147">
        <f>IF(AND(JB7&gt;THIN!$F$9,JB7&lt;THIN!$F$32),JB10,"")</f>
        <v>0.17605714342979012</v>
      </c>
      <c r="JC17" s="147">
        <f>IF(AND(JC7&gt;THIN!$F$9,JC7&lt;THIN!$F$32),JC10,"")</f>
        <v>0.17455245314912488</v>
      </c>
      <c r="JD17" s="147">
        <f>IF(AND(JD7&gt;THIN!$F$9,JD7&lt;THIN!$F$32),JD10,"")</f>
        <v>0.17306062285696452</v>
      </c>
      <c r="JE17" s="147">
        <f>IF(AND(JE7&gt;THIN!$F$9,JE7&lt;THIN!$F$32),JE10,"")</f>
        <v>0.17158154264410963</v>
      </c>
      <c r="JF17" s="147">
        <f>IF(AND(JF7&gt;THIN!$F$9,JF7&lt;THIN!$F$32),JF10,"")</f>
        <v>0.17011510354071077</v>
      </c>
      <c r="JG17" s="147">
        <f>IF(AND(JG7&gt;THIN!$F$9,JG7&lt;THIN!$F$32),JG10,"")</f>
        <v>0.16866119750824032</v>
      </c>
      <c r="JH17" s="147">
        <f>IF(AND(JH7&gt;THIN!$F$9,JH7&lt;THIN!$F$32),JH10,"")</f>
        <v>0.16721971743153316</v>
      </c>
      <c r="JI17" s="147">
        <f>IF(AND(JI7&gt;THIN!$F$9,JI7&lt;THIN!$F$32),JI10,"")</f>
        <v>0.16579055711089463</v>
      </c>
      <c r="JJ17" s="147">
        <f>IF(AND(JJ7&gt;THIN!$F$9,JJ7&lt;THIN!$F$32),JJ10,"")</f>
        <v>0.16437361125427652</v>
      </c>
      <c r="JK17" s="147">
        <f>IF(AND(JK7&gt;THIN!$F$9,JK7&lt;THIN!$F$32),JK10,"")</f>
        <v>0.16296877546952013</v>
      </c>
      <c r="JL17" s="147">
        <f>IF(AND(JL7&gt;THIN!$F$9,JL7&lt;THIN!$F$32),JL10,"")</f>
        <v>0.16157594625666458</v>
      </c>
      <c r="JM17" s="147">
        <f>IF(AND(JM7&gt;THIN!$F$9,JM7&lt;THIN!$F$32),JM10,"")</f>
        <v>0.16019502100032207</v>
      </c>
      <c r="JN17" s="147">
        <f>IF(AND(JN7&gt;THIN!$F$9,JN7&lt;THIN!$F$32),JN10,"")</f>
        <v>0.15882589796211782</v>
      </c>
      <c r="JO17" s="147">
        <f>IF(AND(JO7&gt;THIN!$F$9,JO7&lt;THIN!$F$32),JO10,"")</f>
        <v>0.15746847627319421</v>
      </c>
      <c r="JP17" s="147">
        <f>IF(AND(JP7&gt;THIN!$F$9,JP7&lt;THIN!$F$32),JP10,"")</f>
        <v>0.15612265592677954</v>
      </c>
      <c r="JQ17" s="147">
        <f>IF(AND(JQ7&gt;THIN!$F$9,JQ7&lt;THIN!$F$32),JQ10,"")</f>
        <v>0.15478833777082038</v>
      </c>
      <c r="JR17" s="147">
        <f>IF(AND(JR7&gt;THIN!$F$9,JR7&lt;THIN!$F$32),JR10,"")</f>
        <v>0.15346542350067618</v>
      </c>
      <c r="JS17" s="147">
        <f>IF(AND(JS7&gt;THIN!$F$9,JS7&lt;THIN!$F$32),JS10,"")</f>
        <v>0.15215381565187711</v>
      </c>
      <c r="JT17" s="147">
        <f>IF(AND(JT7&gt;THIN!$F$9,JT7&lt;THIN!$F$32),JT10,"")</f>
        <v>0.15085341759294338</v>
      </c>
      <c r="JU17" s="147">
        <f>IF(AND(JU7&gt;THIN!$F$9,JU7&lt;THIN!$F$32),JU10,"")</f>
        <v>0.14956413351826589</v>
      </c>
      <c r="JV17" s="147">
        <f>IF(AND(JV7&gt;THIN!$F$9,JV7&lt;THIN!$F$32),JV10,"")</f>
        <v>0.14828586844104785</v>
      </c>
      <c r="JW17" s="147">
        <f>IF(AND(JW7&gt;THIN!$F$9,JW7&lt;THIN!$F$32),JW10,"")</f>
        <v>0.14701852818630698</v>
      </c>
      <c r="JX17" s="147">
        <f>IF(AND(JX7&gt;THIN!$F$9,JX7&lt;THIN!$F$32),JX10,"")</f>
        <v>0.14576201938393696</v>
      </c>
      <c r="JY17" s="147">
        <f>IF(AND(JY7&gt;THIN!$F$9,JY7&lt;THIN!$F$32),JY10,"")</f>
        <v>0.14451624946182853</v>
      </c>
      <c r="JZ17" s="147">
        <f>IF(AND(JZ7&gt;THIN!$F$9,JZ7&lt;THIN!$F$32),JZ10,"")</f>
        <v>0.14328112663904952</v>
      </c>
      <c r="KA17" s="147">
        <f>IF(AND(KA7&gt;THIN!$F$9,KA7&lt;THIN!$F$32),KA10,"")</f>
        <v>0.14205655991908267</v>
      </c>
      <c r="KB17" s="147">
        <f>IF(AND(KB7&gt;THIN!$F$9,KB7&lt;THIN!$F$32),KB10,"")</f>
        <v>0.14084245908312176</v>
      </c>
      <c r="KC17" s="147">
        <f>IF(AND(KC7&gt;THIN!$F$9,KC7&lt;THIN!$F$32),KC10,"")</f>
        <v>0.13963873468342489</v>
      </c>
      <c r="KD17" s="147">
        <f>IF(AND(KD7&gt;THIN!$F$9,KD7&lt;THIN!$F$32),KD10,"")</f>
        <v>0.13844529803672423</v>
      </c>
      <c r="KE17" s="147">
        <f>IF(AND(KE7&gt;THIN!$F$9,KE7&lt;THIN!$F$32),KE10,"")</f>
        <v>0.13726206121769249</v>
      </c>
      <c r="KF17" s="147">
        <f>IF(AND(KF7&gt;THIN!$F$9,KF7&lt;THIN!$F$32),KF10,"")</f>
        <v>0.13608893705246536</v>
      </c>
      <c r="KG17" s="147">
        <f>IF(AND(KG7&gt;THIN!$F$9,KG7&lt;THIN!$F$32),KG10,"")</f>
        <v>0.13492583911221862</v>
      </c>
      <c r="KH17" s="147">
        <f>IF(AND(KH7&gt;THIN!$F$9,KH7&lt;THIN!$F$32),KH10,"")</f>
        <v>0.13377268170680079</v>
      </c>
      <c r="KI17" s="147">
        <f>IF(AND(KI7&gt;THIN!$F$9,KI7&lt;THIN!$F$32),KI10,"")</f>
        <v>0.13262937987842013</v>
      </c>
      <c r="KJ17" s="147">
        <f>IF(AND(KJ7&gt;THIN!$F$9,KJ7&lt;THIN!$F$32),KJ10,"")</f>
        <v>0.13149584939538519</v>
      </c>
      <c r="KK17" s="147">
        <f>IF(AND(KK7&gt;THIN!$F$9,KK7&lt;THIN!$F$32),KK10,"")</f>
        <v>0.13037200674589922</v>
      </c>
      <c r="KL17" s="147">
        <f>IF(AND(KL7&gt;THIN!$F$9,KL7&lt;THIN!$F$32),KL10,"")</f>
        <v>0.12925776913190762</v>
      </c>
      <c r="KM17" s="147">
        <f>IF(AND(KM7&gt;THIN!$F$9,KM7&lt;THIN!$F$32),KM10,"")</f>
        <v>0.12815305446299774</v>
      </c>
      <c r="KN17" s="147">
        <f>IF(AND(KN7&gt;THIN!$F$9,KN7&lt;THIN!$F$32),KN10,"")</f>
        <v>0.12705778135035095</v>
      </c>
      <c r="KO17" s="147">
        <f>IF(AND(KO7&gt;THIN!$F$9,KO7&lt;THIN!$F$32),KO10,"")</f>
        <v>0.12597186910074656</v>
      </c>
      <c r="KP17" s="147">
        <f>IF(AND(KP7&gt;THIN!$F$9,KP7&lt;THIN!$F$32),KP10,"")</f>
        <v>0.12489523771061654</v>
      </c>
      <c r="KQ17" s="147">
        <f>IF(AND(KQ7&gt;THIN!$F$9,KQ7&lt;THIN!$F$32),KQ10,"")</f>
        <v>0.12382780786015159</v>
      </c>
      <c r="KR17" s="147">
        <f>IF(AND(KR7&gt;THIN!$F$9,KR7&lt;THIN!$F$32),KR10,"")</f>
        <v>0.12276950090745718</v>
      </c>
      <c r="KS17" s="147">
        <f>IF(AND(KS7&gt;THIN!$F$9,KS7&lt;THIN!$F$32),KS10,"")</f>
        <v>0.12172023888275982</v>
      </c>
      <c r="KT17" s="147">
        <f>IF(AND(KT7&gt;THIN!$F$9,KT7&lt;THIN!$F$32),KT10,"")</f>
        <v>0.12067994448266242</v>
      </c>
      <c r="KU17" s="147">
        <f>IF(AND(KU7&gt;THIN!$F$9,KU7&lt;THIN!$F$32),KU10,"")</f>
        <v>0.1196485410644495</v>
      </c>
      <c r="KV17" s="147">
        <f>IF(AND(KV7&gt;THIN!$F$9,KV7&lt;THIN!$F$32),KV10,"")</f>
        <v>0.11862595264044015</v>
      </c>
      <c r="KW17" s="147">
        <f>IF(AND(KW7&gt;THIN!$F$9,KW7&lt;THIN!$F$32),KW10,"")</f>
        <v>0.11761210387238991</v>
      </c>
      <c r="KX17" s="147">
        <f>IF(AND(KX7&gt;THIN!$F$9,KX7&lt;THIN!$F$32),KX10,"")</f>
        <v>0.11660692006594041</v>
      </c>
      <c r="KY17" s="147">
        <f>IF(AND(KY7&gt;THIN!$F$9,KY7&lt;THIN!$F$32),KY10,"")</f>
        <v>0.11561032716511611</v>
      </c>
      <c r="KZ17" s="147">
        <f>IF(AND(KZ7&gt;THIN!$F$9,KZ7&lt;THIN!$F$32),KZ10,"")</f>
        <v>0.11462225174686838</v>
      </c>
      <c r="LA17" s="147">
        <f>IF(AND(LA7&gt;THIN!$F$9,LA7&lt;THIN!$F$32),LA10,"")</f>
        <v>0.11364262101566626</v>
      </c>
      <c r="LB17" s="147">
        <f>IF(AND(LB7&gt;THIN!$F$9,LB7&lt;THIN!$F$32),LB10,"")</f>
        <v>0.11267136279813307</v>
      </c>
      <c r="LC17" s="147">
        <f>IF(AND(LC7&gt;THIN!$F$9,LC7&lt;THIN!$F$32),LC10,"")</f>
        <v>0.11170840553772929</v>
      </c>
      <c r="LD17" s="147" t="str">
        <f>IF(AND(LD7&gt;THIN!$F$9,LD7&lt;THIN!$F$32),LD10,"")</f>
        <v/>
      </c>
      <c r="LE17" s="147" t="str">
        <f>IF(AND(LE7&gt;THIN!$F$9,LE7&lt;THIN!$F$32),LE10,"")</f>
        <v/>
      </c>
      <c r="LF17" s="147" t="str">
        <f>IF(AND(LF7&gt;THIN!$F$9,LF7&lt;THIN!$F$32),LF10,"")</f>
        <v/>
      </c>
      <c r="LG17" s="147" t="str">
        <f>IF(AND(LG7&gt;THIN!$F$9,LG7&lt;THIN!$F$32),LG10,"")</f>
        <v/>
      </c>
      <c r="LH17" s="147" t="str">
        <f>IF(AND(LH7&gt;THIN!$F$9,LH7&lt;THIN!$F$32),LH10,"")</f>
        <v/>
      </c>
      <c r="LI17" s="147" t="str">
        <f>IF(AND(LI7&gt;THIN!$F$9,LI7&lt;THIN!$F$32),LI10,"")</f>
        <v/>
      </c>
      <c r="LJ17" s="147" t="str">
        <f>IF(AND(LJ7&gt;THIN!$F$9,LJ7&lt;THIN!$F$32),LJ10,"")</f>
        <v/>
      </c>
      <c r="LK17" s="147" t="str">
        <f>IF(AND(LK7&gt;THIN!$F$9,LK7&lt;THIN!$F$32),LK10,"")</f>
        <v/>
      </c>
      <c r="LL17" s="147" t="str">
        <f>IF(AND(LL7&gt;THIN!$F$9,LL7&lt;THIN!$F$32),LL10,"")</f>
        <v/>
      </c>
      <c r="LM17" s="147" t="str">
        <f>IF(AND(LM7&gt;THIN!$F$9,LM7&lt;THIN!$F$32),LM10,"")</f>
        <v/>
      </c>
      <c r="LN17" s="147" t="str">
        <f>IF(AND(LN7&gt;THIN!$F$9,LN7&lt;THIN!$F$32),LN10,"")</f>
        <v/>
      </c>
      <c r="LO17" s="147" t="str">
        <f>IF(AND(LO7&gt;THIN!$F$9,LO7&lt;THIN!$F$32),LO10,"")</f>
        <v/>
      </c>
      <c r="LP17" s="147" t="str">
        <f>IF(AND(LP7&gt;THIN!$F$9,LP7&lt;THIN!$F$32),LP10,"")</f>
        <v/>
      </c>
      <c r="LQ17" s="147" t="str">
        <f>IF(AND(LQ7&gt;THIN!$F$9,LQ7&lt;THIN!$F$32),LQ10,"")</f>
        <v/>
      </c>
      <c r="LR17" s="147" t="str">
        <f>IF(AND(LR7&gt;THIN!$F$9,LR7&lt;THIN!$F$32),LR10,"")</f>
        <v/>
      </c>
      <c r="LS17" s="147" t="str">
        <f>IF(AND(LS7&gt;THIN!$F$9,LS7&lt;THIN!$F$32),LS10,"")</f>
        <v/>
      </c>
      <c r="LT17" s="147" t="str">
        <f>IF(AND(LT7&gt;THIN!$F$9,LT7&lt;THIN!$F$32),LT10,"")</f>
        <v/>
      </c>
      <c r="LU17" s="147" t="str">
        <f>IF(AND(LU7&gt;THIN!$F$9,LU7&lt;THIN!$F$32),LU10,"")</f>
        <v/>
      </c>
      <c r="LV17" s="147" t="str">
        <f>IF(AND(LV7&gt;THIN!$F$9,LV7&lt;THIN!$F$32),LV10,"")</f>
        <v/>
      </c>
      <c r="LW17" s="147" t="str">
        <f>IF(AND(LW7&gt;THIN!$F$9,LW7&lt;THIN!$F$32),LW10,"")</f>
        <v/>
      </c>
      <c r="LX17" s="147" t="str">
        <f>IF(AND(LX7&gt;THIN!$F$9,LX7&lt;THIN!$F$32),LX10,"")</f>
        <v/>
      </c>
      <c r="LY17" s="147" t="str">
        <f>IF(AND(LY7&gt;THIN!$F$9,LY7&lt;THIN!$F$32),LY10,"")</f>
        <v/>
      </c>
      <c r="LZ17" s="147" t="str">
        <f>IF(AND(LZ7&gt;THIN!$F$9,LZ7&lt;THIN!$F$32),LZ10,"")</f>
        <v/>
      </c>
      <c r="MA17" s="147" t="str">
        <f>IF(AND(MA7&gt;THIN!$F$9,MA7&lt;THIN!$F$32),MA10,"")</f>
        <v/>
      </c>
      <c r="MB17" s="147"/>
      <c r="MC17" s="147"/>
      <c r="MD17" s="147"/>
      <c r="ME17" s="147"/>
      <c r="MF17" s="147"/>
      <c r="MG17" s="147"/>
      <c r="MH17" s="147"/>
      <c r="MI17" s="147"/>
      <c r="MJ17" s="147"/>
      <c r="MK17" s="147"/>
      <c r="ML17" s="147"/>
      <c r="MM17" s="147"/>
      <c r="MN17" s="147"/>
      <c r="MO17" s="147"/>
      <c r="MP17" s="147"/>
      <c r="MQ17" s="147"/>
      <c r="MR17" s="147"/>
      <c r="MS17" s="147"/>
      <c r="MT17" s="147"/>
      <c r="MU17" s="147"/>
      <c r="MV17" s="147"/>
      <c r="MW17" s="147"/>
      <c r="MX17" s="147"/>
      <c r="MY17" s="147"/>
      <c r="MZ17" s="147"/>
      <c r="NA17" s="147"/>
      <c r="NB17" s="147"/>
      <c r="NC17" s="147"/>
      <c r="ND17" s="147"/>
      <c r="NE17" s="147"/>
      <c r="NF17" s="147"/>
      <c r="NG17" s="147"/>
      <c r="NH17" s="147"/>
      <c r="NI17" s="147"/>
      <c r="NJ17" s="147"/>
      <c r="NK17" s="147"/>
      <c r="NL17" s="147"/>
      <c r="NM17" s="147"/>
      <c r="NN17" s="147"/>
      <c r="NO17" s="147"/>
      <c r="NP17" s="147"/>
      <c r="NQ17" s="147"/>
      <c r="NR17" s="147"/>
      <c r="NS17" s="147"/>
      <c r="NT17" s="147"/>
      <c r="NU17" s="147"/>
      <c r="NV17" s="147"/>
      <c r="NW17" s="147"/>
      <c r="NX17" s="147"/>
      <c r="NY17" s="147"/>
      <c r="NZ17" s="147"/>
      <c r="OA17" s="147"/>
      <c r="OB17" s="147"/>
      <c r="OC17" s="147"/>
      <c r="OD17" s="147"/>
      <c r="OE17" s="147"/>
      <c r="OF17" s="147"/>
      <c r="OG17" s="147"/>
      <c r="OH17" s="147"/>
      <c r="OI17" s="147"/>
      <c r="OJ17" s="147"/>
      <c r="OK17" s="147"/>
      <c r="OL17" s="147"/>
      <c r="OM17" s="147"/>
      <c r="ON17" s="147"/>
      <c r="OO17" s="147"/>
      <c r="OP17" s="147"/>
      <c r="OQ17" s="147"/>
      <c r="OR17" s="147"/>
      <c r="OS17" s="147"/>
      <c r="OT17" s="147"/>
      <c r="OU17" s="147"/>
      <c r="OV17" s="147"/>
      <c r="OW17" s="147"/>
      <c r="OX17" s="147"/>
      <c r="OY17" s="147"/>
      <c r="OZ17" s="147"/>
      <c r="PA17" s="147"/>
      <c r="PB17" s="147"/>
      <c r="PC17" s="147"/>
      <c r="PD17" s="147"/>
      <c r="PE17" s="147"/>
      <c r="PF17" s="147"/>
      <c r="PG17" s="147"/>
      <c r="PH17" s="147"/>
      <c r="PI17" s="147"/>
      <c r="PJ17" s="147"/>
      <c r="PK17" s="147"/>
      <c r="PL17" s="147"/>
      <c r="PM17" s="147"/>
      <c r="PN17" s="147"/>
      <c r="PO17" s="147"/>
      <c r="PP17" s="147"/>
      <c r="PQ17" s="147"/>
      <c r="PR17" s="147"/>
      <c r="PS17" s="147"/>
      <c r="PT17" s="147"/>
      <c r="PU17" s="147"/>
      <c r="PV17" s="147"/>
      <c r="PW17" s="147"/>
      <c r="PX17" s="147"/>
      <c r="PY17" s="147"/>
      <c r="PZ17" s="147"/>
      <c r="QA17" s="147"/>
      <c r="QB17" s="147"/>
      <c r="QC17" s="147"/>
      <c r="QD17" s="147"/>
      <c r="QE17" s="147"/>
      <c r="QF17" s="147"/>
      <c r="QG17" s="147"/>
      <c r="QH17" s="147"/>
      <c r="QI17" s="147"/>
      <c r="QJ17" s="147"/>
      <c r="QK17" s="147"/>
      <c r="QL17" s="147"/>
      <c r="QM17" s="147"/>
      <c r="QN17" s="147"/>
      <c r="QO17" s="147"/>
      <c r="QP17" s="147"/>
      <c r="QQ17" s="147"/>
      <c r="QR17" s="147"/>
      <c r="QS17" s="147"/>
      <c r="QT17" s="147"/>
      <c r="QU17" s="147"/>
      <c r="QV17" s="147"/>
      <c r="QW17" s="147"/>
      <c r="QX17" s="147"/>
      <c r="QY17" s="147"/>
      <c r="QZ17" s="147"/>
      <c r="RA17" s="147"/>
      <c r="RB17" s="147"/>
      <c r="RC17" s="147"/>
      <c r="RD17" s="147"/>
      <c r="RE17" s="147"/>
      <c r="RF17" s="147"/>
      <c r="RG17" s="147"/>
      <c r="RH17" s="147"/>
      <c r="RI17" s="147"/>
      <c r="RJ17" s="147"/>
      <c r="RK17" s="147"/>
      <c r="RL17" s="147"/>
      <c r="RM17" s="147"/>
      <c r="RN17" s="147"/>
      <c r="RO17" s="147"/>
      <c r="RP17" s="147"/>
    </row>
    <row r="18" spans="2:484" ht="12.95" customHeight="1" x14ac:dyDescent="0.2">
      <c r="B18" s="152"/>
      <c r="C18" s="152" t="s">
        <v>923</v>
      </c>
      <c r="D18" s="152"/>
      <c r="E18" s="147">
        <f>MOD(E7,THIN!$F$8)</f>
        <v>8.3333333333333329E-2</v>
      </c>
      <c r="F18" s="147">
        <f>MOD(F7,THIN!$F$8)</f>
        <v>0.16666666666666666</v>
      </c>
      <c r="G18" s="147">
        <f>MOD(G7,THIN!$F$8)</f>
        <v>0.25</v>
      </c>
      <c r="H18" s="147">
        <f>MOD(H7,THIN!$F$8)</f>
        <v>0.33333333333333331</v>
      </c>
      <c r="I18" s="147">
        <f>MOD(I7,THIN!$F$8)</f>
        <v>0.41666666666666669</v>
      </c>
      <c r="J18" s="147">
        <f>MOD(J7,THIN!$F$8)</f>
        <v>0.5</v>
      </c>
      <c r="K18" s="147">
        <f>MOD(K7,THIN!$F$8)</f>
        <v>0.58333333333333337</v>
      </c>
      <c r="L18" s="147">
        <f>MOD(L7,THIN!$F$8)</f>
        <v>0.66666666666666663</v>
      </c>
      <c r="M18" s="147">
        <f>MOD(M7,THIN!$F$8)</f>
        <v>0.75</v>
      </c>
      <c r="N18" s="147">
        <f>MOD(N7,THIN!$F$8)</f>
        <v>0.83333333333333337</v>
      </c>
      <c r="O18" s="147">
        <f>MOD(O7,THIN!$F$8)</f>
        <v>0.91666666666666663</v>
      </c>
      <c r="P18" s="147">
        <f>MOD(P7,THIN!$F$8)</f>
        <v>1</v>
      </c>
      <c r="Q18" s="147">
        <f>MOD(Q7,THIN!$F$8)</f>
        <v>1.0833333333333333</v>
      </c>
      <c r="R18" s="147">
        <f>MOD(R7,THIN!$F$8)</f>
        <v>1.1666666666666667</v>
      </c>
      <c r="S18" s="147">
        <f>MOD(S7,THIN!$F$8)</f>
        <v>1.25</v>
      </c>
      <c r="T18" s="147">
        <f>MOD(T7,THIN!$F$8)</f>
        <v>1.3333333333333333</v>
      </c>
      <c r="U18" s="147">
        <f>MOD(U7,THIN!$F$8)</f>
        <v>1.4166666666666667</v>
      </c>
      <c r="V18" s="147">
        <f>MOD(V7,THIN!$F$8)</f>
        <v>1.5</v>
      </c>
      <c r="W18" s="147">
        <f>MOD(W7,THIN!$F$8)</f>
        <v>1.5833333333333333</v>
      </c>
      <c r="X18" s="147">
        <f>MOD(X7,THIN!$F$8)</f>
        <v>1.6666666666666667</v>
      </c>
      <c r="Y18" s="147">
        <f>MOD(Y7,THIN!$F$8)</f>
        <v>1.75</v>
      </c>
      <c r="Z18" s="147">
        <f>MOD(Z7,THIN!$F$8)</f>
        <v>1.8333333333333333</v>
      </c>
      <c r="AA18" s="147">
        <f>MOD(AA7,THIN!$F$8)</f>
        <v>1.9166666666666667</v>
      </c>
      <c r="AB18" s="147">
        <f>MOD(AB7,THIN!$F$8)</f>
        <v>2</v>
      </c>
      <c r="AC18" s="147">
        <f>MOD(AC7,THIN!$F$8)</f>
        <v>2.0833333333333335</v>
      </c>
      <c r="AD18" s="147">
        <f>MOD(AD7,THIN!$F$8)</f>
        <v>2.1666666666666665</v>
      </c>
      <c r="AE18" s="147">
        <f>MOD(AE7,THIN!$F$8)</f>
        <v>2.25</v>
      </c>
      <c r="AF18" s="147">
        <f>MOD(AF7,THIN!$F$8)</f>
        <v>2.3333333333333335</v>
      </c>
      <c r="AG18" s="147">
        <f>MOD(AG7,THIN!$F$8)</f>
        <v>2.4166666666666665</v>
      </c>
      <c r="AH18" s="147">
        <f>MOD(AH7,THIN!$F$8)</f>
        <v>2.5</v>
      </c>
      <c r="AI18" s="147">
        <f>MOD(AI7,THIN!$F$8)</f>
        <v>2.5833333333333335</v>
      </c>
      <c r="AJ18" s="147">
        <f>MOD(AJ7,THIN!$F$8)</f>
        <v>2.6666666666666665</v>
      </c>
      <c r="AK18" s="147">
        <f>MOD(AK7,THIN!$F$8)</f>
        <v>2.75</v>
      </c>
      <c r="AL18" s="147">
        <f>MOD(AL7,THIN!$F$8)</f>
        <v>2.8333333333333335</v>
      </c>
      <c r="AM18" s="147">
        <f>MOD(AM7,THIN!$F$8)</f>
        <v>2.9166666666666665</v>
      </c>
      <c r="AN18" s="147">
        <f>MOD(AN7,THIN!$F$8)</f>
        <v>3</v>
      </c>
      <c r="AO18" s="147">
        <f>MOD(AO7,THIN!$F$8)</f>
        <v>3.0833333333333335</v>
      </c>
      <c r="AP18" s="147">
        <f>MOD(AP7,THIN!$F$8)</f>
        <v>3.1666666666666665</v>
      </c>
      <c r="AQ18" s="147">
        <f>MOD(AQ7,THIN!$F$8)</f>
        <v>3.25</v>
      </c>
      <c r="AR18" s="147">
        <f>MOD(AR7,THIN!$F$8)</f>
        <v>3.3333333333333335</v>
      </c>
      <c r="AS18" s="147">
        <f>MOD(AS7,THIN!$F$8)</f>
        <v>3.4166666666666665</v>
      </c>
      <c r="AT18" s="147">
        <f>MOD(AT7,THIN!$F$8)</f>
        <v>3.5</v>
      </c>
      <c r="AU18" s="147">
        <f>MOD(AU7,THIN!$F$8)</f>
        <v>3.5833333333333335</v>
      </c>
      <c r="AV18" s="147">
        <f>MOD(AV7,THIN!$F$8)</f>
        <v>3.6666666666666665</v>
      </c>
      <c r="AW18" s="147">
        <f>MOD(AW7,THIN!$F$8)</f>
        <v>3.75</v>
      </c>
      <c r="AX18" s="147">
        <f>MOD(AX7,THIN!$F$8)</f>
        <v>3.8333333333333335</v>
      </c>
      <c r="AY18" s="147">
        <f>MOD(AY7,THIN!$F$8)</f>
        <v>3.9166666666666665</v>
      </c>
      <c r="AZ18" s="147">
        <f>MOD(AZ7,THIN!$F$8)</f>
        <v>4</v>
      </c>
      <c r="BA18" s="147">
        <f>MOD(BA7,THIN!$F$8)</f>
        <v>4.083333333333333</v>
      </c>
      <c r="BB18" s="147">
        <f>MOD(BB7,THIN!$F$8)</f>
        <v>4.166666666666667</v>
      </c>
      <c r="BC18" s="147">
        <f>MOD(BC7,THIN!$F$8)</f>
        <v>4.25</v>
      </c>
      <c r="BD18" s="147">
        <f>MOD(BD7,THIN!$F$8)</f>
        <v>4.333333333333333</v>
      </c>
      <c r="BE18" s="147">
        <f>MOD(BE7,THIN!$F$8)</f>
        <v>4.416666666666667</v>
      </c>
      <c r="BF18" s="147">
        <f>MOD(BF7,THIN!$F$8)</f>
        <v>4.5</v>
      </c>
      <c r="BG18" s="147">
        <f>MOD(BG7,THIN!$F$8)</f>
        <v>4.583333333333333</v>
      </c>
      <c r="BH18" s="147">
        <f>MOD(BH7,THIN!$F$8)</f>
        <v>4.666666666666667</v>
      </c>
      <c r="BI18" s="147">
        <f>MOD(BI7,THIN!$F$8)</f>
        <v>4.75</v>
      </c>
      <c r="BJ18" s="147">
        <f>MOD(BJ7,THIN!$F$8)</f>
        <v>4.833333333333333</v>
      </c>
      <c r="BK18" s="147">
        <f>MOD(BK7,THIN!$F$8)</f>
        <v>4.916666666666667</v>
      </c>
      <c r="BL18" s="147">
        <f>MOD(BL7,THIN!$F$8)</f>
        <v>5</v>
      </c>
      <c r="BM18" s="147">
        <f>MOD(BM7,THIN!$F$8)</f>
        <v>5.083333333333333</v>
      </c>
      <c r="BN18" s="147">
        <f>MOD(BN7,THIN!$F$8)</f>
        <v>5.166666666666667</v>
      </c>
      <c r="BO18" s="147">
        <f>MOD(BO7,THIN!$F$8)</f>
        <v>5.25</v>
      </c>
      <c r="BP18" s="147">
        <f>MOD(BP7,THIN!$F$8)</f>
        <v>5.333333333333333</v>
      </c>
      <c r="BQ18" s="147">
        <f>MOD(BQ7,THIN!$F$8)</f>
        <v>5.416666666666667</v>
      </c>
      <c r="BR18" s="147">
        <f>MOD(BR7,THIN!$F$8)</f>
        <v>5.5</v>
      </c>
      <c r="BS18" s="147">
        <f>MOD(BS7,THIN!$F$8)</f>
        <v>5.583333333333333</v>
      </c>
      <c r="BT18" s="147">
        <f>MOD(BT7,THIN!$F$8)</f>
        <v>5.666666666666667</v>
      </c>
      <c r="BU18" s="147">
        <f>MOD(BU7,THIN!$F$8)</f>
        <v>5.75</v>
      </c>
      <c r="BV18" s="147">
        <f>MOD(BV7,THIN!$F$8)</f>
        <v>5.833333333333333</v>
      </c>
      <c r="BW18" s="147">
        <f>MOD(BW7,THIN!$F$8)</f>
        <v>5.916666666666667</v>
      </c>
      <c r="BX18" s="147">
        <f>MOD(BX7,THIN!$F$8)</f>
        <v>6</v>
      </c>
      <c r="BY18" s="147">
        <f>MOD(BY7,THIN!$F$8)</f>
        <v>6.083333333333333</v>
      </c>
      <c r="BZ18" s="147">
        <f>MOD(BZ7,THIN!$F$8)</f>
        <v>6.166666666666667</v>
      </c>
      <c r="CA18" s="147">
        <f>MOD(CA7,THIN!$F$8)</f>
        <v>6.25</v>
      </c>
      <c r="CB18" s="147">
        <f>MOD(CB7,THIN!$F$8)</f>
        <v>6.333333333333333</v>
      </c>
      <c r="CC18" s="147">
        <f>MOD(CC7,THIN!$F$8)</f>
        <v>6.416666666666667</v>
      </c>
      <c r="CD18" s="147">
        <f>MOD(CD7,THIN!$F$8)</f>
        <v>6.5</v>
      </c>
      <c r="CE18" s="147">
        <f>MOD(CE7,THIN!$F$8)</f>
        <v>6.583333333333333</v>
      </c>
      <c r="CF18" s="147">
        <f>MOD(CF7,THIN!$F$8)</f>
        <v>6.666666666666667</v>
      </c>
      <c r="CG18" s="147">
        <f>MOD(CG7,THIN!$F$8)</f>
        <v>6.75</v>
      </c>
      <c r="CH18" s="147">
        <f>MOD(CH7,THIN!$F$8)</f>
        <v>6.833333333333333</v>
      </c>
      <c r="CI18" s="147">
        <f>MOD(CI7,THIN!$F$8)</f>
        <v>6.916666666666667</v>
      </c>
      <c r="CJ18" s="147">
        <f>MOD(CJ7,THIN!$F$8)</f>
        <v>7</v>
      </c>
      <c r="CK18" s="147">
        <f>MOD(CK7,THIN!$F$8)</f>
        <v>7.083333333333333</v>
      </c>
      <c r="CL18" s="147">
        <f>MOD(CL7,THIN!$F$8)</f>
        <v>7.166666666666667</v>
      </c>
      <c r="CM18" s="147">
        <f>MOD(CM7,THIN!$F$8)</f>
        <v>7.25</v>
      </c>
      <c r="CN18" s="147">
        <f>MOD(CN7,THIN!$F$8)</f>
        <v>7.333333333333333</v>
      </c>
      <c r="CO18" s="147">
        <f>MOD(CO7,THIN!$F$8)</f>
        <v>7.416666666666667</v>
      </c>
      <c r="CP18" s="147">
        <f>MOD(CP7,THIN!$F$8)</f>
        <v>7.5</v>
      </c>
      <c r="CQ18" s="147">
        <f>MOD(CQ7,THIN!$F$8)</f>
        <v>7.583333333333333</v>
      </c>
      <c r="CR18" s="147">
        <f>MOD(CR7,THIN!$F$8)</f>
        <v>7.666666666666667</v>
      </c>
      <c r="CS18" s="147">
        <f>MOD(CS7,THIN!$F$8)</f>
        <v>7.75</v>
      </c>
      <c r="CT18" s="147">
        <f>MOD(CT7,THIN!$F$8)</f>
        <v>7.833333333333333</v>
      </c>
      <c r="CU18" s="147">
        <f>MOD(CU7,THIN!$F$8)</f>
        <v>7.916666666666667</v>
      </c>
      <c r="CV18" s="147">
        <f>MOD(CV7,THIN!$F$8)</f>
        <v>8</v>
      </c>
      <c r="CW18" s="147">
        <f>MOD(CW7,THIN!$F$8)</f>
        <v>8.0833333333333339</v>
      </c>
      <c r="CX18" s="147">
        <f>MOD(CX7,THIN!$F$8)</f>
        <v>8.1666666666666661</v>
      </c>
      <c r="CY18" s="147">
        <f>MOD(CY7,THIN!$F$8)</f>
        <v>8.25</v>
      </c>
      <c r="CZ18" s="147">
        <f>MOD(CZ7,THIN!$F$8)</f>
        <v>8.3333333333333339</v>
      </c>
      <c r="DA18" s="147">
        <f>MOD(DA7,THIN!$F$8)</f>
        <v>8.4166666666666661</v>
      </c>
      <c r="DB18" s="147">
        <f>MOD(DB7,THIN!$F$8)</f>
        <v>8.5</v>
      </c>
      <c r="DC18" s="147">
        <f>MOD(DC7,THIN!$F$8)</f>
        <v>8.5833333333333339</v>
      </c>
      <c r="DD18" s="147">
        <f>MOD(DD7,THIN!$F$8)</f>
        <v>8.6666666666666661</v>
      </c>
      <c r="DE18" s="147">
        <f>MOD(DE7,THIN!$F$8)</f>
        <v>8.75</v>
      </c>
      <c r="DF18" s="147">
        <f>MOD(DF7,THIN!$F$8)</f>
        <v>8.8333333333333339</v>
      </c>
      <c r="DG18" s="147">
        <f>MOD(DG7,THIN!$F$8)</f>
        <v>8.9166666666666661</v>
      </c>
      <c r="DH18" s="147">
        <f>MOD(DH7,THIN!$F$8)</f>
        <v>9</v>
      </c>
      <c r="DI18" s="147">
        <f>MOD(DI7,THIN!$F$8)</f>
        <v>9.0833333333333339</v>
      </c>
      <c r="DJ18" s="147">
        <f>MOD(DJ7,THIN!$F$8)</f>
        <v>9.1666666666666661</v>
      </c>
      <c r="DK18" s="147">
        <f>MOD(DK7,THIN!$F$8)</f>
        <v>9.25</v>
      </c>
      <c r="DL18" s="147">
        <f>MOD(DL7,THIN!$F$8)</f>
        <v>9.3333333333333339</v>
      </c>
      <c r="DM18" s="147">
        <f>MOD(DM7,THIN!$F$8)</f>
        <v>9.4166666666666661</v>
      </c>
      <c r="DN18" s="147">
        <f>MOD(DN7,THIN!$F$8)</f>
        <v>9.5</v>
      </c>
      <c r="DO18" s="147">
        <f>MOD(DO7,THIN!$F$8)</f>
        <v>9.5833333333333339</v>
      </c>
      <c r="DP18" s="147">
        <f>MOD(DP7,THIN!$F$8)</f>
        <v>9.6666666666666661</v>
      </c>
      <c r="DQ18" s="147">
        <f>MOD(DQ7,THIN!$F$8)</f>
        <v>9.75</v>
      </c>
      <c r="DR18" s="147">
        <f>MOD(DR7,THIN!$F$8)</f>
        <v>9.8333333333333339</v>
      </c>
      <c r="DS18" s="147">
        <f>MOD(DS7,THIN!$F$8)</f>
        <v>9.9166666666666661</v>
      </c>
      <c r="DT18" s="147">
        <f>MOD(DT7,THIN!$F$8)</f>
        <v>10</v>
      </c>
      <c r="DU18" s="147">
        <f>MOD(DU7,THIN!$F$8)</f>
        <v>10.083333333333334</v>
      </c>
      <c r="DV18" s="147">
        <f>MOD(DV7,THIN!$F$8)</f>
        <v>10.166666666666666</v>
      </c>
      <c r="DW18" s="147">
        <f>MOD(DW7,THIN!$F$8)</f>
        <v>10.25</v>
      </c>
      <c r="DX18" s="147">
        <f>MOD(DX7,THIN!$F$8)</f>
        <v>10.333333333333334</v>
      </c>
      <c r="DY18" s="147">
        <f>MOD(DY7,THIN!$F$8)</f>
        <v>10.416666666666666</v>
      </c>
      <c r="DZ18" s="147">
        <f>MOD(DZ7,THIN!$F$8)</f>
        <v>10.5</v>
      </c>
      <c r="EA18" s="147">
        <f>MOD(EA7,THIN!$F$8)</f>
        <v>10.583333333333334</v>
      </c>
      <c r="EB18" s="147">
        <f>MOD(EB7,THIN!$F$8)</f>
        <v>10.666666666666666</v>
      </c>
      <c r="EC18" s="147">
        <f>MOD(EC7,THIN!$F$8)</f>
        <v>10.75</v>
      </c>
      <c r="ED18" s="147">
        <f>MOD(ED7,THIN!$F$8)</f>
        <v>10.833333333333334</v>
      </c>
      <c r="EE18" s="147">
        <f>MOD(EE7,THIN!$F$8)</f>
        <v>10.916666666666666</v>
      </c>
      <c r="EF18" s="147">
        <f>MOD(EF7,THIN!$F$8)</f>
        <v>11</v>
      </c>
      <c r="EG18" s="147">
        <f>MOD(EG7,THIN!$F$8)</f>
        <v>11.083333333333334</v>
      </c>
      <c r="EH18" s="147">
        <f>MOD(EH7,THIN!$F$8)</f>
        <v>11.166666666666666</v>
      </c>
      <c r="EI18" s="147">
        <f>MOD(EI7,THIN!$F$8)</f>
        <v>11.25</v>
      </c>
      <c r="EJ18" s="147">
        <f>MOD(EJ7,THIN!$F$8)</f>
        <v>11.333333333333334</v>
      </c>
      <c r="EK18" s="147">
        <f>MOD(EK7,THIN!$F$8)</f>
        <v>11.416666666666666</v>
      </c>
      <c r="EL18" s="147">
        <f>MOD(EL7,THIN!$F$8)</f>
        <v>11.5</v>
      </c>
      <c r="EM18" s="147">
        <f>MOD(EM7,THIN!$F$8)</f>
        <v>11.583333333333334</v>
      </c>
      <c r="EN18" s="147">
        <f>MOD(EN7,THIN!$F$8)</f>
        <v>11.666666666666666</v>
      </c>
      <c r="EO18" s="147">
        <f>MOD(EO7,THIN!$F$8)</f>
        <v>11.75</v>
      </c>
      <c r="EP18" s="147">
        <f>MOD(EP7,THIN!$F$8)</f>
        <v>11.833333333333334</v>
      </c>
      <c r="EQ18" s="147">
        <f>MOD(EQ7,THIN!$F$8)</f>
        <v>11.916666666666666</v>
      </c>
      <c r="ER18" s="147">
        <f>MOD(ER7,THIN!$F$8)</f>
        <v>12</v>
      </c>
      <c r="ES18" s="147">
        <f>MOD(ES7,THIN!$F$8)</f>
        <v>12.083333333333334</v>
      </c>
      <c r="ET18" s="147">
        <f>MOD(ET7,THIN!$F$8)</f>
        <v>12.166666666666666</v>
      </c>
      <c r="EU18" s="147">
        <f>MOD(EU7,THIN!$F$8)</f>
        <v>12.25</v>
      </c>
      <c r="EV18" s="147">
        <f>MOD(EV7,THIN!$F$8)</f>
        <v>12.333333333333334</v>
      </c>
      <c r="EW18" s="147">
        <f>MOD(EW7,THIN!$F$8)</f>
        <v>12.416666666666666</v>
      </c>
      <c r="EX18" s="147">
        <f>MOD(EX7,THIN!$F$8)</f>
        <v>12.5</v>
      </c>
      <c r="EY18" s="147">
        <f>MOD(EY7,THIN!$F$8)</f>
        <v>12.583333333333334</v>
      </c>
      <c r="EZ18" s="147">
        <f>MOD(EZ7,THIN!$F$8)</f>
        <v>12.666666666666666</v>
      </c>
      <c r="FA18" s="147">
        <f>MOD(FA7,THIN!$F$8)</f>
        <v>12.75</v>
      </c>
      <c r="FB18" s="147">
        <f>MOD(FB7,THIN!$F$8)</f>
        <v>12.833333333333334</v>
      </c>
      <c r="FC18" s="147">
        <f>MOD(FC7,THIN!$F$8)</f>
        <v>12.916666666666666</v>
      </c>
      <c r="FD18" s="147">
        <f>MOD(FD7,THIN!$F$8)</f>
        <v>13</v>
      </c>
      <c r="FE18" s="147">
        <f>MOD(FE7,THIN!$F$8)</f>
        <v>13.083333333333334</v>
      </c>
      <c r="FF18" s="147">
        <f>MOD(FF7,THIN!$F$8)</f>
        <v>13.166666666666666</v>
      </c>
      <c r="FG18" s="147">
        <f>MOD(FG7,THIN!$F$8)</f>
        <v>13.25</v>
      </c>
      <c r="FH18" s="147">
        <f>MOD(FH7,THIN!$F$8)</f>
        <v>13.333333333333334</v>
      </c>
      <c r="FI18" s="147">
        <f>MOD(FI7,THIN!$F$8)</f>
        <v>13.416666666666666</v>
      </c>
      <c r="FJ18" s="147">
        <f>MOD(FJ7,THIN!$F$8)</f>
        <v>13.5</v>
      </c>
      <c r="FK18" s="147">
        <f>MOD(FK7,THIN!$F$8)</f>
        <v>13.583333333333334</v>
      </c>
      <c r="FL18" s="147">
        <f>MOD(FL7,THIN!$F$8)</f>
        <v>13.666666666666666</v>
      </c>
      <c r="FM18" s="147">
        <f>MOD(FM7,THIN!$F$8)</f>
        <v>13.75</v>
      </c>
      <c r="FN18" s="147">
        <f>MOD(FN7,THIN!$F$8)</f>
        <v>13.833333333333334</v>
      </c>
      <c r="FO18" s="147">
        <f>MOD(FO7,THIN!$F$8)</f>
        <v>13.916666666666666</v>
      </c>
      <c r="FP18" s="147">
        <f>MOD(FP7,THIN!$F$8)</f>
        <v>14</v>
      </c>
      <c r="FQ18" s="147">
        <f>MOD(FQ7,THIN!$F$8)</f>
        <v>14.083333333333334</v>
      </c>
      <c r="FR18" s="147">
        <f>MOD(FR7,THIN!$F$8)</f>
        <v>14.166666666666666</v>
      </c>
      <c r="FS18" s="147">
        <f>MOD(FS7,THIN!$F$8)</f>
        <v>14.25</v>
      </c>
      <c r="FT18" s="147">
        <f>MOD(FT7,THIN!$F$8)</f>
        <v>14.333333333333334</v>
      </c>
      <c r="FU18" s="147">
        <f>MOD(FU7,THIN!$F$8)</f>
        <v>14.416666666666666</v>
      </c>
      <c r="FV18" s="147">
        <f>MOD(FV7,THIN!$F$8)</f>
        <v>14.5</v>
      </c>
      <c r="FW18" s="147">
        <f>MOD(FW7,THIN!$F$8)</f>
        <v>14.583333333333334</v>
      </c>
      <c r="FX18" s="147">
        <f>MOD(FX7,THIN!$F$8)</f>
        <v>14.666666666666666</v>
      </c>
      <c r="FY18" s="147">
        <f>MOD(FY7,THIN!$F$8)</f>
        <v>14.75</v>
      </c>
      <c r="FZ18" s="147">
        <f>MOD(FZ7,THIN!$F$8)</f>
        <v>14.833333333333334</v>
      </c>
      <c r="GA18" s="147">
        <f>MOD(GA7,THIN!$F$8)</f>
        <v>14.916666666666666</v>
      </c>
      <c r="GB18" s="147">
        <f>MOD(GB7,THIN!$F$8)</f>
        <v>15</v>
      </c>
      <c r="GC18" s="147">
        <f>MOD(GC7,THIN!$F$8)</f>
        <v>15.083333333333334</v>
      </c>
      <c r="GD18" s="147">
        <f>MOD(GD7,THIN!$F$8)</f>
        <v>15.166666666666666</v>
      </c>
      <c r="GE18" s="147">
        <f>MOD(GE7,THIN!$F$8)</f>
        <v>15.25</v>
      </c>
      <c r="GF18" s="147">
        <f>MOD(GF7,THIN!$F$8)</f>
        <v>15.333333333333334</v>
      </c>
      <c r="GG18" s="147">
        <f>MOD(GG7,THIN!$F$8)</f>
        <v>15.416666666666666</v>
      </c>
      <c r="GH18" s="147">
        <f>MOD(GH7,THIN!$F$8)</f>
        <v>15.5</v>
      </c>
      <c r="GI18" s="147">
        <f>MOD(GI7,THIN!$F$8)</f>
        <v>15.583333333333334</v>
      </c>
      <c r="GJ18" s="147">
        <f>MOD(GJ7,THIN!$F$8)</f>
        <v>15.666666666666666</v>
      </c>
      <c r="GK18" s="147">
        <f>MOD(GK7,THIN!$F$8)</f>
        <v>15.75</v>
      </c>
      <c r="GL18" s="147">
        <f>MOD(GL7,THIN!$F$8)</f>
        <v>15.833333333333334</v>
      </c>
      <c r="GM18" s="147">
        <f>MOD(GM7,THIN!$F$8)</f>
        <v>15.916666666666666</v>
      </c>
      <c r="GN18" s="147">
        <f>MOD(GN7,THIN!$F$8)</f>
        <v>16</v>
      </c>
      <c r="GO18" s="147">
        <f>MOD(GO7,THIN!$F$8)</f>
        <v>16.083333333333332</v>
      </c>
      <c r="GP18" s="147">
        <f>MOD(GP7,THIN!$F$8)</f>
        <v>16.166666666666668</v>
      </c>
      <c r="GQ18" s="147">
        <f>MOD(GQ7,THIN!$F$8)</f>
        <v>16.25</v>
      </c>
      <c r="GR18" s="147">
        <f>MOD(GR7,THIN!$F$8)</f>
        <v>16.333333333333332</v>
      </c>
      <c r="GS18" s="147">
        <f>MOD(GS7,THIN!$F$8)</f>
        <v>16.416666666666668</v>
      </c>
      <c r="GT18" s="147">
        <f>MOD(GT7,THIN!$F$8)</f>
        <v>16.5</v>
      </c>
      <c r="GU18" s="147">
        <f>MOD(GU7,THIN!$F$8)</f>
        <v>16.583333333333332</v>
      </c>
      <c r="GV18" s="147">
        <f>MOD(GV7,THIN!$F$8)</f>
        <v>16.666666666666668</v>
      </c>
      <c r="GW18" s="147">
        <f>MOD(GW7,THIN!$F$8)</f>
        <v>16.75</v>
      </c>
      <c r="GX18" s="147">
        <f>MOD(GX7,THIN!$F$8)</f>
        <v>16.833333333333332</v>
      </c>
      <c r="GY18" s="147">
        <f>MOD(GY7,THIN!$F$8)</f>
        <v>16.916666666666668</v>
      </c>
      <c r="GZ18" s="147">
        <f>MOD(GZ7,THIN!$F$8)</f>
        <v>17</v>
      </c>
      <c r="HA18" s="147">
        <f>MOD(HA7,THIN!$F$8)</f>
        <v>17.083333333333332</v>
      </c>
      <c r="HB18" s="147">
        <f>MOD(HB7,THIN!$F$8)</f>
        <v>17.166666666666668</v>
      </c>
      <c r="HC18" s="147">
        <f>MOD(HC7,THIN!$F$8)</f>
        <v>17.25</v>
      </c>
      <c r="HD18" s="147">
        <f>MOD(HD7,THIN!$F$8)</f>
        <v>17.333333333333332</v>
      </c>
      <c r="HE18" s="147">
        <f>MOD(HE7,THIN!$F$8)</f>
        <v>17.416666666666668</v>
      </c>
      <c r="HF18" s="147">
        <f>MOD(HF7,THIN!$F$8)</f>
        <v>17.5</v>
      </c>
      <c r="HG18" s="147">
        <f>MOD(HG7,THIN!$F$8)</f>
        <v>17.583333333333332</v>
      </c>
      <c r="HH18" s="147">
        <f>MOD(HH7,THIN!$F$8)</f>
        <v>17.666666666666668</v>
      </c>
      <c r="HI18" s="147">
        <f>MOD(HI7,THIN!$F$8)</f>
        <v>17.75</v>
      </c>
      <c r="HJ18" s="147">
        <f>MOD(HJ7,THIN!$F$8)</f>
        <v>17.833333333333332</v>
      </c>
      <c r="HK18" s="147">
        <f>MOD(HK7,THIN!$F$8)</f>
        <v>17.916666666666668</v>
      </c>
      <c r="HL18" s="147">
        <f>MOD(HL7,THIN!$F$8)</f>
        <v>18</v>
      </c>
      <c r="HM18" s="147">
        <f>MOD(HM7,THIN!$F$8)</f>
        <v>18.083333333333332</v>
      </c>
      <c r="HN18" s="147">
        <f>MOD(HN7,THIN!$F$8)</f>
        <v>18.166666666666668</v>
      </c>
      <c r="HO18" s="147">
        <f>MOD(HO7,THIN!$F$8)</f>
        <v>18.25</v>
      </c>
      <c r="HP18" s="147">
        <f>MOD(HP7,THIN!$F$8)</f>
        <v>18.333333333333332</v>
      </c>
      <c r="HQ18" s="147">
        <f>MOD(HQ7,THIN!$F$8)</f>
        <v>18.416666666666668</v>
      </c>
      <c r="HR18" s="147">
        <f>MOD(HR7,THIN!$F$8)</f>
        <v>18.5</v>
      </c>
      <c r="HS18" s="147">
        <f>MOD(HS7,THIN!$F$8)</f>
        <v>18.583333333333332</v>
      </c>
      <c r="HT18" s="147">
        <f>MOD(HT7,THIN!$F$8)</f>
        <v>18.666666666666668</v>
      </c>
      <c r="HU18" s="147">
        <f>MOD(HU7,THIN!$F$8)</f>
        <v>18.75</v>
      </c>
      <c r="HV18" s="147">
        <f>MOD(HV7,THIN!$F$8)</f>
        <v>18.833333333333332</v>
      </c>
      <c r="HW18" s="147">
        <f>MOD(HW7,THIN!$F$8)</f>
        <v>18.916666666666668</v>
      </c>
      <c r="HX18" s="147">
        <f>MOD(HX7,THIN!$F$8)</f>
        <v>19</v>
      </c>
      <c r="HY18" s="147">
        <f>MOD(HY7,THIN!$F$8)</f>
        <v>19.083333333333332</v>
      </c>
      <c r="HZ18" s="147">
        <f>MOD(HZ7,THIN!$F$8)</f>
        <v>19.166666666666668</v>
      </c>
      <c r="IA18" s="147">
        <f>MOD(IA7,THIN!$F$8)</f>
        <v>19.25</v>
      </c>
      <c r="IB18" s="147">
        <f>MOD(IB7,THIN!$F$8)</f>
        <v>19.333333333333332</v>
      </c>
      <c r="IC18" s="147">
        <f>MOD(IC7,THIN!$F$8)</f>
        <v>19.416666666666668</v>
      </c>
      <c r="ID18" s="147">
        <f>MOD(ID7,THIN!$F$8)</f>
        <v>19.5</v>
      </c>
      <c r="IE18" s="147">
        <f>MOD(IE7,THIN!$F$8)</f>
        <v>19.583333333333332</v>
      </c>
      <c r="IF18" s="147">
        <f>MOD(IF7,THIN!$F$8)</f>
        <v>19.666666666666668</v>
      </c>
      <c r="IG18" s="147">
        <f>MOD(IG7,THIN!$F$8)</f>
        <v>19.75</v>
      </c>
      <c r="IH18" s="147">
        <f>MOD(IH7,THIN!$F$8)</f>
        <v>19.833333333333332</v>
      </c>
      <c r="II18" s="147">
        <f>MOD(II7,THIN!$F$8)</f>
        <v>19.916666666666668</v>
      </c>
      <c r="IJ18" s="147">
        <f>MOD(IJ7,THIN!$F$8)</f>
        <v>20</v>
      </c>
      <c r="IK18" s="147">
        <f>MOD(IK7,THIN!$F$8)</f>
        <v>20.083333333333332</v>
      </c>
      <c r="IL18" s="147">
        <f>MOD(IL7,THIN!$F$8)</f>
        <v>20.166666666666668</v>
      </c>
      <c r="IM18" s="147">
        <f>MOD(IM7,THIN!$F$8)</f>
        <v>20.25</v>
      </c>
      <c r="IN18" s="147">
        <f>MOD(IN7,THIN!$F$8)</f>
        <v>20.333333333333332</v>
      </c>
      <c r="IO18" s="147">
        <f>MOD(IO7,THIN!$F$8)</f>
        <v>20.416666666666668</v>
      </c>
      <c r="IP18" s="147">
        <f>MOD(IP7,THIN!$F$8)</f>
        <v>20.5</v>
      </c>
      <c r="IQ18" s="147">
        <f>MOD(IQ7,THIN!$F$8)</f>
        <v>20.583333333333332</v>
      </c>
      <c r="IR18" s="147">
        <f>MOD(IR7,THIN!$F$8)</f>
        <v>20.666666666666668</v>
      </c>
      <c r="IS18" s="147">
        <f>MOD(IS7,THIN!$F$8)</f>
        <v>20.75</v>
      </c>
      <c r="IT18" s="147">
        <f>MOD(IT7,THIN!$F$8)</f>
        <v>20.833333333333332</v>
      </c>
      <c r="IU18" s="147">
        <f>MOD(IU7,THIN!$F$8)</f>
        <v>20.916666666666668</v>
      </c>
      <c r="IV18" s="147">
        <f>MOD(IV7,THIN!$F$8)</f>
        <v>21</v>
      </c>
      <c r="IW18" s="147">
        <f>MOD(IW7,THIN!$F$8)</f>
        <v>21.083333333333332</v>
      </c>
      <c r="IX18" s="147">
        <f>MOD(IX7,THIN!$F$8)</f>
        <v>21.166666666666668</v>
      </c>
      <c r="IY18" s="147">
        <f>MOD(IY7,THIN!$F$8)</f>
        <v>21.25</v>
      </c>
      <c r="IZ18" s="147">
        <f>MOD(IZ7,THIN!$F$8)</f>
        <v>21.333333333333332</v>
      </c>
      <c r="JA18" s="147">
        <f>MOD(JA7,THIN!$F$8)</f>
        <v>21.416666666666668</v>
      </c>
      <c r="JB18" s="147">
        <f>MOD(JB7,THIN!$F$8)</f>
        <v>21.5</v>
      </c>
      <c r="JC18" s="147">
        <f>MOD(JC7,THIN!$F$8)</f>
        <v>21.583333333333332</v>
      </c>
      <c r="JD18" s="147">
        <f>MOD(JD7,THIN!$F$8)</f>
        <v>21.666666666666668</v>
      </c>
      <c r="JE18" s="147">
        <f>MOD(JE7,THIN!$F$8)</f>
        <v>21.75</v>
      </c>
      <c r="JF18" s="147">
        <f>MOD(JF7,THIN!$F$8)</f>
        <v>21.833333333333332</v>
      </c>
      <c r="JG18" s="147">
        <f>MOD(JG7,THIN!$F$8)</f>
        <v>21.916666666666668</v>
      </c>
      <c r="JH18" s="147">
        <f>MOD(JH7,THIN!$F$8)</f>
        <v>22</v>
      </c>
      <c r="JI18" s="147">
        <f>MOD(JI7,THIN!$F$8)</f>
        <v>22.083333333333332</v>
      </c>
      <c r="JJ18" s="147">
        <f>MOD(JJ7,THIN!$F$8)</f>
        <v>22.166666666666668</v>
      </c>
      <c r="JK18" s="147">
        <f>MOD(JK7,THIN!$F$8)</f>
        <v>22.25</v>
      </c>
      <c r="JL18" s="147">
        <f>MOD(JL7,THIN!$F$8)</f>
        <v>22.333333333333332</v>
      </c>
      <c r="JM18" s="147">
        <f>MOD(JM7,THIN!$F$8)</f>
        <v>22.416666666666668</v>
      </c>
      <c r="JN18" s="147">
        <f>MOD(JN7,THIN!$F$8)</f>
        <v>22.5</v>
      </c>
      <c r="JO18" s="147">
        <f>MOD(JO7,THIN!$F$8)</f>
        <v>22.583333333333332</v>
      </c>
      <c r="JP18" s="147">
        <f>MOD(JP7,THIN!$F$8)</f>
        <v>22.666666666666668</v>
      </c>
      <c r="JQ18" s="147">
        <f>MOD(JQ7,THIN!$F$8)</f>
        <v>22.75</v>
      </c>
      <c r="JR18" s="147">
        <f>MOD(JR7,THIN!$F$8)</f>
        <v>22.833333333333332</v>
      </c>
      <c r="JS18" s="147">
        <f>MOD(JS7,THIN!$F$8)</f>
        <v>22.916666666666668</v>
      </c>
      <c r="JT18" s="147">
        <f>MOD(JT7,THIN!$F$8)</f>
        <v>23</v>
      </c>
      <c r="JU18" s="147">
        <f>MOD(JU7,THIN!$F$8)</f>
        <v>23.083333333333332</v>
      </c>
      <c r="JV18" s="147">
        <f>MOD(JV7,THIN!$F$8)</f>
        <v>23.166666666666668</v>
      </c>
      <c r="JW18" s="147">
        <f>MOD(JW7,THIN!$F$8)</f>
        <v>23.25</v>
      </c>
      <c r="JX18" s="147">
        <f>MOD(JX7,THIN!$F$8)</f>
        <v>23.333333333333332</v>
      </c>
      <c r="JY18" s="147">
        <f>MOD(JY7,THIN!$F$8)</f>
        <v>23.416666666666668</v>
      </c>
      <c r="JZ18" s="147">
        <f>MOD(JZ7,THIN!$F$8)</f>
        <v>23.5</v>
      </c>
      <c r="KA18" s="147">
        <f>MOD(KA7,THIN!$F$8)</f>
        <v>23.583333333333332</v>
      </c>
      <c r="KB18" s="147">
        <f>MOD(KB7,THIN!$F$8)</f>
        <v>23.666666666666668</v>
      </c>
      <c r="KC18" s="147">
        <f>MOD(KC7,THIN!$F$8)</f>
        <v>23.75</v>
      </c>
      <c r="KD18" s="147">
        <f>MOD(KD7,THIN!$F$8)</f>
        <v>23.833333333333332</v>
      </c>
      <c r="KE18" s="147">
        <f>MOD(KE7,THIN!$F$8)</f>
        <v>23.916666666666668</v>
      </c>
      <c r="KF18" s="147">
        <f>MOD(KF7,THIN!$F$8)</f>
        <v>24</v>
      </c>
      <c r="KG18" s="147">
        <f>MOD(KG7,THIN!$F$8)</f>
        <v>24.083333333333332</v>
      </c>
      <c r="KH18" s="147">
        <f>MOD(KH7,THIN!$F$8)</f>
        <v>24.166666666666668</v>
      </c>
      <c r="KI18" s="147">
        <f>MOD(KI7,THIN!$F$8)</f>
        <v>24.25</v>
      </c>
      <c r="KJ18" s="147">
        <f>MOD(KJ7,THIN!$F$8)</f>
        <v>24.333333333333332</v>
      </c>
      <c r="KK18" s="147">
        <f>MOD(KK7,THIN!$F$8)</f>
        <v>24.416666666666668</v>
      </c>
      <c r="KL18" s="147">
        <f>MOD(KL7,THIN!$F$8)</f>
        <v>24.5</v>
      </c>
      <c r="KM18" s="147">
        <f>MOD(KM7,THIN!$F$8)</f>
        <v>24.583333333333332</v>
      </c>
      <c r="KN18" s="147">
        <f>MOD(KN7,THIN!$F$8)</f>
        <v>24.666666666666668</v>
      </c>
      <c r="KO18" s="147">
        <f>MOD(KO7,THIN!$F$8)</f>
        <v>24.75</v>
      </c>
      <c r="KP18" s="147">
        <f>MOD(KP7,THIN!$F$8)</f>
        <v>24.833333333333332</v>
      </c>
      <c r="KQ18" s="147">
        <f>MOD(KQ7,THIN!$F$8)</f>
        <v>24.916666666666668</v>
      </c>
      <c r="KR18" s="147">
        <f>MOD(KR7,THIN!$F$8)</f>
        <v>0</v>
      </c>
      <c r="KS18" s="147">
        <f>MOD(KS7,THIN!$F$8)</f>
        <v>8.3333333333332149E-2</v>
      </c>
      <c r="KT18" s="147">
        <f>MOD(KT7,THIN!$F$8)</f>
        <v>0.16666666666666785</v>
      </c>
      <c r="KU18" s="147">
        <f>MOD(KU7,THIN!$F$8)</f>
        <v>0.25</v>
      </c>
      <c r="KV18" s="147">
        <f>MOD(KV7,THIN!$F$8)</f>
        <v>0.33333333333333215</v>
      </c>
      <c r="KW18" s="147">
        <f>MOD(KW7,THIN!$F$8)</f>
        <v>0.41666666666666785</v>
      </c>
      <c r="KX18" s="147">
        <f>MOD(KX7,THIN!$F$8)</f>
        <v>0.5</v>
      </c>
      <c r="KY18" s="147">
        <f>MOD(KY7,THIN!$F$8)</f>
        <v>0.58333333333333215</v>
      </c>
      <c r="KZ18" s="147">
        <f>MOD(KZ7,THIN!$F$8)</f>
        <v>0.66666666666666785</v>
      </c>
      <c r="LA18" s="147">
        <f>MOD(LA7,THIN!$F$8)</f>
        <v>0.75</v>
      </c>
      <c r="LB18" s="147">
        <f>MOD(LB7,THIN!$F$8)</f>
        <v>0.83333333333333215</v>
      </c>
      <c r="LC18" s="147">
        <f>MOD(LC7,THIN!$F$8)</f>
        <v>0.91666666666666785</v>
      </c>
      <c r="LD18" s="147">
        <f>MOD(LD7,THIN!$F$8)</f>
        <v>1</v>
      </c>
      <c r="LE18" s="147">
        <f>MOD(LE7,THIN!$F$8)</f>
        <v>1.0833333333333321</v>
      </c>
      <c r="LF18" s="147">
        <f>MOD(LF7,THIN!$F$8)</f>
        <v>1.1666666666666679</v>
      </c>
      <c r="LG18" s="147">
        <f>MOD(LG7,THIN!$F$8)</f>
        <v>1.25</v>
      </c>
      <c r="LH18" s="147">
        <f>MOD(LH7,THIN!$F$8)</f>
        <v>1.3333333333333321</v>
      </c>
      <c r="LI18" s="147">
        <f>MOD(LI7,THIN!$F$8)</f>
        <v>1.4166666666666679</v>
      </c>
      <c r="LJ18" s="147">
        <f>MOD(LJ7,THIN!$F$8)</f>
        <v>1.5</v>
      </c>
      <c r="LK18" s="147">
        <f>MOD(LK7,THIN!$F$8)</f>
        <v>1.5833333333333321</v>
      </c>
      <c r="LL18" s="147">
        <f>MOD(LL7,THIN!$F$8)</f>
        <v>1.6666666666666679</v>
      </c>
      <c r="LM18" s="147">
        <f>MOD(LM7,THIN!$F$8)</f>
        <v>1.75</v>
      </c>
      <c r="LN18" s="147">
        <f>MOD(LN7,THIN!$F$8)</f>
        <v>1.8333333333333321</v>
      </c>
      <c r="LO18" s="147">
        <f>MOD(LO7,THIN!$F$8)</f>
        <v>1.9166666666666679</v>
      </c>
      <c r="LP18" s="147">
        <f>MOD(LP7,THIN!$F$8)</f>
        <v>2</v>
      </c>
      <c r="LQ18" s="147">
        <f>MOD(LQ7,THIN!$F$8)</f>
        <v>2.0833333333333321</v>
      </c>
      <c r="LR18" s="147">
        <f>MOD(LR7,THIN!$F$8)</f>
        <v>2.1666666666666679</v>
      </c>
      <c r="LS18" s="147">
        <f>MOD(LS7,THIN!$F$8)</f>
        <v>2.25</v>
      </c>
      <c r="LT18" s="147">
        <f>MOD(LT7,THIN!$F$8)</f>
        <v>2.3333333333333321</v>
      </c>
      <c r="LU18" s="147">
        <f>MOD(LU7,THIN!$F$8)</f>
        <v>2.4166666666666679</v>
      </c>
      <c r="LV18" s="147">
        <f>MOD(LV7,THIN!$F$8)</f>
        <v>2.5</v>
      </c>
      <c r="LW18" s="147">
        <f>MOD(LW7,THIN!$F$8)</f>
        <v>2.5833333333333321</v>
      </c>
      <c r="LX18" s="147">
        <f>MOD(LX7,THIN!$F$8)</f>
        <v>2.6666666666666679</v>
      </c>
      <c r="LY18" s="147">
        <f>MOD(LY7,THIN!$F$8)</f>
        <v>2.75</v>
      </c>
      <c r="LZ18" s="147">
        <f>MOD(LZ7,THIN!$F$8)</f>
        <v>2.8333333333333321</v>
      </c>
      <c r="MA18" s="147">
        <f>MOD(MA7,THIN!$F$8)</f>
        <v>2.9166666666666679</v>
      </c>
      <c r="MB18" s="147">
        <f>MOD(MB7,THIN!$F$8)</f>
        <v>3</v>
      </c>
      <c r="MC18" s="147">
        <f>MOD(MC7,THIN!$F$8)</f>
        <v>3.0833333333333321</v>
      </c>
      <c r="MD18" s="147">
        <f>MOD(MD7,THIN!$F$8)</f>
        <v>3.1666666666666679</v>
      </c>
      <c r="ME18" s="147">
        <f>MOD(ME7,THIN!$F$8)</f>
        <v>3.25</v>
      </c>
      <c r="MF18" s="147">
        <f>MOD(MF7,THIN!$F$8)</f>
        <v>3.3333333333333321</v>
      </c>
      <c r="MG18" s="147">
        <f>MOD(MG7,THIN!$F$8)</f>
        <v>3.4166666666666679</v>
      </c>
      <c r="MH18" s="147">
        <f>MOD(MH7,THIN!$F$8)</f>
        <v>3.5</v>
      </c>
      <c r="MI18" s="147">
        <f>MOD(MI7,THIN!$F$8)</f>
        <v>3.5833333333333321</v>
      </c>
      <c r="MJ18" s="147">
        <f>MOD(MJ7,THIN!$F$8)</f>
        <v>3.6666666666666679</v>
      </c>
      <c r="MK18" s="147">
        <f>MOD(MK7,THIN!$F$8)</f>
        <v>3.75</v>
      </c>
      <c r="ML18" s="147">
        <f>MOD(ML7,THIN!$F$8)</f>
        <v>3.8333333333333321</v>
      </c>
      <c r="MM18" s="147">
        <f>MOD(MM7,THIN!$F$8)</f>
        <v>3.9166666666666679</v>
      </c>
      <c r="MN18" s="147">
        <f>MOD(MN7,THIN!$F$8)</f>
        <v>4</v>
      </c>
      <c r="MO18" s="147">
        <f>MOD(MO7,THIN!$F$8)</f>
        <v>4.0833333333333321</v>
      </c>
      <c r="MP18" s="147">
        <f>MOD(MP7,THIN!$F$8)</f>
        <v>4.1666666666666679</v>
      </c>
      <c r="MQ18" s="147">
        <f>MOD(MQ7,THIN!$F$8)</f>
        <v>4.25</v>
      </c>
      <c r="MR18" s="147">
        <f>MOD(MR7,THIN!$F$8)</f>
        <v>4.3333333333333321</v>
      </c>
      <c r="MS18" s="147">
        <f>MOD(MS7,THIN!$F$8)</f>
        <v>4.4166666666666679</v>
      </c>
      <c r="MT18" s="147">
        <f>MOD(MT7,THIN!$F$8)</f>
        <v>4.5</v>
      </c>
      <c r="MU18" s="147">
        <f>MOD(MU7,THIN!$F$8)</f>
        <v>4.5833333333333321</v>
      </c>
      <c r="MV18" s="147">
        <f>MOD(MV7,THIN!$F$8)</f>
        <v>4.6666666666666679</v>
      </c>
      <c r="MW18" s="147">
        <f>MOD(MW7,THIN!$F$8)</f>
        <v>4.75</v>
      </c>
      <c r="MX18" s="147">
        <f>MOD(MX7,THIN!$F$8)</f>
        <v>4.8333333333333321</v>
      </c>
      <c r="MY18" s="147">
        <f>MOD(MY7,THIN!$F$8)</f>
        <v>4.9166666666666679</v>
      </c>
      <c r="MZ18" s="147">
        <f>MOD(MZ7,THIN!$F$8)</f>
        <v>5</v>
      </c>
      <c r="NA18" s="147">
        <f>MOD(NA7,THIN!$F$8)</f>
        <v>5.0833333333333321</v>
      </c>
      <c r="NB18" s="147">
        <f>MOD(NB7,THIN!$F$8)</f>
        <v>5.1666666666666679</v>
      </c>
      <c r="NC18" s="147">
        <f>MOD(NC7,THIN!$F$8)</f>
        <v>5.25</v>
      </c>
      <c r="ND18" s="147">
        <f>MOD(ND7,THIN!$F$8)</f>
        <v>5.3333333333333321</v>
      </c>
      <c r="NE18" s="147">
        <f>MOD(NE7,THIN!$F$8)</f>
        <v>5.4166666666666679</v>
      </c>
      <c r="NF18" s="147">
        <f>MOD(NF7,THIN!$F$8)</f>
        <v>5.5</v>
      </c>
      <c r="NG18" s="147">
        <f>MOD(NG7,THIN!$F$8)</f>
        <v>5.5833333333333321</v>
      </c>
      <c r="NH18" s="147">
        <f>MOD(NH7,THIN!$F$8)</f>
        <v>5.6666666666666679</v>
      </c>
      <c r="NI18" s="147">
        <f>MOD(NI7,THIN!$F$8)</f>
        <v>5.75</v>
      </c>
      <c r="NJ18" s="147">
        <f>MOD(NJ7,THIN!$F$8)</f>
        <v>5.8333333333333321</v>
      </c>
      <c r="NK18" s="147">
        <f>MOD(NK7,THIN!$F$8)</f>
        <v>5.9166666666666679</v>
      </c>
      <c r="NL18" s="147">
        <f>MOD(NL7,THIN!$F$8)</f>
        <v>6</v>
      </c>
      <c r="NM18" s="147">
        <f>MOD(NM7,THIN!$F$8)</f>
        <v>6.0833333333333321</v>
      </c>
      <c r="NN18" s="147">
        <f>MOD(NN7,THIN!$F$8)</f>
        <v>6.1666666666666679</v>
      </c>
      <c r="NO18" s="147">
        <f>MOD(NO7,THIN!$F$8)</f>
        <v>6.25</v>
      </c>
      <c r="NP18" s="147">
        <f>MOD(NP7,THIN!$F$8)</f>
        <v>6.3333333333333321</v>
      </c>
      <c r="NQ18" s="147">
        <f>MOD(NQ7,THIN!$F$8)</f>
        <v>6.4166666666666679</v>
      </c>
      <c r="NR18" s="147">
        <f>MOD(NR7,THIN!$F$8)</f>
        <v>6.5</v>
      </c>
      <c r="NS18" s="147">
        <f>MOD(NS7,THIN!$F$8)</f>
        <v>6.5833333333333321</v>
      </c>
      <c r="NT18" s="147">
        <f>MOD(NT7,THIN!$F$8)</f>
        <v>6.6666666666666679</v>
      </c>
      <c r="NU18" s="147">
        <f>MOD(NU7,THIN!$F$8)</f>
        <v>6.75</v>
      </c>
      <c r="NV18" s="147">
        <f>MOD(NV7,THIN!$F$8)</f>
        <v>6.8333333333333321</v>
      </c>
      <c r="NW18" s="147">
        <f>MOD(NW7,THIN!$F$8)</f>
        <v>6.9166666666666679</v>
      </c>
      <c r="NX18" s="147">
        <f>MOD(NX7,THIN!$F$8)</f>
        <v>7</v>
      </c>
      <c r="NY18" s="147">
        <f>MOD(NY7,THIN!$F$8)</f>
        <v>7.0833333333333357</v>
      </c>
      <c r="NZ18" s="147">
        <f>MOD(NZ7,THIN!$F$8)</f>
        <v>7.1666666666666643</v>
      </c>
      <c r="OA18" s="147">
        <f>MOD(OA7,THIN!$F$8)</f>
        <v>7.25</v>
      </c>
      <c r="OB18" s="147">
        <f>MOD(OB7,THIN!$F$8)</f>
        <v>7.3333333333333357</v>
      </c>
      <c r="OC18" s="147">
        <f>MOD(OC7,THIN!$F$8)</f>
        <v>7.4166666666666643</v>
      </c>
      <c r="OD18" s="147">
        <f>MOD(OD7,THIN!$F$8)</f>
        <v>7.5</v>
      </c>
      <c r="OE18" s="147">
        <f>MOD(OE7,THIN!$F$8)</f>
        <v>7.5833333333333357</v>
      </c>
      <c r="OF18" s="147">
        <f>MOD(OF7,THIN!$F$8)</f>
        <v>7.6666666666666643</v>
      </c>
      <c r="OG18" s="147">
        <f>MOD(OG7,THIN!$F$8)</f>
        <v>7.75</v>
      </c>
      <c r="OH18" s="147">
        <f>MOD(OH7,THIN!$F$8)</f>
        <v>7.8333333333333357</v>
      </c>
      <c r="OI18" s="147">
        <f>MOD(OI7,THIN!$F$8)</f>
        <v>7.9166666666666643</v>
      </c>
      <c r="OJ18" s="147">
        <f>MOD(OJ7,THIN!$F$8)</f>
        <v>8</v>
      </c>
      <c r="OK18" s="147">
        <f>MOD(OK7,THIN!$F$8)</f>
        <v>8.0833333333333357</v>
      </c>
      <c r="OL18" s="147">
        <f>MOD(OL7,THIN!$F$8)</f>
        <v>8.1666666666666643</v>
      </c>
      <c r="OM18" s="147">
        <f>MOD(OM7,THIN!$F$8)</f>
        <v>8.25</v>
      </c>
      <c r="ON18" s="147">
        <f>MOD(ON7,THIN!$F$8)</f>
        <v>8.3333333333333357</v>
      </c>
      <c r="OO18" s="147">
        <f>MOD(OO7,THIN!$F$8)</f>
        <v>8.4166666666666643</v>
      </c>
      <c r="OP18" s="147">
        <f>MOD(OP7,THIN!$F$8)</f>
        <v>8.5</v>
      </c>
      <c r="OQ18" s="147">
        <f>MOD(OQ7,THIN!$F$8)</f>
        <v>8.5833333333333357</v>
      </c>
      <c r="OR18" s="147">
        <f>MOD(OR7,THIN!$F$8)</f>
        <v>8.6666666666666643</v>
      </c>
      <c r="OS18" s="147">
        <f>MOD(OS7,THIN!$F$8)</f>
        <v>8.75</v>
      </c>
      <c r="OT18" s="147">
        <f>MOD(OT7,THIN!$F$8)</f>
        <v>8.8333333333333357</v>
      </c>
      <c r="OU18" s="147">
        <f>MOD(OU7,THIN!$F$8)</f>
        <v>8.9166666666666643</v>
      </c>
      <c r="OV18" s="147">
        <f>MOD(OV7,THIN!$F$8)</f>
        <v>9</v>
      </c>
      <c r="OW18" s="147">
        <f>MOD(OW7,THIN!$F$8)</f>
        <v>9.0833333333333357</v>
      </c>
      <c r="OX18" s="147">
        <f>MOD(OX7,THIN!$F$8)</f>
        <v>9.1666666666666643</v>
      </c>
      <c r="OY18" s="147">
        <f>MOD(OY7,THIN!$F$8)</f>
        <v>9.25</v>
      </c>
      <c r="OZ18" s="147">
        <f>MOD(OZ7,THIN!$F$8)</f>
        <v>9.3333333333333357</v>
      </c>
      <c r="PA18" s="147">
        <f>MOD(PA7,THIN!$F$8)</f>
        <v>9.4166666666666643</v>
      </c>
      <c r="PB18" s="147">
        <f>MOD(PB7,THIN!$F$8)</f>
        <v>9.5</v>
      </c>
      <c r="PC18" s="147">
        <f>MOD(PC7,THIN!$F$8)</f>
        <v>9.5833333333333357</v>
      </c>
      <c r="PD18" s="147">
        <f>MOD(PD7,THIN!$F$8)</f>
        <v>9.6666666666666643</v>
      </c>
      <c r="PE18" s="147">
        <f>MOD(PE7,THIN!$F$8)</f>
        <v>9.75</v>
      </c>
      <c r="PF18" s="147">
        <f>MOD(PF7,THIN!$F$8)</f>
        <v>9.8333333333333357</v>
      </c>
      <c r="PG18" s="147">
        <f>MOD(PG7,THIN!$F$8)</f>
        <v>9.9166666666666643</v>
      </c>
      <c r="PH18" s="147">
        <f>MOD(PH7,THIN!$F$8)</f>
        <v>10</v>
      </c>
      <c r="PI18" s="147">
        <f>MOD(PI7,THIN!$F$8)</f>
        <v>10.083333333333336</v>
      </c>
      <c r="PJ18" s="147">
        <f>MOD(PJ7,THIN!$F$8)</f>
        <v>10.166666666666664</v>
      </c>
      <c r="PK18" s="147">
        <f>MOD(PK7,THIN!$F$8)</f>
        <v>10.25</v>
      </c>
      <c r="PL18" s="147">
        <f>MOD(PL7,THIN!$F$8)</f>
        <v>10.333333333333336</v>
      </c>
      <c r="PM18" s="147">
        <f>MOD(PM7,THIN!$F$8)</f>
        <v>10.416666666666664</v>
      </c>
      <c r="PN18" s="147">
        <f>MOD(PN7,THIN!$F$8)</f>
        <v>10.5</v>
      </c>
      <c r="PO18" s="147">
        <f>MOD(PO7,THIN!$F$8)</f>
        <v>10.583333333333336</v>
      </c>
      <c r="PP18" s="147">
        <f>MOD(PP7,THIN!$F$8)</f>
        <v>10.666666666666664</v>
      </c>
      <c r="PQ18" s="147">
        <f>MOD(PQ7,THIN!$F$8)</f>
        <v>10.75</v>
      </c>
      <c r="PR18" s="147">
        <f>MOD(PR7,THIN!$F$8)</f>
        <v>10.833333333333336</v>
      </c>
      <c r="PS18" s="147">
        <f>MOD(PS7,THIN!$F$8)</f>
        <v>10.916666666666664</v>
      </c>
      <c r="PT18" s="147">
        <f>MOD(PT7,THIN!$F$8)</f>
        <v>11</v>
      </c>
      <c r="PU18" s="147">
        <f>MOD(PU7,THIN!$F$8)</f>
        <v>11.083333333333336</v>
      </c>
      <c r="PV18" s="147">
        <f>MOD(PV7,THIN!$F$8)</f>
        <v>11.166666666666664</v>
      </c>
      <c r="PW18" s="147">
        <f>MOD(PW7,THIN!$F$8)</f>
        <v>11.25</v>
      </c>
      <c r="PX18" s="147">
        <f>MOD(PX7,THIN!$F$8)</f>
        <v>11.333333333333336</v>
      </c>
      <c r="PY18" s="147">
        <f>MOD(PY7,THIN!$F$8)</f>
        <v>11.416666666666664</v>
      </c>
      <c r="PZ18" s="147">
        <f>MOD(PZ7,THIN!$F$8)</f>
        <v>11.5</v>
      </c>
      <c r="QA18" s="147">
        <f>MOD(QA7,THIN!$F$8)</f>
        <v>11.583333333333336</v>
      </c>
      <c r="QB18" s="147">
        <f>MOD(QB7,THIN!$F$8)</f>
        <v>11.666666666666664</v>
      </c>
      <c r="QC18" s="147">
        <f>MOD(QC7,THIN!$F$8)</f>
        <v>11.75</v>
      </c>
      <c r="QD18" s="147">
        <f>MOD(QD7,THIN!$F$8)</f>
        <v>11.833333333333336</v>
      </c>
      <c r="QE18" s="147">
        <f>MOD(QE7,THIN!$F$8)</f>
        <v>11.916666666666664</v>
      </c>
      <c r="QF18" s="147">
        <f>MOD(QF7,THIN!$F$8)</f>
        <v>12</v>
      </c>
      <c r="QG18" s="147">
        <f>MOD(QG7,THIN!$F$8)</f>
        <v>12.083333333333336</v>
      </c>
      <c r="QH18" s="147">
        <f>MOD(QH7,THIN!$F$8)</f>
        <v>12.166666666666664</v>
      </c>
      <c r="QI18" s="147">
        <f>MOD(QI7,THIN!$F$8)</f>
        <v>12.25</v>
      </c>
      <c r="QJ18" s="147">
        <f>MOD(QJ7,THIN!$F$8)</f>
        <v>12.333333333333336</v>
      </c>
      <c r="QK18" s="147">
        <f>MOD(QK7,THIN!$F$8)</f>
        <v>12.416666666666664</v>
      </c>
      <c r="QL18" s="147">
        <f>MOD(QL7,THIN!$F$8)</f>
        <v>12.5</v>
      </c>
      <c r="QM18" s="147">
        <f>MOD(QM7,THIN!$F$8)</f>
        <v>12.583333333333336</v>
      </c>
      <c r="QN18" s="147">
        <f>MOD(QN7,THIN!$F$8)</f>
        <v>12.666666666666664</v>
      </c>
      <c r="QO18" s="147">
        <f>MOD(QO7,THIN!$F$8)</f>
        <v>12.75</v>
      </c>
      <c r="QP18" s="147">
        <f>MOD(QP7,THIN!$F$8)</f>
        <v>12.833333333333336</v>
      </c>
      <c r="QQ18" s="147">
        <f>MOD(QQ7,THIN!$F$8)</f>
        <v>12.916666666666664</v>
      </c>
      <c r="QR18" s="147">
        <f>MOD(QR7,THIN!$F$8)</f>
        <v>13</v>
      </c>
      <c r="QS18" s="147">
        <f>MOD(QS7,THIN!$F$8)</f>
        <v>13.083333333333336</v>
      </c>
      <c r="QT18" s="147">
        <f>MOD(QT7,THIN!$F$8)</f>
        <v>13.166666666666664</v>
      </c>
      <c r="QU18" s="147">
        <f>MOD(QU7,THIN!$F$8)</f>
        <v>13.25</v>
      </c>
      <c r="QV18" s="147">
        <f>MOD(QV7,THIN!$F$8)</f>
        <v>13.333333333333336</v>
      </c>
      <c r="QW18" s="147">
        <f>MOD(QW7,THIN!$F$8)</f>
        <v>13.416666666666664</v>
      </c>
      <c r="QX18" s="147">
        <f>MOD(QX7,THIN!$F$8)</f>
        <v>13.5</v>
      </c>
      <c r="QY18" s="147">
        <f>MOD(QY7,THIN!$F$8)</f>
        <v>13.583333333333336</v>
      </c>
      <c r="QZ18" s="147">
        <f>MOD(QZ7,THIN!$F$8)</f>
        <v>13.666666666666664</v>
      </c>
      <c r="RA18" s="147">
        <f>MOD(RA7,THIN!$F$8)</f>
        <v>13.75</v>
      </c>
      <c r="RB18" s="147">
        <f>MOD(RB7,THIN!$F$8)</f>
        <v>13.833333333333336</v>
      </c>
      <c r="RC18" s="147">
        <f>MOD(RC7,THIN!$F$8)</f>
        <v>13.916666666666664</v>
      </c>
      <c r="RD18" s="147">
        <f>MOD(RD7,THIN!$F$8)</f>
        <v>14</v>
      </c>
      <c r="RE18" s="147">
        <f>MOD(RE7,THIN!$F$8)</f>
        <v>14.083333333333336</v>
      </c>
      <c r="RF18" s="147">
        <f>MOD(RF7,THIN!$F$8)</f>
        <v>14.166666666666664</v>
      </c>
      <c r="RG18" s="147">
        <f>MOD(RG7,THIN!$F$8)</f>
        <v>14.25</v>
      </c>
      <c r="RH18" s="147">
        <f>MOD(RH7,THIN!$F$8)</f>
        <v>14.333333333333336</v>
      </c>
      <c r="RI18" s="147">
        <f>MOD(RI7,THIN!$F$8)</f>
        <v>14.416666666666664</v>
      </c>
      <c r="RJ18" s="147">
        <f>MOD(RJ7,THIN!$F$8)</f>
        <v>14.5</v>
      </c>
      <c r="RK18" s="147">
        <f>MOD(RK7,THIN!$F$8)</f>
        <v>14.583333333333336</v>
      </c>
      <c r="RL18" s="147">
        <f>MOD(RL7,THIN!$F$8)</f>
        <v>14.666666666666664</v>
      </c>
      <c r="RM18" s="147">
        <f>MOD(RM7,THIN!$F$8)</f>
        <v>14.75</v>
      </c>
      <c r="RN18" s="147">
        <f>MOD(RN7,THIN!$F$8)</f>
        <v>14.833333333333336</v>
      </c>
      <c r="RO18" s="147">
        <f>MOD(RO7,THIN!$F$8)</f>
        <v>14.916666666666664</v>
      </c>
      <c r="RP18" s="147">
        <f>MOD(RP7,THIN!$F$8)</f>
        <v>15</v>
      </c>
    </row>
    <row r="19" spans="2:484" ht="12.95" customHeight="1" x14ac:dyDescent="0.2">
      <c r="B19" s="152"/>
      <c r="C19" s="152" t="s">
        <v>924</v>
      </c>
      <c r="D19" s="152"/>
      <c r="E19" s="147">
        <f>MOD(E7,THIN!$F$32)</f>
        <v>8.3333333333333329E-2</v>
      </c>
      <c r="F19" s="147">
        <f>MOD(F7,THIN!$F$32)</f>
        <v>0.16666666666666666</v>
      </c>
      <c r="G19" s="147">
        <f>MOD(G7,THIN!$F$32)</f>
        <v>0.25</v>
      </c>
      <c r="H19" s="147">
        <f>MOD(H7,THIN!$F$32)</f>
        <v>0.33333333333333331</v>
      </c>
      <c r="I19" s="147">
        <f>MOD(I7,THIN!$F$32)</f>
        <v>0.41666666666666669</v>
      </c>
      <c r="J19" s="147">
        <f>MOD(J7,THIN!$F$32)</f>
        <v>0.5</v>
      </c>
      <c r="K19" s="147">
        <f>MOD(K7,THIN!$F$32)</f>
        <v>0.58333333333333337</v>
      </c>
      <c r="L19" s="147">
        <f>MOD(L7,THIN!$F$32)</f>
        <v>0.66666666666666663</v>
      </c>
      <c r="M19" s="147">
        <f>MOD(M7,THIN!$F$32)</f>
        <v>0.75</v>
      </c>
      <c r="N19" s="147">
        <f>MOD(N7,THIN!$F$32)</f>
        <v>0.83333333333333337</v>
      </c>
      <c r="O19" s="147">
        <f>MOD(O7,THIN!$F$32)</f>
        <v>0.91666666666666663</v>
      </c>
      <c r="P19" s="147">
        <f>MOD(P7,THIN!$F$32)</f>
        <v>1</v>
      </c>
      <c r="Q19" s="147">
        <f>MOD(Q7,THIN!$F$32)</f>
        <v>1.0833333333333333</v>
      </c>
      <c r="R19" s="147">
        <f>MOD(R7,THIN!$F$32)</f>
        <v>1.1666666666666667</v>
      </c>
      <c r="S19" s="147">
        <f>MOD(S7,THIN!$F$32)</f>
        <v>1.25</v>
      </c>
      <c r="T19" s="147">
        <f>MOD(T7,THIN!$F$32)</f>
        <v>1.3333333333333333</v>
      </c>
      <c r="U19" s="147">
        <f>MOD(U7,THIN!$F$32)</f>
        <v>1.4166666666666667</v>
      </c>
      <c r="V19" s="147">
        <f>MOD(V7,THIN!$F$32)</f>
        <v>1.5</v>
      </c>
      <c r="W19" s="147">
        <f>MOD(W7,THIN!$F$32)</f>
        <v>1.5833333333333333</v>
      </c>
      <c r="X19" s="147">
        <f>MOD(X7,THIN!$F$32)</f>
        <v>1.6666666666666667</v>
      </c>
      <c r="Y19" s="147">
        <f>MOD(Y7,THIN!$F$32)</f>
        <v>1.75</v>
      </c>
      <c r="Z19" s="147">
        <f>MOD(Z7,THIN!$F$32)</f>
        <v>1.8333333333333333</v>
      </c>
      <c r="AA19" s="147">
        <f>MOD(AA7,THIN!$F$32)</f>
        <v>1.9166666666666667</v>
      </c>
      <c r="AB19" s="147">
        <f>MOD(AB7,THIN!$F$32)</f>
        <v>2</v>
      </c>
      <c r="AC19" s="147">
        <f>MOD(AC7,THIN!$F$32)</f>
        <v>2.0833333333333335</v>
      </c>
      <c r="AD19" s="147">
        <f>MOD(AD7,THIN!$F$32)</f>
        <v>2.1666666666666665</v>
      </c>
      <c r="AE19" s="147">
        <f>MOD(AE7,THIN!$F$32)</f>
        <v>2.25</v>
      </c>
      <c r="AF19" s="147">
        <f>MOD(AF7,THIN!$F$32)</f>
        <v>2.3333333333333335</v>
      </c>
      <c r="AG19" s="147">
        <f>MOD(AG7,THIN!$F$32)</f>
        <v>2.4166666666666665</v>
      </c>
      <c r="AH19" s="147">
        <f>MOD(AH7,THIN!$F$32)</f>
        <v>2.5</v>
      </c>
      <c r="AI19" s="147">
        <f>MOD(AI7,THIN!$F$32)</f>
        <v>2.5833333333333335</v>
      </c>
      <c r="AJ19" s="147">
        <f>MOD(AJ7,THIN!$F$32)</f>
        <v>2.6666666666666665</v>
      </c>
      <c r="AK19" s="147">
        <f>MOD(AK7,THIN!$F$32)</f>
        <v>2.75</v>
      </c>
      <c r="AL19" s="147">
        <f>MOD(AL7,THIN!$F$32)</f>
        <v>2.8333333333333335</v>
      </c>
      <c r="AM19" s="147">
        <f>MOD(AM7,THIN!$F$32)</f>
        <v>2.9166666666666665</v>
      </c>
      <c r="AN19" s="147">
        <f>MOD(AN7,THIN!$F$32)</f>
        <v>3</v>
      </c>
      <c r="AO19" s="147">
        <f>MOD(AO7,THIN!$F$32)</f>
        <v>3.0833333333333335</v>
      </c>
      <c r="AP19" s="147">
        <f>MOD(AP7,THIN!$F$32)</f>
        <v>3.1666666666666665</v>
      </c>
      <c r="AQ19" s="147">
        <f>MOD(AQ7,THIN!$F$32)</f>
        <v>3.25</v>
      </c>
      <c r="AR19" s="147">
        <f>MOD(AR7,THIN!$F$32)</f>
        <v>3.3333333333333335</v>
      </c>
      <c r="AS19" s="147">
        <f>MOD(AS7,THIN!$F$32)</f>
        <v>3.4166666666666665</v>
      </c>
      <c r="AT19" s="147">
        <f>MOD(AT7,THIN!$F$32)</f>
        <v>3.5</v>
      </c>
      <c r="AU19" s="147">
        <f>MOD(AU7,THIN!$F$32)</f>
        <v>3.5833333333333335</v>
      </c>
      <c r="AV19" s="147">
        <f>MOD(AV7,THIN!$F$32)</f>
        <v>3.6666666666666665</v>
      </c>
      <c r="AW19" s="147">
        <f>MOD(AW7,THIN!$F$32)</f>
        <v>3.75</v>
      </c>
      <c r="AX19" s="147">
        <f>MOD(AX7,THIN!$F$32)</f>
        <v>3.8333333333333335</v>
      </c>
      <c r="AY19" s="147">
        <f>MOD(AY7,THIN!$F$32)</f>
        <v>3.9166666666666665</v>
      </c>
      <c r="AZ19" s="147">
        <f>MOD(AZ7,THIN!$F$32)</f>
        <v>4</v>
      </c>
      <c r="BA19" s="147">
        <f>MOD(BA7,THIN!$F$32)</f>
        <v>4.083333333333333</v>
      </c>
      <c r="BB19" s="147">
        <f>MOD(BB7,THIN!$F$32)</f>
        <v>4.166666666666667</v>
      </c>
      <c r="BC19" s="147">
        <f>MOD(BC7,THIN!$F$32)</f>
        <v>4.25</v>
      </c>
      <c r="BD19" s="147">
        <f>MOD(BD7,THIN!$F$32)</f>
        <v>4.333333333333333</v>
      </c>
      <c r="BE19" s="147">
        <f>MOD(BE7,THIN!$F$32)</f>
        <v>4.416666666666667</v>
      </c>
      <c r="BF19" s="147">
        <f>MOD(BF7,THIN!$F$32)</f>
        <v>4.5</v>
      </c>
      <c r="BG19" s="147">
        <f>MOD(BG7,THIN!$F$32)</f>
        <v>4.583333333333333</v>
      </c>
      <c r="BH19" s="147">
        <f>MOD(BH7,THIN!$F$32)</f>
        <v>4.666666666666667</v>
      </c>
      <c r="BI19" s="147">
        <f>MOD(BI7,THIN!$F$32)</f>
        <v>4.75</v>
      </c>
      <c r="BJ19" s="147">
        <f>MOD(BJ7,THIN!$F$32)</f>
        <v>4.833333333333333</v>
      </c>
      <c r="BK19" s="147">
        <f>MOD(BK7,THIN!$F$32)</f>
        <v>4.916666666666667</v>
      </c>
      <c r="BL19" s="147">
        <f>MOD(BL7,THIN!$F$32)</f>
        <v>5</v>
      </c>
      <c r="BM19" s="147">
        <f>MOD(BM7,THIN!$F$32)</f>
        <v>5.083333333333333</v>
      </c>
      <c r="BN19" s="147">
        <f>MOD(BN7,THIN!$F$32)</f>
        <v>5.166666666666667</v>
      </c>
      <c r="BO19" s="147">
        <f>MOD(BO7,THIN!$F$32)</f>
        <v>5.25</v>
      </c>
      <c r="BP19" s="147">
        <f>MOD(BP7,THIN!$F$32)</f>
        <v>5.333333333333333</v>
      </c>
      <c r="BQ19" s="147">
        <f>MOD(BQ7,THIN!$F$32)</f>
        <v>5.416666666666667</v>
      </c>
      <c r="BR19" s="147">
        <f>MOD(BR7,THIN!$F$32)</f>
        <v>5.5</v>
      </c>
      <c r="BS19" s="147">
        <f>MOD(BS7,THIN!$F$32)</f>
        <v>5.583333333333333</v>
      </c>
      <c r="BT19" s="147">
        <f>MOD(BT7,THIN!$F$32)</f>
        <v>5.666666666666667</v>
      </c>
      <c r="BU19" s="147">
        <f>MOD(BU7,THIN!$F$32)</f>
        <v>5.75</v>
      </c>
      <c r="BV19" s="147">
        <f>MOD(BV7,THIN!$F$32)</f>
        <v>5.833333333333333</v>
      </c>
      <c r="BW19" s="147">
        <f>MOD(BW7,THIN!$F$32)</f>
        <v>5.916666666666667</v>
      </c>
      <c r="BX19" s="147">
        <f>MOD(BX7,THIN!$F$32)</f>
        <v>6</v>
      </c>
      <c r="BY19" s="147">
        <f>MOD(BY7,THIN!$F$32)</f>
        <v>6.083333333333333</v>
      </c>
      <c r="BZ19" s="147">
        <f>MOD(BZ7,THIN!$F$32)</f>
        <v>6.166666666666667</v>
      </c>
      <c r="CA19" s="147">
        <f>MOD(CA7,THIN!$F$32)</f>
        <v>6.25</v>
      </c>
      <c r="CB19" s="147">
        <f>MOD(CB7,THIN!$F$32)</f>
        <v>6.333333333333333</v>
      </c>
      <c r="CC19" s="147">
        <f>MOD(CC7,THIN!$F$32)</f>
        <v>6.416666666666667</v>
      </c>
      <c r="CD19" s="147">
        <f>MOD(CD7,THIN!$F$32)</f>
        <v>6.5</v>
      </c>
      <c r="CE19" s="147">
        <f>MOD(CE7,THIN!$F$32)</f>
        <v>6.583333333333333</v>
      </c>
      <c r="CF19" s="147">
        <f>MOD(CF7,THIN!$F$32)</f>
        <v>6.666666666666667</v>
      </c>
      <c r="CG19" s="147">
        <f>MOD(CG7,THIN!$F$32)</f>
        <v>6.75</v>
      </c>
      <c r="CH19" s="147">
        <f>MOD(CH7,THIN!$F$32)</f>
        <v>6.833333333333333</v>
      </c>
      <c r="CI19" s="147">
        <f>MOD(CI7,THIN!$F$32)</f>
        <v>6.916666666666667</v>
      </c>
      <c r="CJ19" s="147">
        <f>MOD(CJ7,THIN!$F$32)</f>
        <v>7</v>
      </c>
      <c r="CK19" s="147">
        <f>MOD(CK7,THIN!$F$32)</f>
        <v>7.083333333333333</v>
      </c>
      <c r="CL19" s="147">
        <f>MOD(CL7,THIN!$F$32)</f>
        <v>7.166666666666667</v>
      </c>
      <c r="CM19" s="147">
        <f>MOD(CM7,THIN!$F$32)</f>
        <v>7.25</v>
      </c>
      <c r="CN19" s="147">
        <f>MOD(CN7,THIN!$F$32)</f>
        <v>7.333333333333333</v>
      </c>
      <c r="CO19" s="147">
        <f>MOD(CO7,THIN!$F$32)</f>
        <v>7.416666666666667</v>
      </c>
      <c r="CP19" s="147">
        <f>MOD(CP7,THIN!$F$32)</f>
        <v>7.5</v>
      </c>
      <c r="CQ19" s="147">
        <f>MOD(CQ7,THIN!$F$32)</f>
        <v>7.583333333333333</v>
      </c>
      <c r="CR19" s="147">
        <f>MOD(CR7,THIN!$F$32)</f>
        <v>7.666666666666667</v>
      </c>
      <c r="CS19" s="147">
        <f>MOD(CS7,THIN!$F$32)</f>
        <v>7.75</v>
      </c>
      <c r="CT19" s="147">
        <f>MOD(CT7,THIN!$F$32)</f>
        <v>7.833333333333333</v>
      </c>
      <c r="CU19" s="147">
        <f>MOD(CU7,THIN!$F$32)</f>
        <v>7.916666666666667</v>
      </c>
      <c r="CV19" s="147">
        <f>MOD(CV7,THIN!$F$32)</f>
        <v>8</v>
      </c>
      <c r="CW19" s="147">
        <f>MOD(CW7,THIN!$F$32)</f>
        <v>8.0833333333333339</v>
      </c>
      <c r="CX19" s="147">
        <f>MOD(CX7,THIN!$F$32)</f>
        <v>8.1666666666666661</v>
      </c>
      <c r="CY19" s="147">
        <f>MOD(CY7,THIN!$F$32)</f>
        <v>8.25</v>
      </c>
      <c r="CZ19" s="147">
        <f>MOD(CZ7,THIN!$F$32)</f>
        <v>8.3333333333333339</v>
      </c>
      <c r="DA19" s="147">
        <f>MOD(DA7,THIN!$F$32)</f>
        <v>8.4166666666666661</v>
      </c>
      <c r="DB19" s="147">
        <f>MOD(DB7,THIN!$F$32)</f>
        <v>8.5</v>
      </c>
      <c r="DC19" s="147">
        <f>MOD(DC7,THIN!$F$32)</f>
        <v>8.5833333333333339</v>
      </c>
      <c r="DD19" s="147">
        <f>MOD(DD7,THIN!$F$32)</f>
        <v>8.6666666666666661</v>
      </c>
      <c r="DE19" s="147">
        <f>MOD(DE7,THIN!$F$32)</f>
        <v>8.75</v>
      </c>
      <c r="DF19" s="147">
        <f>MOD(DF7,THIN!$F$32)</f>
        <v>8.8333333333333339</v>
      </c>
      <c r="DG19" s="147">
        <f>MOD(DG7,THIN!$F$32)</f>
        <v>8.9166666666666661</v>
      </c>
      <c r="DH19" s="147">
        <f>MOD(DH7,THIN!$F$32)</f>
        <v>9</v>
      </c>
      <c r="DI19" s="147">
        <f>MOD(DI7,THIN!$F$32)</f>
        <v>9.0833333333333339</v>
      </c>
      <c r="DJ19" s="147">
        <f>MOD(DJ7,THIN!$F$32)</f>
        <v>9.1666666666666661</v>
      </c>
      <c r="DK19" s="147">
        <f>MOD(DK7,THIN!$F$32)</f>
        <v>9.25</v>
      </c>
      <c r="DL19" s="147">
        <f>MOD(DL7,THIN!$F$32)</f>
        <v>9.3333333333333339</v>
      </c>
      <c r="DM19" s="147">
        <f>MOD(DM7,THIN!$F$32)</f>
        <v>9.4166666666666661</v>
      </c>
      <c r="DN19" s="147">
        <f>MOD(DN7,THIN!$F$32)</f>
        <v>9.5</v>
      </c>
      <c r="DO19" s="147">
        <f>MOD(DO7,THIN!$F$32)</f>
        <v>9.5833333333333339</v>
      </c>
      <c r="DP19" s="147">
        <f>MOD(DP7,THIN!$F$32)</f>
        <v>9.6666666666666661</v>
      </c>
      <c r="DQ19" s="147">
        <f>MOD(DQ7,THIN!$F$32)</f>
        <v>9.75</v>
      </c>
      <c r="DR19" s="147">
        <f>MOD(DR7,THIN!$F$32)</f>
        <v>9.8333333333333339</v>
      </c>
      <c r="DS19" s="147">
        <f>MOD(DS7,THIN!$F$32)</f>
        <v>9.9166666666666661</v>
      </c>
      <c r="DT19" s="147">
        <f>MOD(DT7,THIN!$F$32)</f>
        <v>10</v>
      </c>
      <c r="DU19" s="147">
        <f>MOD(DU7,THIN!$F$32)</f>
        <v>10.083333333333334</v>
      </c>
      <c r="DV19" s="147">
        <f>MOD(DV7,THIN!$F$32)</f>
        <v>10.166666666666666</v>
      </c>
      <c r="DW19" s="147">
        <f>MOD(DW7,THIN!$F$32)</f>
        <v>10.25</v>
      </c>
      <c r="DX19" s="147">
        <f>MOD(DX7,THIN!$F$32)</f>
        <v>10.333333333333334</v>
      </c>
      <c r="DY19" s="147">
        <f>MOD(DY7,THIN!$F$32)</f>
        <v>10.416666666666666</v>
      </c>
      <c r="DZ19" s="147">
        <f>MOD(DZ7,THIN!$F$32)</f>
        <v>10.5</v>
      </c>
      <c r="EA19" s="147">
        <f>MOD(EA7,THIN!$F$32)</f>
        <v>10.583333333333334</v>
      </c>
      <c r="EB19" s="147">
        <f>MOD(EB7,THIN!$F$32)</f>
        <v>10.666666666666666</v>
      </c>
      <c r="EC19" s="147">
        <f>MOD(EC7,THIN!$F$32)</f>
        <v>10.75</v>
      </c>
      <c r="ED19" s="147">
        <f>MOD(ED7,THIN!$F$32)</f>
        <v>10.833333333333334</v>
      </c>
      <c r="EE19" s="147">
        <f>MOD(EE7,THIN!$F$32)</f>
        <v>10.916666666666666</v>
      </c>
      <c r="EF19" s="147">
        <f>MOD(EF7,THIN!$F$32)</f>
        <v>11</v>
      </c>
      <c r="EG19" s="147">
        <f>MOD(EG7,THIN!$F$32)</f>
        <v>11.083333333333334</v>
      </c>
      <c r="EH19" s="147">
        <f>MOD(EH7,THIN!$F$32)</f>
        <v>11.166666666666666</v>
      </c>
      <c r="EI19" s="147">
        <f>MOD(EI7,THIN!$F$32)</f>
        <v>11.25</v>
      </c>
      <c r="EJ19" s="147">
        <f>MOD(EJ7,THIN!$F$32)</f>
        <v>11.333333333333334</v>
      </c>
      <c r="EK19" s="147">
        <f>MOD(EK7,THIN!$F$32)</f>
        <v>11.416666666666666</v>
      </c>
      <c r="EL19" s="147">
        <f>MOD(EL7,THIN!$F$32)</f>
        <v>11.5</v>
      </c>
      <c r="EM19" s="147">
        <f>MOD(EM7,THIN!$F$32)</f>
        <v>11.583333333333334</v>
      </c>
      <c r="EN19" s="147">
        <f>MOD(EN7,THIN!$F$32)</f>
        <v>11.666666666666666</v>
      </c>
      <c r="EO19" s="147">
        <f>MOD(EO7,THIN!$F$32)</f>
        <v>11.75</v>
      </c>
      <c r="EP19" s="147">
        <f>MOD(EP7,THIN!$F$32)</f>
        <v>11.833333333333334</v>
      </c>
      <c r="EQ19" s="147">
        <f>MOD(EQ7,THIN!$F$32)</f>
        <v>11.916666666666666</v>
      </c>
      <c r="ER19" s="147">
        <f>MOD(ER7,THIN!$F$32)</f>
        <v>12</v>
      </c>
      <c r="ES19" s="147">
        <f>MOD(ES7,THIN!$F$32)</f>
        <v>12.083333333333334</v>
      </c>
      <c r="ET19" s="147">
        <f>MOD(ET7,THIN!$F$32)</f>
        <v>12.166666666666666</v>
      </c>
      <c r="EU19" s="147">
        <f>MOD(EU7,THIN!$F$32)</f>
        <v>12.25</v>
      </c>
      <c r="EV19" s="147">
        <f>MOD(EV7,THIN!$F$32)</f>
        <v>12.333333333333334</v>
      </c>
      <c r="EW19" s="147">
        <f>MOD(EW7,THIN!$F$32)</f>
        <v>12.416666666666666</v>
      </c>
      <c r="EX19" s="147">
        <f>MOD(EX7,THIN!$F$32)</f>
        <v>12.5</v>
      </c>
      <c r="EY19" s="147">
        <f>MOD(EY7,THIN!$F$32)</f>
        <v>12.583333333333334</v>
      </c>
      <c r="EZ19" s="147">
        <f>MOD(EZ7,THIN!$F$32)</f>
        <v>12.666666666666666</v>
      </c>
      <c r="FA19" s="147">
        <f>MOD(FA7,THIN!$F$32)</f>
        <v>12.75</v>
      </c>
      <c r="FB19" s="147">
        <f>MOD(FB7,THIN!$F$32)</f>
        <v>12.833333333333334</v>
      </c>
      <c r="FC19" s="147">
        <f>MOD(FC7,THIN!$F$32)</f>
        <v>12.916666666666666</v>
      </c>
      <c r="FD19" s="147">
        <f>MOD(FD7,THIN!$F$32)</f>
        <v>13</v>
      </c>
      <c r="FE19" s="147">
        <f>MOD(FE7,THIN!$F$32)</f>
        <v>13.083333333333334</v>
      </c>
      <c r="FF19" s="147">
        <f>MOD(FF7,THIN!$F$32)</f>
        <v>13.166666666666666</v>
      </c>
      <c r="FG19" s="147">
        <f>MOD(FG7,THIN!$F$32)</f>
        <v>13.25</v>
      </c>
      <c r="FH19" s="147">
        <f>MOD(FH7,THIN!$F$32)</f>
        <v>13.333333333333334</v>
      </c>
      <c r="FI19" s="147">
        <f>MOD(FI7,THIN!$F$32)</f>
        <v>13.416666666666666</v>
      </c>
      <c r="FJ19" s="147">
        <f>MOD(FJ7,THIN!$F$32)</f>
        <v>13.5</v>
      </c>
      <c r="FK19" s="147">
        <f>MOD(FK7,THIN!$F$32)</f>
        <v>13.583333333333334</v>
      </c>
      <c r="FL19" s="147">
        <f>MOD(FL7,THIN!$F$32)</f>
        <v>13.666666666666666</v>
      </c>
      <c r="FM19" s="147">
        <f>MOD(FM7,THIN!$F$32)</f>
        <v>13.75</v>
      </c>
      <c r="FN19" s="147">
        <f>MOD(FN7,THIN!$F$32)</f>
        <v>13.833333333333334</v>
      </c>
      <c r="FO19" s="147">
        <f>MOD(FO7,THIN!$F$32)</f>
        <v>13.916666666666666</v>
      </c>
      <c r="FP19" s="147">
        <f>MOD(FP7,THIN!$F$32)</f>
        <v>14</v>
      </c>
      <c r="FQ19" s="147">
        <f>MOD(FQ7,THIN!$F$32)</f>
        <v>14.083333333333334</v>
      </c>
      <c r="FR19" s="147">
        <f>MOD(FR7,THIN!$F$32)</f>
        <v>14.166666666666666</v>
      </c>
      <c r="FS19" s="147">
        <f>MOD(FS7,THIN!$F$32)</f>
        <v>14.25</v>
      </c>
      <c r="FT19" s="147">
        <f>MOD(FT7,THIN!$F$32)</f>
        <v>14.333333333333334</v>
      </c>
      <c r="FU19" s="147">
        <f>MOD(FU7,THIN!$F$32)</f>
        <v>14.416666666666666</v>
      </c>
      <c r="FV19" s="147">
        <f>MOD(FV7,THIN!$F$32)</f>
        <v>14.5</v>
      </c>
      <c r="FW19" s="147">
        <f>MOD(FW7,THIN!$F$32)</f>
        <v>14.583333333333334</v>
      </c>
      <c r="FX19" s="147">
        <f>MOD(FX7,THIN!$F$32)</f>
        <v>14.666666666666666</v>
      </c>
      <c r="FY19" s="147">
        <f>MOD(FY7,THIN!$F$32)</f>
        <v>14.75</v>
      </c>
      <c r="FZ19" s="147">
        <f>MOD(FZ7,THIN!$F$32)</f>
        <v>14.833333333333334</v>
      </c>
      <c r="GA19" s="147">
        <f>MOD(GA7,THIN!$F$32)</f>
        <v>14.916666666666666</v>
      </c>
      <c r="GB19" s="147">
        <f>MOD(GB7,THIN!$F$32)</f>
        <v>15</v>
      </c>
      <c r="GC19" s="147">
        <f>MOD(GC7,THIN!$F$32)</f>
        <v>15.083333333333334</v>
      </c>
      <c r="GD19" s="147">
        <f>MOD(GD7,THIN!$F$32)</f>
        <v>15.166666666666666</v>
      </c>
      <c r="GE19" s="147">
        <f>MOD(GE7,THIN!$F$32)</f>
        <v>15.25</v>
      </c>
      <c r="GF19" s="147">
        <f>MOD(GF7,THIN!$F$32)</f>
        <v>15.333333333333334</v>
      </c>
      <c r="GG19" s="147">
        <f>MOD(GG7,THIN!$F$32)</f>
        <v>15.416666666666666</v>
      </c>
      <c r="GH19" s="147">
        <f>MOD(GH7,THIN!$F$32)</f>
        <v>15.5</v>
      </c>
      <c r="GI19" s="147">
        <f>MOD(GI7,THIN!$F$32)</f>
        <v>15.583333333333334</v>
      </c>
      <c r="GJ19" s="147">
        <f>MOD(GJ7,THIN!$F$32)</f>
        <v>15.666666666666666</v>
      </c>
      <c r="GK19" s="147">
        <f>MOD(GK7,THIN!$F$32)</f>
        <v>15.75</v>
      </c>
      <c r="GL19" s="147">
        <f>MOD(GL7,THIN!$F$32)</f>
        <v>15.833333333333334</v>
      </c>
      <c r="GM19" s="147">
        <f>MOD(GM7,THIN!$F$32)</f>
        <v>15.916666666666666</v>
      </c>
      <c r="GN19" s="147">
        <f>MOD(GN7,THIN!$F$32)</f>
        <v>16</v>
      </c>
      <c r="GO19" s="147">
        <f>MOD(GO7,THIN!$F$32)</f>
        <v>16.083333333333332</v>
      </c>
      <c r="GP19" s="147">
        <f>MOD(GP7,THIN!$F$32)</f>
        <v>16.166666666666668</v>
      </c>
      <c r="GQ19" s="147">
        <f>MOD(GQ7,THIN!$F$32)</f>
        <v>16.25</v>
      </c>
      <c r="GR19" s="147">
        <f>MOD(GR7,THIN!$F$32)</f>
        <v>16.333333333333332</v>
      </c>
      <c r="GS19" s="147">
        <f>MOD(GS7,THIN!$F$32)</f>
        <v>16.416666666666668</v>
      </c>
      <c r="GT19" s="147">
        <f>MOD(GT7,THIN!$F$32)</f>
        <v>16.5</v>
      </c>
      <c r="GU19" s="147">
        <f>MOD(GU7,THIN!$F$32)</f>
        <v>16.583333333333332</v>
      </c>
      <c r="GV19" s="147">
        <f>MOD(GV7,THIN!$F$32)</f>
        <v>16.666666666666668</v>
      </c>
      <c r="GW19" s="147">
        <f>MOD(GW7,THIN!$F$32)</f>
        <v>16.75</v>
      </c>
      <c r="GX19" s="147">
        <f>MOD(GX7,THIN!$F$32)</f>
        <v>16.833333333333332</v>
      </c>
      <c r="GY19" s="147">
        <f>MOD(GY7,THIN!$F$32)</f>
        <v>16.916666666666668</v>
      </c>
      <c r="GZ19" s="147">
        <f>MOD(GZ7,THIN!$F$32)</f>
        <v>17</v>
      </c>
      <c r="HA19" s="147">
        <f>MOD(HA7,THIN!$F$32)</f>
        <v>17.083333333333332</v>
      </c>
      <c r="HB19" s="147">
        <f>MOD(HB7,THIN!$F$32)</f>
        <v>17.166666666666668</v>
      </c>
      <c r="HC19" s="147">
        <f>MOD(HC7,THIN!$F$32)</f>
        <v>17.25</v>
      </c>
      <c r="HD19" s="147">
        <f>MOD(HD7,THIN!$F$32)</f>
        <v>17.333333333333332</v>
      </c>
      <c r="HE19" s="147">
        <f>MOD(HE7,THIN!$F$32)</f>
        <v>17.416666666666668</v>
      </c>
      <c r="HF19" s="147">
        <f>MOD(HF7,THIN!$F$32)</f>
        <v>17.5</v>
      </c>
      <c r="HG19" s="147">
        <f>MOD(HG7,THIN!$F$32)</f>
        <v>17.583333333333332</v>
      </c>
      <c r="HH19" s="147">
        <f>MOD(HH7,THIN!$F$32)</f>
        <v>17.666666666666668</v>
      </c>
      <c r="HI19" s="147">
        <f>MOD(HI7,THIN!$F$32)</f>
        <v>17.75</v>
      </c>
      <c r="HJ19" s="147">
        <f>MOD(HJ7,THIN!$F$32)</f>
        <v>17.833333333333332</v>
      </c>
      <c r="HK19" s="147">
        <f>MOD(HK7,THIN!$F$32)</f>
        <v>17.916666666666668</v>
      </c>
      <c r="HL19" s="147">
        <f>MOD(HL7,THIN!$F$32)</f>
        <v>18</v>
      </c>
      <c r="HM19" s="147">
        <f>MOD(HM7,THIN!$F$32)</f>
        <v>18.083333333333332</v>
      </c>
      <c r="HN19" s="147">
        <f>MOD(HN7,THIN!$F$32)</f>
        <v>18.166666666666668</v>
      </c>
      <c r="HO19" s="147">
        <f>MOD(HO7,THIN!$F$32)</f>
        <v>18.25</v>
      </c>
      <c r="HP19" s="147">
        <f>MOD(HP7,THIN!$F$32)</f>
        <v>18.333333333333332</v>
      </c>
      <c r="HQ19" s="147">
        <f>MOD(HQ7,THIN!$F$32)</f>
        <v>18.416666666666668</v>
      </c>
      <c r="HR19" s="147">
        <f>MOD(HR7,THIN!$F$32)</f>
        <v>18.5</v>
      </c>
      <c r="HS19" s="147">
        <f>MOD(HS7,THIN!$F$32)</f>
        <v>18.583333333333332</v>
      </c>
      <c r="HT19" s="147">
        <f>MOD(HT7,THIN!$F$32)</f>
        <v>18.666666666666668</v>
      </c>
      <c r="HU19" s="147">
        <f>MOD(HU7,THIN!$F$32)</f>
        <v>18.75</v>
      </c>
      <c r="HV19" s="147">
        <f>MOD(HV7,THIN!$F$32)</f>
        <v>18.833333333333332</v>
      </c>
      <c r="HW19" s="147">
        <f>MOD(HW7,THIN!$F$32)</f>
        <v>18.916666666666668</v>
      </c>
      <c r="HX19" s="147">
        <f>MOD(HX7,THIN!$F$32)</f>
        <v>19</v>
      </c>
      <c r="HY19" s="147">
        <f>MOD(HY7,THIN!$F$32)</f>
        <v>19.083333333333332</v>
      </c>
      <c r="HZ19" s="147">
        <f>MOD(HZ7,THIN!$F$32)</f>
        <v>19.166666666666668</v>
      </c>
      <c r="IA19" s="147">
        <f>MOD(IA7,THIN!$F$32)</f>
        <v>19.25</v>
      </c>
      <c r="IB19" s="147">
        <f>MOD(IB7,THIN!$F$32)</f>
        <v>19.333333333333332</v>
      </c>
      <c r="IC19" s="147">
        <f>MOD(IC7,THIN!$F$32)</f>
        <v>19.416666666666668</v>
      </c>
      <c r="ID19" s="147">
        <f>MOD(ID7,THIN!$F$32)</f>
        <v>19.5</v>
      </c>
      <c r="IE19" s="147">
        <f>MOD(IE7,THIN!$F$32)</f>
        <v>19.583333333333332</v>
      </c>
      <c r="IF19" s="147">
        <f>MOD(IF7,THIN!$F$32)</f>
        <v>19.666666666666668</v>
      </c>
      <c r="IG19" s="147">
        <f>MOD(IG7,THIN!$F$32)</f>
        <v>19.75</v>
      </c>
      <c r="IH19" s="147">
        <f>MOD(IH7,THIN!$F$32)</f>
        <v>19.833333333333332</v>
      </c>
      <c r="II19" s="147">
        <f>MOD(II7,THIN!$F$32)</f>
        <v>19.916666666666668</v>
      </c>
      <c r="IJ19" s="147">
        <f>MOD(IJ7,THIN!$F$32)</f>
        <v>20</v>
      </c>
      <c r="IK19" s="147">
        <f>MOD(IK7,THIN!$F$32)</f>
        <v>20.083333333333332</v>
      </c>
      <c r="IL19" s="147">
        <f>MOD(IL7,THIN!$F$32)</f>
        <v>20.166666666666668</v>
      </c>
      <c r="IM19" s="147">
        <f>MOD(IM7,THIN!$F$32)</f>
        <v>20.25</v>
      </c>
      <c r="IN19" s="147">
        <f>MOD(IN7,THIN!$F$32)</f>
        <v>20.333333333333332</v>
      </c>
      <c r="IO19" s="147">
        <f>MOD(IO7,THIN!$F$32)</f>
        <v>20.416666666666668</v>
      </c>
      <c r="IP19" s="147">
        <f>MOD(IP7,THIN!$F$32)</f>
        <v>20.5</v>
      </c>
      <c r="IQ19" s="147">
        <f>MOD(IQ7,THIN!$F$32)</f>
        <v>20.583333333333332</v>
      </c>
      <c r="IR19" s="147">
        <f>MOD(IR7,THIN!$F$32)</f>
        <v>20.666666666666668</v>
      </c>
      <c r="IS19" s="147">
        <f>MOD(IS7,THIN!$F$32)</f>
        <v>20.75</v>
      </c>
      <c r="IT19" s="147">
        <f>MOD(IT7,THIN!$F$32)</f>
        <v>20.833333333333332</v>
      </c>
      <c r="IU19" s="147">
        <f>MOD(IU7,THIN!$F$32)</f>
        <v>20.916666666666668</v>
      </c>
      <c r="IV19" s="147">
        <f>MOD(IV7,THIN!$F$32)</f>
        <v>21</v>
      </c>
      <c r="IW19" s="147">
        <f>MOD(IW7,THIN!$F$32)</f>
        <v>21.083333333333332</v>
      </c>
      <c r="IX19" s="147">
        <f>MOD(IX7,THIN!$F$32)</f>
        <v>21.166666666666668</v>
      </c>
      <c r="IY19" s="147">
        <f>MOD(IY7,THIN!$F$32)</f>
        <v>21.25</v>
      </c>
      <c r="IZ19" s="147">
        <f>MOD(IZ7,THIN!$F$32)</f>
        <v>21.333333333333332</v>
      </c>
      <c r="JA19" s="147">
        <f>MOD(JA7,THIN!$F$32)</f>
        <v>21.416666666666668</v>
      </c>
      <c r="JB19" s="147">
        <f>MOD(JB7,THIN!$F$32)</f>
        <v>21.5</v>
      </c>
      <c r="JC19" s="147">
        <f>MOD(JC7,THIN!$F$32)</f>
        <v>21.583333333333332</v>
      </c>
      <c r="JD19" s="147">
        <f>MOD(JD7,THIN!$F$32)</f>
        <v>21.666666666666668</v>
      </c>
      <c r="JE19" s="147">
        <f>MOD(JE7,THIN!$F$32)</f>
        <v>21.75</v>
      </c>
      <c r="JF19" s="147">
        <f>MOD(JF7,THIN!$F$32)</f>
        <v>21.833333333333332</v>
      </c>
      <c r="JG19" s="147">
        <f>MOD(JG7,THIN!$F$32)</f>
        <v>21.916666666666668</v>
      </c>
      <c r="JH19" s="147">
        <f>MOD(JH7,THIN!$F$32)</f>
        <v>22</v>
      </c>
      <c r="JI19" s="147">
        <f>MOD(JI7,THIN!$F$32)</f>
        <v>22.083333333333332</v>
      </c>
      <c r="JJ19" s="147">
        <f>MOD(JJ7,THIN!$F$32)</f>
        <v>22.166666666666668</v>
      </c>
      <c r="JK19" s="147">
        <f>MOD(JK7,THIN!$F$32)</f>
        <v>22.25</v>
      </c>
      <c r="JL19" s="147">
        <f>MOD(JL7,THIN!$F$32)</f>
        <v>22.333333333333332</v>
      </c>
      <c r="JM19" s="147">
        <f>MOD(JM7,THIN!$F$32)</f>
        <v>22.416666666666668</v>
      </c>
      <c r="JN19" s="147">
        <f>MOD(JN7,THIN!$F$32)</f>
        <v>22.5</v>
      </c>
      <c r="JO19" s="147">
        <f>MOD(JO7,THIN!$F$32)</f>
        <v>22.583333333333332</v>
      </c>
      <c r="JP19" s="147">
        <f>MOD(JP7,THIN!$F$32)</f>
        <v>22.666666666666668</v>
      </c>
      <c r="JQ19" s="147">
        <f>MOD(JQ7,THIN!$F$32)</f>
        <v>22.75</v>
      </c>
      <c r="JR19" s="147">
        <f>MOD(JR7,THIN!$F$32)</f>
        <v>22.833333333333332</v>
      </c>
      <c r="JS19" s="147">
        <f>MOD(JS7,THIN!$F$32)</f>
        <v>22.916666666666668</v>
      </c>
      <c r="JT19" s="147">
        <f>MOD(JT7,THIN!$F$32)</f>
        <v>23</v>
      </c>
      <c r="JU19" s="147">
        <f>MOD(JU7,THIN!$F$32)</f>
        <v>23.083333333333332</v>
      </c>
      <c r="JV19" s="147">
        <f>MOD(JV7,THIN!$F$32)</f>
        <v>23.166666666666668</v>
      </c>
      <c r="JW19" s="147">
        <f>MOD(JW7,THIN!$F$32)</f>
        <v>23.25</v>
      </c>
      <c r="JX19" s="147">
        <f>MOD(JX7,THIN!$F$32)</f>
        <v>23.333333333333332</v>
      </c>
      <c r="JY19" s="147">
        <f>MOD(JY7,THIN!$F$32)</f>
        <v>23.416666666666668</v>
      </c>
      <c r="JZ19" s="147">
        <f>MOD(JZ7,THIN!$F$32)</f>
        <v>23.5</v>
      </c>
      <c r="KA19" s="147">
        <f>MOD(KA7,THIN!$F$32)</f>
        <v>23.583333333333332</v>
      </c>
      <c r="KB19" s="147">
        <f>MOD(KB7,THIN!$F$32)</f>
        <v>23.666666666666668</v>
      </c>
      <c r="KC19" s="147">
        <f>MOD(KC7,THIN!$F$32)</f>
        <v>23.75</v>
      </c>
      <c r="KD19" s="147">
        <f>MOD(KD7,THIN!$F$32)</f>
        <v>23.833333333333332</v>
      </c>
      <c r="KE19" s="147">
        <f>MOD(KE7,THIN!$F$32)</f>
        <v>23.916666666666668</v>
      </c>
      <c r="KF19" s="147">
        <f>MOD(KF7,THIN!$F$32)</f>
        <v>24</v>
      </c>
      <c r="KG19" s="147">
        <f>MOD(KG7,THIN!$F$32)</f>
        <v>24.083333333333332</v>
      </c>
      <c r="KH19" s="147">
        <f>MOD(KH7,THIN!$F$32)</f>
        <v>24.166666666666668</v>
      </c>
      <c r="KI19" s="147">
        <f>MOD(KI7,THIN!$F$32)</f>
        <v>24.25</v>
      </c>
      <c r="KJ19" s="147">
        <f>MOD(KJ7,THIN!$F$32)</f>
        <v>24.333333333333332</v>
      </c>
      <c r="KK19" s="147">
        <f>MOD(KK7,THIN!$F$32)</f>
        <v>24.416666666666668</v>
      </c>
      <c r="KL19" s="147">
        <f>MOD(KL7,THIN!$F$32)</f>
        <v>24.5</v>
      </c>
      <c r="KM19" s="147">
        <f>MOD(KM7,THIN!$F$32)</f>
        <v>24.583333333333332</v>
      </c>
      <c r="KN19" s="147">
        <f>MOD(KN7,THIN!$F$32)</f>
        <v>24.666666666666668</v>
      </c>
      <c r="KO19" s="147">
        <f>MOD(KO7,THIN!$F$32)</f>
        <v>24.75</v>
      </c>
      <c r="KP19" s="147">
        <f>MOD(KP7,THIN!$F$32)</f>
        <v>24.833333333333332</v>
      </c>
      <c r="KQ19" s="147">
        <f>MOD(KQ7,THIN!$F$32)</f>
        <v>24.916666666666668</v>
      </c>
      <c r="KR19" s="147">
        <f>MOD(KR7,THIN!$F$32)</f>
        <v>25</v>
      </c>
      <c r="KS19" s="147">
        <f>MOD(KS7,THIN!$F$32)</f>
        <v>25.083333333333332</v>
      </c>
      <c r="KT19" s="147">
        <f>MOD(KT7,THIN!$F$32)</f>
        <v>25.166666666666668</v>
      </c>
      <c r="KU19" s="147">
        <f>MOD(KU7,THIN!$F$32)</f>
        <v>25.25</v>
      </c>
      <c r="KV19" s="147">
        <f>MOD(KV7,THIN!$F$32)</f>
        <v>25.333333333333332</v>
      </c>
      <c r="KW19" s="147">
        <f>MOD(KW7,THIN!$F$32)</f>
        <v>25.416666666666668</v>
      </c>
      <c r="KX19" s="147">
        <f>MOD(KX7,THIN!$F$32)</f>
        <v>25.5</v>
      </c>
      <c r="KY19" s="147">
        <f>MOD(KY7,THIN!$F$32)</f>
        <v>25.583333333333332</v>
      </c>
      <c r="KZ19" s="147">
        <f>MOD(KZ7,THIN!$F$32)</f>
        <v>25.666666666666668</v>
      </c>
      <c r="LA19" s="147">
        <f>MOD(LA7,THIN!$F$32)</f>
        <v>25.75</v>
      </c>
      <c r="LB19" s="147">
        <f>MOD(LB7,THIN!$F$32)</f>
        <v>25.833333333333332</v>
      </c>
      <c r="LC19" s="147">
        <f>MOD(LC7,THIN!$F$32)</f>
        <v>25.916666666666668</v>
      </c>
      <c r="LD19" s="147">
        <f>MOD(LD7,THIN!$F$32)</f>
        <v>0</v>
      </c>
      <c r="LE19" s="147">
        <f>MOD(LE7,THIN!$F$32)</f>
        <v>8.3333333333332149E-2</v>
      </c>
      <c r="LF19" s="147">
        <f>MOD(LF7,THIN!$F$32)</f>
        <v>0.16666666666666785</v>
      </c>
      <c r="LG19" s="147">
        <f>MOD(LG7,THIN!$F$32)</f>
        <v>0.25</v>
      </c>
      <c r="LH19" s="147">
        <f>MOD(LH7,THIN!$F$32)</f>
        <v>0.33333333333333215</v>
      </c>
      <c r="LI19" s="147">
        <f>MOD(LI7,THIN!$F$32)</f>
        <v>0.41666666666666785</v>
      </c>
      <c r="LJ19" s="147">
        <f>MOD(LJ7,THIN!$F$32)</f>
        <v>0.5</v>
      </c>
      <c r="LK19" s="147">
        <f>MOD(LK7,THIN!$F$32)</f>
        <v>0.58333333333333215</v>
      </c>
      <c r="LL19" s="147">
        <f>MOD(LL7,THIN!$F$32)</f>
        <v>0.66666666666666785</v>
      </c>
      <c r="LM19" s="147">
        <f>MOD(LM7,THIN!$F$32)</f>
        <v>0.75</v>
      </c>
      <c r="LN19" s="147">
        <f>MOD(LN7,THIN!$F$32)</f>
        <v>0.83333333333333215</v>
      </c>
      <c r="LO19" s="147">
        <f>MOD(LO7,THIN!$F$32)</f>
        <v>0.91666666666666785</v>
      </c>
      <c r="LP19" s="147">
        <f>MOD(LP7,THIN!$F$32)</f>
        <v>1</v>
      </c>
      <c r="LQ19" s="147">
        <f>MOD(LQ7,THIN!$F$32)</f>
        <v>1.0833333333333321</v>
      </c>
      <c r="LR19" s="147">
        <f>MOD(LR7,THIN!$F$32)</f>
        <v>1.1666666666666679</v>
      </c>
      <c r="LS19" s="147">
        <f>MOD(LS7,THIN!$F$32)</f>
        <v>1.25</v>
      </c>
      <c r="LT19" s="147">
        <f>MOD(LT7,THIN!$F$32)</f>
        <v>1.3333333333333321</v>
      </c>
      <c r="LU19" s="147">
        <f>MOD(LU7,THIN!$F$32)</f>
        <v>1.4166666666666679</v>
      </c>
      <c r="LV19" s="147">
        <f>MOD(LV7,THIN!$F$32)</f>
        <v>1.5</v>
      </c>
      <c r="LW19" s="147">
        <f>MOD(LW7,THIN!$F$32)</f>
        <v>1.5833333333333321</v>
      </c>
      <c r="LX19" s="147">
        <f>MOD(LX7,THIN!$F$32)</f>
        <v>1.6666666666666679</v>
      </c>
      <c r="LY19" s="147">
        <f>MOD(LY7,THIN!$F$32)</f>
        <v>1.75</v>
      </c>
      <c r="LZ19" s="147">
        <f>MOD(LZ7,THIN!$F$32)</f>
        <v>1.8333333333333321</v>
      </c>
      <c r="MA19" s="147">
        <f>MOD(MA7,THIN!$F$32)</f>
        <v>1.9166666666666679</v>
      </c>
      <c r="MB19" s="147">
        <f>MOD(MB7,THIN!$F$32)</f>
        <v>2</v>
      </c>
      <c r="MC19" s="147">
        <f>MOD(MC7,THIN!$F$32)</f>
        <v>2.0833333333333321</v>
      </c>
      <c r="MD19" s="147">
        <f>MOD(MD7,THIN!$F$32)</f>
        <v>2.1666666666666679</v>
      </c>
      <c r="ME19" s="147">
        <f>MOD(ME7,THIN!$F$32)</f>
        <v>2.25</v>
      </c>
      <c r="MF19" s="147">
        <f>MOD(MF7,THIN!$F$32)</f>
        <v>2.3333333333333321</v>
      </c>
      <c r="MG19" s="147">
        <f>MOD(MG7,THIN!$F$32)</f>
        <v>2.4166666666666679</v>
      </c>
      <c r="MH19" s="147">
        <f>MOD(MH7,THIN!$F$32)</f>
        <v>2.5</v>
      </c>
      <c r="MI19" s="147">
        <f>MOD(MI7,THIN!$F$32)</f>
        <v>2.5833333333333321</v>
      </c>
      <c r="MJ19" s="147">
        <f>MOD(MJ7,THIN!$F$32)</f>
        <v>2.6666666666666679</v>
      </c>
      <c r="MK19" s="147">
        <f>MOD(MK7,THIN!$F$32)</f>
        <v>2.75</v>
      </c>
      <c r="ML19" s="147">
        <f>MOD(ML7,THIN!$F$32)</f>
        <v>2.8333333333333321</v>
      </c>
      <c r="MM19" s="147">
        <f>MOD(MM7,THIN!$F$32)</f>
        <v>2.9166666666666679</v>
      </c>
      <c r="MN19" s="147">
        <f>MOD(MN7,THIN!$F$32)</f>
        <v>3</v>
      </c>
      <c r="MO19" s="147">
        <f>MOD(MO7,THIN!$F$32)</f>
        <v>3.0833333333333321</v>
      </c>
      <c r="MP19" s="147">
        <f>MOD(MP7,THIN!$F$32)</f>
        <v>3.1666666666666679</v>
      </c>
      <c r="MQ19" s="147">
        <f>MOD(MQ7,THIN!$F$32)</f>
        <v>3.25</v>
      </c>
      <c r="MR19" s="147">
        <f>MOD(MR7,THIN!$F$32)</f>
        <v>3.3333333333333321</v>
      </c>
      <c r="MS19" s="147">
        <f>MOD(MS7,THIN!$F$32)</f>
        <v>3.4166666666666679</v>
      </c>
      <c r="MT19" s="147">
        <f>MOD(MT7,THIN!$F$32)</f>
        <v>3.5</v>
      </c>
      <c r="MU19" s="147">
        <f>MOD(MU7,THIN!$F$32)</f>
        <v>3.5833333333333321</v>
      </c>
      <c r="MV19" s="147">
        <f>MOD(MV7,THIN!$F$32)</f>
        <v>3.6666666666666679</v>
      </c>
      <c r="MW19" s="147">
        <f>MOD(MW7,THIN!$F$32)</f>
        <v>3.75</v>
      </c>
      <c r="MX19" s="147">
        <f>MOD(MX7,THIN!$F$32)</f>
        <v>3.8333333333333321</v>
      </c>
      <c r="MY19" s="147">
        <f>MOD(MY7,THIN!$F$32)</f>
        <v>3.9166666666666679</v>
      </c>
      <c r="MZ19" s="147">
        <f>MOD(MZ7,THIN!$F$32)</f>
        <v>4</v>
      </c>
      <c r="NA19" s="147">
        <f>MOD(NA7,THIN!$F$32)</f>
        <v>4.0833333333333321</v>
      </c>
      <c r="NB19" s="147">
        <f>MOD(NB7,THIN!$F$32)</f>
        <v>4.1666666666666679</v>
      </c>
      <c r="NC19" s="147">
        <f>MOD(NC7,THIN!$F$32)</f>
        <v>4.25</v>
      </c>
      <c r="ND19" s="147">
        <f>MOD(ND7,THIN!$F$32)</f>
        <v>4.3333333333333321</v>
      </c>
      <c r="NE19" s="147">
        <f>MOD(NE7,THIN!$F$32)</f>
        <v>4.4166666666666679</v>
      </c>
      <c r="NF19" s="147">
        <f>MOD(NF7,THIN!$F$32)</f>
        <v>4.5</v>
      </c>
      <c r="NG19" s="147">
        <f>MOD(NG7,THIN!$F$32)</f>
        <v>4.5833333333333321</v>
      </c>
      <c r="NH19" s="147">
        <f>MOD(NH7,THIN!$F$32)</f>
        <v>4.6666666666666679</v>
      </c>
      <c r="NI19" s="147">
        <f>MOD(NI7,THIN!$F$32)</f>
        <v>4.75</v>
      </c>
      <c r="NJ19" s="147">
        <f>MOD(NJ7,THIN!$F$32)</f>
        <v>4.8333333333333321</v>
      </c>
      <c r="NK19" s="147">
        <f>MOD(NK7,THIN!$F$32)</f>
        <v>4.9166666666666679</v>
      </c>
      <c r="NL19" s="147">
        <f>MOD(NL7,THIN!$F$32)</f>
        <v>5</v>
      </c>
      <c r="NM19" s="147">
        <f>MOD(NM7,THIN!$F$32)</f>
        <v>5.0833333333333321</v>
      </c>
      <c r="NN19" s="147">
        <f>MOD(NN7,THIN!$F$32)</f>
        <v>5.1666666666666679</v>
      </c>
      <c r="NO19" s="147">
        <f>MOD(NO7,THIN!$F$32)</f>
        <v>5.25</v>
      </c>
      <c r="NP19" s="147">
        <f>MOD(NP7,THIN!$F$32)</f>
        <v>5.3333333333333321</v>
      </c>
      <c r="NQ19" s="147">
        <f>MOD(NQ7,THIN!$F$32)</f>
        <v>5.4166666666666679</v>
      </c>
      <c r="NR19" s="147">
        <f>MOD(NR7,THIN!$F$32)</f>
        <v>5.5</v>
      </c>
      <c r="NS19" s="147">
        <f>MOD(NS7,THIN!$F$32)</f>
        <v>5.5833333333333321</v>
      </c>
      <c r="NT19" s="147">
        <f>MOD(NT7,THIN!$F$32)</f>
        <v>5.6666666666666679</v>
      </c>
      <c r="NU19" s="147">
        <f>MOD(NU7,THIN!$F$32)</f>
        <v>5.75</v>
      </c>
      <c r="NV19" s="147">
        <f>MOD(NV7,THIN!$F$32)</f>
        <v>5.8333333333333321</v>
      </c>
      <c r="NW19" s="147">
        <f>MOD(NW7,THIN!$F$32)</f>
        <v>5.9166666666666679</v>
      </c>
      <c r="NX19" s="147">
        <f>MOD(NX7,THIN!$F$32)</f>
        <v>6</v>
      </c>
      <c r="NY19" s="147">
        <f>MOD(NY7,THIN!$F$32)</f>
        <v>6.0833333333333357</v>
      </c>
      <c r="NZ19" s="147">
        <f>MOD(NZ7,THIN!$F$32)</f>
        <v>6.1666666666666643</v>
      </c>
      <c r="OA19" s="147">
        <f>MOD(OA7,THIN!$F$32)</f>
        <v>6.25</v>
      </c>
      <c r="OB19" s="147">
        <f>MOD(OB7,THIN!$F$32)</f>
        <v>6.3333333333333357</v>
      </c>
      <c r="OC19" s="147">
        <f>MOD(OC7,THIN!$F$32)</f>
        <v>6.4166666666666643</v>
      </c>
      <c r="OD19" s="147">
        <f>MOD(OD7,THIN!$F$32)</f>
        <v>6.5</v>
      </c>
      <c r="OE19" s="147">
        <f>MOD(OE7,THIN!$F$32)</f>
        <v>6.5833333333333357</v>
      </c>
      <c r="OF19" s="147">
        <f>MOD(OF7,THIN!$F$32)</f>
        <v>6.6666666666666643</v>
      </c>
      <c r="OG19" s="147">
        <f>MOD(OG7,THIN!$F$32)</f>
        <v>6.75</v>
      </c>
      <c r="OH19" s="147">
        <f>MOD(OH7,THIN!$F$32)</f>
        <v>6.8333333333333357</v>
      </c>
      <c r="OI19" s="147">
        <f>MOD(OI7,THIN!$F$32)</f>
        <v>6.9166666666666643</v>
      </c>
      <c r="OJ19" s="147">
        <f>MOD(OJ7,THIN!$F$32)</f>
        <v>7</v>
      </c>
      <c r="OK19" s="147">
        <f>MOD(OK7,THIN!$F$32)</f>
        <v>7.0833333333333357</v>
      </c>
      <c r="OL19" s="147">
        <f>MOD(OL7,THIN!$F$32)</f>
        <v>7.1666666666666643</v>
      </c>
      <c r="OM19" s="147">
        <f>MOD(OM7,THIN!$F$32)</f>
        <v>7.25</v>
      </c>
      <c r="ON19" s="147">
        <f>MOD(ON7,THIN!$F$32)</f>
        <v>7.3333333333333357</v>
      </c>
      <c r="OO19" s="147">
        <f>MOD(OO7,THIN!$F$32)</f>
        <v>7.4166666666666643</v>
      </c>
      <c r="OP19" s="147">
        <f>MOD(OP7,THIN!$F$32)</f>
        <v>7.5</v>
      </c>
      <c r="OQ19" s="147">
        <f>MOD(OQ7,THIN!$F$32)</f>
        <v>7.5833333333333357</v>
      </c>
      <c r="OR19" s="147">
        <f>MOD(OR7,THIN!$F$32)</f>
        <v>7.6666666666666643</v>
      </c>
      <c r="OS19" s="147">
        <f>MOD(OS7,THIN!$F$32)</f>
        <v>7.75</v>
      </c>
      <c r="OT19" s="147">
        <f>MOD(OT7,THIN!$F$32)</f>
        <v>7.8333333333333357</v>
      </c>
      <c r="OU19" s="147">
        <f>MOD(OU7,THIN!$F$32)</f>
        <v>7.9166666666666643</v>
      </c>
      <c r="OV19" s="147">
        <f>MOD(OV7,THIN!$F$32)</f>
        <v>8</v>
      </c>
      <c r="OW19" s="147">
        <f>MOD(OW7,THIN!$F$32)</f>
        <v>8.0833333333333357</v>
      </c>
      <c r="OX19" s="147">
        <f>MOD(OX7,THIN!$F$32)</f>
        <v>8.1666666666666643</v>
      </c>
      <c r="OY19" s="147">
        <f>MOD(OY7,THIN!$F$32)</f>
        <v>8.25</v>
      </c>
      <c r="OZ19" s="147">
        <f>MOD(OZ7,THIN!$F$32)</f>
        <v>8.3333333333333357</v>
      </c>
      <c r="PA19" s="147">
        <f>MOD(PA7,THIN!$F$32)</f>
        <v>8.4166666666666643</v>
      </c>
      <c r="PB19" s="147">
        <f>MOD(PB7,THIN!$F$32)</f>
        <v>8.5</v>
      </c>
      <c r="PC19" s="147">
        <f>MOD(PC7,THIN!$F$32)</f>
        <v>8.5833333333333357</v>
      </c>
      <c r="PD19" s="147">
        <f>MOD(PD7,THIN!$F$32)</f>
        <v>8.6666666666666643</v>
      </c>
      <c r="PE19" s="147">
        <f>MOD(PE7,THIN!$F$32)</f>
        <v>8.75</v>
      </c>
      <c r="PF19" s="147">
        <f>MOD(PF7,THIN!$F$32)</f>
        <v>8.8333333333333357</v>
      </c>
      <c r="PG19" s="147">
        <f>MOD(PG7,THIN!$F$32)</f>
        <v>8.9166666666666643</v>
      </c>
      <c r="PH19" s="147">
        <f>MOD(PH7,THIN!$F$32)</f>
        <v>9</v>
      </c>
      <c r="PI19" s="147">
        <f>MOD(PI7,THIN!$F$32)</f>
        <v>9.0833333333333357</v>
      </c>
      <c r="PJ19" s="147">
        <f>MOD(PJ7,THIN!$F$32)</f>
        <v>9.1666666666666643</v>
      </c>
      <c r="PK19" s="147">
        <f>MOD(PK7,THIN!$F$32)</f>
        <v>9.25</v>
      </c>
      <c r="PL19" s="147">
        <f>MOD(PL7,THIN!$F$32)</f>
        <v>9.3333333333333357</v>
      </c>
      <c r="PM19" s="147">
        <f>MOD(PM7,THIN!$F$32)</f>
        <v>9.4166666666666643</v>
      </c>
      <c r="PN19" s="147">
        <f>MOD(PN7,THIN!$F$32)</f>
        <v>9.5</v>
      </c>
      <c r="PO19" s="147">
        <f>MOD(PO7,THIN!$F$32)</f>
        <v>9.5833333333333357</v>
      </c>
      <c r="PP19" s="147">
        <f>MOD(PP7,THIN!$F$32)</f>
        <v>9.6666666666666643</v>
      </c>
      <c r="PQ19" s="147">
        <f>MOD(PQ7,THIN!$F$32)</f>
        <v>9.75</v>
      </c>
      <c r="PR19" s="147">
        <f>MOD(PR7,THIN!$F$32)</f>
        <v>9.8333333333333357</v>
      </c>
      <c r="PS19" s="147">
        <f>MOD(PS7,THIN!$F$32)</f>
        <v>9.9166666666666643</v>
      </c>
      <c r="PT19" s="147">
        <f>MOD(PT7,THIN!$F$32)</f>
        <v>10</v>
      </c>
      <c r="PU19" s="147">
        <f>MOD(PU7,THIN!$F$32)</f>
        <v>10.083333333333336</v>
      </c>
      <c r="PV19" s="147">
        <f>MOD(PV7,THIN!$F$32)</f>
        <v>10.166666666666664</v>
      </c>
      <c r="PW19" s="147">
        <f>MOD(PW7,THIN!$F$32)</f>
        <v>10.25</v>
      </c>
      <c r="PX19" s="147">
        <f>MOD(PX7,THIN!$F$32)</f>
        <v>10.333333333333336</v>
      </c>
      <c r="PY19" s="147">
        <f>MOD(PY7,THIN!$F$32)</f>
        <v>10.416666666666664</v>
      </c>
      <c r="PZ19" s="147">
        <f>MOD(PZ7,THIN!$F$32)</f>
        <v>10.5</v>
      </c>
      <c r="QA19" s="147">
        <f>MOD(QA7,THIN!$F$32)</f>
        <v>10.583333333333336</v>
      </c>
      <c r="QB19" s="147">
        <f>MOD(QB7,THIN!$F$32)</f>
        <v>10.666666666666664</v>
      </c>
      <c r="QC19" s="147">
        <f>MOD(QC7,THIN!$F$32)</f>
        <v>10.75</v>
      </c>
      <c r="QD19" s="147">
        <f>MOD(QD7,THIN!$F$32)</f>
        <v>10.833333333333336</v>
      </c>
      <c r="QE19" s="147">
        <f>MOD(QE7,THIN!$F$32)</f>
        <v>10.916666666666664</v>
      </c>
      <c r="QF19" s="147">
        <f>MOD(QF7,THIN!$F$32)</f>
        <v>11</v>
      </c>
      <c r="QG19" s="147">
        <f>MOD(QG7,THIN!$F$32)</f>
        <v>11.083333333333336</v>
      </c>
      <c r="QH19" s="147">
        <f>MOD(QH7,THIN!$F$32)</f>
        <v>11.166666666666664</v>
      </c>
      <c r="QI19" s="147">
        <f>MOD(QI7,THIN!$F$32)</f>
        <v>11.25</v>
      </c>
      <c r="QJ19" s="147">
        <f>MOD(QJ7,THIN!$F$32)</f>
        <v>11.333333333333336</v>
      </c>
      <c r="QK19" s="147">
        <f>MOD(QK7,THIN!$F$32)</f>
        <v>11.416666666666664</v>
      </c>
      <c r="QL19" s="147">
        <f>MOD(QL7,THIN!$F$32)</f>
        <v>11.5</v>
      </c>
      <c r="QM19" s="147">
        <f>MOD(QM7,THIN!$F$32)</f>
        <v>11.583333333333336</v>
      </c>
      <c r="QN19" s="147">
        <f>MOD(QN7,THIN!$F$32)</f>
        <v>11.666666666666664</v>
      </c>
      <c r="QO19" s="147">
        <f>MOD(QO7,THIN!$F$32)</f>
        <v>11.75</v>
      </c>
      <c r="QP19" s="147">
        <f>MOD(QP7,THIN!$F$32)</f>
        <v>11.833333333333336</v>
      </c>
      <c r="QQ19" s="147">
        <f>MOD(QQ7,THIN!$F$32)</f>
        <v>11.916666666666664</v>
      </c>
      <c r="QR19" s="147">
        <f>MOD(QR7,THIN!$F$32)</f>
        <v>12</v>
      </c>
      <c r="QS19" s="147">
        <f>MOD(QS7,THIN!$F$32)</f>
        <v>12.083333333333336</v>
      </c>
      <c r="QT19" s="147">
        <f>MOD(QT7,THIN!$F$32)</f>
        <v>12.166666666666664</v>
      </c>
      <c r="QU19" s="147">
        <f>MOD(QU7,THIN!$F$32)</f>
        <v>12.25</v>
      </c>
      <c r="QV19" s="147">
        <f>MOD(QV7,THIN!$F$32)</f>
        <v>12.333333333333336</v>
      </c>
      <c r="QW19" s="147">
        <f>MOD(QW7,THIN!$F$32)</f>
        <v>12.416666666666664</v>
      </c>
      <c r="QX19" s="147">
        <f>MOD(QX7,THIN!$F$32)</f>
        <v>12.5</v>
      </c>
      <c r="QY19" s="147">
        <f>MOD(QY7,THIN!$F$32)</f>
        <v>12.583333333333336</v>
      </c>
      <c r="QZ19" s="147">
        <f>MOD(QZ7,THIN!$F$32)</f>
        <v>12.666666666666664</v>
      </c>
      <c r="RA19" s="147">
        <f>MOD(RA7,THIN!$F$32)</f>
        <v>12.75</v>
      </c>
      <c r="RB19" s="147">
        <f>MOD(RB7,THIN!$F$32)</f>
        <v>12.833333333333336</v>
      </c>
      <c r="RC19" s="147">
        <f>MOD(RC7,THIN!$F$32)</f>
        <v>12.916666666666664</v>
      </c>
      <c r="RD19" s="147">
        <f>MOD(RD7,THIN!$F$32)</f>
        <v>13</v>
      </c>
      <c r="RE19" s="147">
        <f>MOD(RE7,THIN!$F$32)</f>
        <v>13.083333333333336</v>
      </c>
      <c r="RF19" s="147">
        <f>MOD(RF7,THIN!$F$32)</f>
        <v>13.166666666666664</v>
      </c>
      <c r="RG19" s="147">
        <f>MOD(RG7,THIN!$F$32)</f>
        <v>13.25</v>
      </c>
      <c r="RH19" s="147">
        <f>MOD(RH7,THIN!$F$32)</f>
        <v>13.333333333333336</v>
      </c>
      <c r="RI19" s="147">
        <f>MOD(RI7,THIN!$F$32)</f>
        <v>13.416666666666664</v>
      </c>
      <c r="RJ19" s="147">
        <f>MOD(RJ7,THIN!$F$32)</f>
        <v>13.5</v>
      </c>
      <c r="RK19" s="147">
        <f>MOD(RK7,THIN!$F$32)</f>
        <v>13.583333333333336</v>
      </c>
      <c r="RL19" s="147">
        <f>MOD(RL7,THIN!$F$32)</f>
        <v>13.666666666666664</v>
      </c>
      <c r="RM19" s="147">
        <f>MOD(RM7,THIN!$F$32)</f>
        <v>13.75</v>
      </c>
      <c r="RN19" s="147">
        <f>MOD(RN7,THIN!$F$32)</f>
        <v>13.833333333333336</v>
      </c>
      <c r="RO19" s="147">
        <f>MOD(RO7,THIN!$F$32)</f>
        <v>13.916666666666664</v>
      </c>
      <c r="RP19" s="147">
        <f>MOD(RP7,THIN!$F$32)</f>
        <v>14</v>
      </c>
    </row>
    <row r="20" spans="2:484" ht="12.95" customHeight="1" x14ac:dyDescent="0.2">
      <c r="C20" s="21" t="s">
        <v>917</v>
      </c>
      <c r="D20" s="21" t="s">
        <v>395</v>
      </c>
      <c r="E20" s="146">
        <f>IF(E7&gt;THIN!$F$8,growth!$E$27*(1-EXP(-E18/growth!$E$28))^growth!$E$29,E12)</f>
        <v>8.5544570688243271E-6</v>
      </c>
      <c r="F20" s="146">
        <f>growth!$E$27*(1-EXP(-F18/growth!$E$28))^growth!$E$29</f>
        <v>6.8008465527976102E-5</v>
      </c>
      <c r="G20" s="146">
        <f>growth!$E$27*(1-EXP(-G18/growth!$E$28))^growth!$E$29</f>
        <v>2.2809679712868013E-4</v>
      </c>
      <c r="H20" s="146">
        <f>growth!$E$27*(1-EXP(-H18/growth!$E$28))^growth!$E$29</f>
        <v>5.3730357085554029E-4</v>
      </c>
      <c r="I20" s="146">
        <f>growth!$E$27*(1-EXP(-I18/growth!$E$28))^growth!$E$29</f>
        <v>1.0428839694930018E-3</v>
      </c>
      <c r="J20" s="146">
        <f>growth!$E$27*(1-EXP(-J18/growth!$E$28))^growth!$E$29</f>
        <v>1.7908856308893263E-3</v>
      </c>
      <c r="K20" s="146">
        <f>growth!$E$27*(1-EXP(-K18/growth!$E$28))^growth!$E$29</f>
        <v>2.8261697184418129E-3</v>
      </c>
      <c r="L20" s="146">
        <f>growth!$E$27*(1-EXP(-L18/growth!$E$28))^growth!$E$29</f>
        <v>4.192431675266812E-3</v>
      </c>
      <c r="M20" s="146">
        <f>growth!$E$27*(1-EXP(-M18/growth!$E$28))^growth!$E$29</f>
        <v>5.9322216664580707E-3</v>
      </c>
      <c r="N20" s="146">
        <f>growth!$E$27*(1-EXP(-N18/growth!$E$28))^growth!$E$29</f>
        <v>8.0869647137792496E-3</v>
      </c>
      <c r="O20" s="146">
        <f>growth!$E$27*(1-EXP(-O18/growth!$E$28))^growth!$E$29</f>
        <v>1.0696980527076586E-2</v>
      </c>
      <c r="P20" s="146">
        <f>growth!$E$27*(1-EXP(-P18/growth!$E$28))^growth!$E$29</f>
        <v>1.3801503036642727E-2</v>
      </c>
      <c r="Q20" s="146">
        <f>growth!$E$27*(1-EXP(-Q18/growth!$E$28))^growth!$E$29</f>
        <v>1.7438699630704126E-2</v>
      </c>
      <c r="R20" s="146">
        <f>growth!$E$27*(1-EXP(-R18/growth!$E$28))^growth!$E$29</f>
        <v>2.1645690102150235E-2</v>
      </c>
      <c r="S20" s="146">
        <f>growth!$E$27*(1-EXP(-S18/growth!$E$28))^growth!$E$29</f>
        <v>2.6458565308565586E-2</v>
      </c>
      <c r="T20" s="146">
        <f>growth!$E$27*(1-EXP(-T18/growth!$E$28))^growth!$E$29</f>
        <v>3.1912405549575487E-2</v>
      </c>
      <c r="U20" s="146">
        <f>growth!$E$27*(1-EXP(-U18/growth!$E$28))^growth!$E$29</f>
        <v>3.8041298665456802E-2</v>
      </c>
      <c r="V20" s="146">
        <f>growth!$E$27*(1-EXP(-V18/growth!$E$28))^growth!$E$29</f>
        <v>4.4878357860917865E-2</v>
      </c>
      <c r="W20" s="146">
        <f>growth!$E$27*(1-EXP(-W18/growth!$E$28))^growth!$E$29</f>
        <v>5.2455739257894866E-2</v>
      </c>
      <c r="X20" s="146">
        <f>growth!$E$27*(1-EXP(-X18/growth!$E$28))^growth!$E$29</f>
        <v>6.080465918116422E-2</v>
      </c>
      <c r="Y20" s="146">
        <f>growth!$E$27*(1-EXP(-Y18/growth!$E$28))^growth!$E$29</f>
        <v>6.9955411180516527E-2</v>
      </c>
      <c r="Z20" s="146">
        <f>growth!$E$27*(1-EXP(-Z18/growth!$E$28))^growth!$E$29</f>
        <v>7.9937382793190237E-2</v>
      </c>
      <c r="AA20" s="146">
        <f>growth!$E$27*(1-EXP(-AA18/growth!$E$28))^growth!$E$29</f>
        <v>9.0779072050210241E-2</v>
      </c>
      <c r="AB20" s="146">
        <f>growth!$E$27*(1-EXP(-AB18/growth!$E$28))^growth!$E$29</f>
        <v>0.10250810373022921</v>
      </c>
      <c r="AC20" s="146">
        <f>growth!$E$27*(1-EXP(-AC18/growth!$E$28))^growth!$E$29</f>
        <v>0.1151512453644276</v>
      </c>
      <c r="AD20" s="146">
        <f>growth!$E$27*(1-EXP(-AD18/growth!$E$28))^growth!$E$29</f>
        <v>0.12873442299596394</v>
      </c>
      <c r="AE20" s="146">
        <f>growth!$E$27*(1-EXP(-AE18/growth!$E$28))^growth!$E$29</f>
        <v>0.14328273669744057</v>
      </c>
      <c r="AF20" s="146">
        <f>growth!$E$27*(1-EXP(-AF18/growth!$E$28))^growth!$E$29</f>
        <v>0.15882047584978901</v>
      </c>
      <c r="AG20" s="146">
        <f>growth!$E$27*(1-EXP(-AG18/growth!$E$28))^growth!$E$29</f>
        <v>0.17537113418593711</v>
      </c>
      <c r="AH20" s="146">
        <f>growth!$E$27*(1-EXP(-AH18/growth!$E$28))^growth!$E$29</f>
        <v>0.19295742460257786</v>
      </c>
      <c r="AI20" s="146">
        <f>growth!$E$27*(1-EXP(-AI18/growth!$E$28))^growth!$E$29</f>
        <v>0.21160129374331518</v>
      </c>
      <c r="AJ20" s="146">
        <f>growth!$E$27*(1-EXP(-AJ18/growth!$E$28))^growth!$E$29</f>
        <v>0.23132393635640697</v>
      </c>
      <c r="AK20" s="146">
        <f>growth!$E$27*(1-EXP(-AK18/growth!$E$28))^growth!$E$29</f>
        <v>0.25214580943030535</v>
      </c>
      <c r="AL20" s="146">
        <f>growth!$E$27*(1-EXP(-AL18/growth!$E$28))^growth!$E$29</f>
        <v>0.27408664611012157</v>
      </c>
      <c r="AM20" s="146">
        <f>growth!$E$27*(1-EXP(-AM18/growth!$E$28))^growth!$E$29</f>
        <v>0.29716546939812627</v>
      </c>
      <c r="AN20" s="146">
        <f>growth!$E$27*(1-EXP(-AN18/growth!$E$28))^growth!$E$29</f>
        <v>0.32140060564134304</v>
      </c>
      <c r="AO20" s="146">
        <f>growth!$E$27*(1-EXP(-AO18/growth!$E$28))^growth!$E$29</f>
        <v>0.34680969780924586</v>
      </c>
      <c r="AP20" s="146">
        <f>growth!$E$27*(1-EXP(-AP18/growth!$E$28))^growth!$E$29</f>
        <v>0.37340971856454569</v>
      </c>
      <c r="AQ20" s="146">
        <f>growth!$E$27*(1-EXP(-AQ18/growth!$E$28))^growth!$E$29</f>
        <v>0.40121698312999765</v>
      </c>
      <c r="AR20" s="146">
        <f>growth!$E$27*(1-EXP(-AR18/growth!$E$28))^growth!$E$29</f>
        <v>0.43024716195412716</v>
      </c>
      <c r="AS20" s="146">
        <f>growth!$E$27*(1-EXP(-AS18/growth!$E$28))^growth!$E$29</f>
        <v>0.46051529317873102</v>
      </c>
      <c r="AT20" s="146">
        <f>growth!$E$27*(1-EXP(-AT18/growth!$E$28))^growth!$E$29</f>
        <v>0.49203579491098115</v>
      </c>
      <c r="AU20" s="146">
        <f>growth!$E$27*(1-EXP(-AU18/growth!$E$28))^growth!$E$29</f>
        <v>0.52482247730289744</v>
      </c>
      <c r="AV20" s="146">
        <f>growth!$E$27*(1-EXP(-AV18/growth!$E$28))^growth!$E$29</f>
        <v>0.5588885544409441</v>
      </c>
      <c r="AW20" s="146">
        <f>growth!$E$27*(1-EXP(-AW18/growth!$E$28))^growth!$E$29</f>
        <v>0.59424665604846327</v>
      </c>
      <c r="AX20" s="146">
        <f>growth!$E$27*(1-EXP(-AX18/growth!$E$28))^growth!$E$29</f>
        <v>0.63090883900358596</v>
      </c>
      <c r="AY20" s="146">
        <f>growth!$E$27*(1-EXP(-AY18/growth!$E$28))^growth!$E$29</f>
        <v>0.66888659867529388</v>
      </c>
      <c r="AZ20" s="146">
        <f>growth!$E$27*(1-EXP(-AZ18/growth!$E$28))^growth!$E$29</f>
        <v>0.70819088008020181</v>
      </c>
      <c r="BA20" s="146">
        <f>growth!$E$27*(1-EXP(-BA18/growth!$E$28))^growth!$E$29</f>
        <v>0.74883208886263108</v>
      </c>
      <c r="BB20" s="146">
        <f>growth!$E$27*(1-EXP(-BB18/growth!$E$28))^growth!$E$29</f>
        <v>0.79082010210050457</v>
      </c>
      <c r="BC20" s="146">
        <f>growth!$E$27*(1-EXP(-BC18/growth!$E$28))^growth!$E$29</f>
        <v>0.83416427893956235</v>
      </c>
      <c r="BD20" s="146">
        <f>growth!$E$27*(1-EXP(-BD18/growth!$E$28))^growth!$E$29</f>
        <v>0.87887347105833891</v>
      </c>
      <c r="BE20" s="146">
        <f>growth!$E$27*(1-EXP(-BE18/growth!$E$28))^growth!$E$29</f>
        <v>0.92495603296635942</v>
      </c>
      <c r="BF20" s="146">
        <f>growth!$E$27*(1-EXP(-BF18/growth!$E$28))^growth!$E$29</f>
        <v>0.97241983213791106</v>
      </c>
      <c r="BG20" s="146">
        <f>growth!$E$27*(1-EXP(-BG18/growth!$E$28))^growth!$E$29</f>
        <v>1.0212722589837857</v>
      </c>
      <c r="BH20" s="146">
        <f>growth!$E$27*(1-EXP(-BH18/growth!$E$28))^growth!$E$29</f>
        <v>1.0715202366633054</v>
      </c>
      <c r="BI20" s="146">
        <f>growth!$E$27*(1-EXP(-BI18/growth!$E$28))^growth!$E$29</f>
        <v>1.1231702307389244</v>
      </c>
      <c r="BJ20" s="146">
        <f>growth!$E$27*(1-EXP(-BJ18/growth!$E$28))^growth!$E$29</f>
        <v>1.176228258675686</v>
      </c>
      <c r="BK20" s="146">
        <f>growth!$E$27*(1-EXP(-BK18/growth!$E$28))^growth!$E$29</f>
        <v>1.2306998991877718</v>
      </c>
      <c r="BL20" s="146">
        <f>growth!$E$27*(1-EXP(-BL18/growth!$E$28))^growth!$E$29</f>
        <v>1.2865903014343147</v>
      </c>
      <c r="BM20" s="146">
        <f>growth!$E$27*(1-EXP(-BM18/growth!$E$28))^growth!$E$29</f>
        <v>1.343904194066716</v>
      </c>
      <c r="BN20" s="146">
        <f>growth!$E$27*(1-EXP(-BN18/growth!$E$28))^growth!$E$29</f>
        <v>1.4026458941295432</v>
      </c>
      <c r="BO20" s="146">
        <f>growth!$E$27*(1-EXP(-BO18/growth!$E$28))^growth!$E$29</f>
        <v>1.4628193158171579</v>
      </c>
      <c r="BP20" s="146">
        <f>growth!$E$27*(1-EXP(-BP18/growth!$E$28))^growth!$E$29</f>
        <v>1.5244279790881745</v>
      </c>
      <c r="BQ20" s="146">
        <f>growth!$E$27*(1-EXP(-BQ18/growth!$E$28))^growth!$E$29</f>
        <v>1.587475018139777</v>
      </c>
      <c r="BR20" s="146">
        <f>growth!$E$27*(1-EXP(-BR18/growth!$E$28))^growth!$E$29</f>
        <v>1.6519631897439422</v>
      </c>
      <c r="BS20" s="146">
        <f>growth!$E$27*(1-EXP(-BS18/growth!$E$28))^growth!$E$29</f>
        <v>1.7178948814475761</v>
      </c>
      <c r="BT20" s="146">
        <f>growth!$E$27*(1-EXP(-BT18/growth!$E$28))^growth!$E$29</f>
        <v>1.7852721196385259</v>
      </c>
      <c r="BU20" s="146">
        <f>growth!$E$27*(1-EXP(-BU18/growth!$E$28))^growth!$E$29</f>
        <v>1.854096577479422</v>
      </c>
      <c r="BV20" s="146">
        <f>growth!$E$27*(1-EXP(-BV18/growth!$E$28))^growth!$E$29</f>
        <v>1.9243695827112854</v>
      </c>
      <c r="BW20" s="146">
        <f>growth!$E$27*(1-EXP(-BW18/growth!$E$28))^growth!$E$29</f>
        <v>1.9960921253287776</v>
      </c>
      <c r="BX20" s="146">
        <f>growth!$E$27*(1-EXP(-BX18/growth!$E$28))^growth!$E$29</f>
        <v>2.0692648651289542</v>
      </c>
      <c r="BY20" s="146">
        <f>growth!$E$27*(1-EXP(-BY18/growth!$E$28))^growth!$E$29</f>
        <v>2.1438881391354103</v>
      </c>
      <c r="BZ20" s="146">
        <f>growth!$E$27*(1-EXP(-BZ18/growth!$E$28))^growth!$E$29</f>
        <v>2.2199619688995957</v>
      </c>
      <c r="CA20" s="146">
        <f>growth!$E$27*(1-EXP(-CA18/growth!$E$28))^growth!$E$29</f>
        <v>2.2974860676810884</v>
      </c>
      <c r="CB20" s="146">
        <f>growth!$E$27*(1-EXP(-CB18/growth!$E$28))^growth!$E$29</f>
        <v>2.37645984750865</v>
      </c>
      <c r="CC20" s="146">
        <f>growth!$E$27*(1-EXP(-CC18/growth!$E$28))^growth!$E$29</f>
        <v>2.4568824261237392</v>
      </c>
      <c r="CD20" s="146">
        <f>growth!$E$27*(1-EXP(-CD18/growth!$E$28))^growth!$E$29</f>
        <v>2.5387526338082598</v>
      </c>
      <c r="CE20" s="146">
        <f>growth!$E$27*(1-EXP(-CE18/growth!$E$28))^growth!$E$29</f>
        <v>2.6220690200981962</v>
      </c>
      <c r="CF20" s="146">
        <f>growth!$E$27*(1-EXP(-CF18/growth!$E$28))^growth!$E$29</f>
        <v>2.7068298603848753</v>
      </c>
      <c r="CG20" s="146">
        <f>growth!$E$27*(1-EXP(-CG18/growth!$E$28))^growth!$E$29</f>
        <v>2.7930331624053983</v>
      </c>
      <c r="CH20" s="146">
        <f>growth!$E$27*(1-EXP(-CH18/growth!$E$28))^growth!$E$29</f>
        <v>2.8806766726240038</v>
      </c>
      <c r="CI20" s="146">
        <f>growth!$E$27*(1-EXP(-CI18/growth!$E$28))^growth!$E$29</f>
        <v>2.9697578825058577</v>
      </c>
      <c r="CJ20" s="146">
        <f>growth!$E$27*(1-EXP(-CJ18/growth!$E$28))^growth!$E$29</f>
        <v>3.0602740346849182</v>
      </c>
      <c r="CK20" s="146">
        <f>growth!$E$27*(1-EXP(-CK18/growth!$E$28))^growth!$E$29</f>
        <v>3.1522221290273933</v>
      </c>
      <c r="CL20" s="146">
        <f>growth!$E$27*(1-EXP(-CL18/growth!$E$28))^growth!$E$29</f>
        <v>3.245598928592405</v>
      </c>
      <c r="CM20" s="146">
        <f>growth!$E$27*(1-EXP(-CM18/growth!$E$28))^growth!$E$29</f>
        <v>3.3404009654912583</v>
      </c>
      <c r="CN20" s="146">
        <f>growth!$E$27*(1-EXP(-CN18/growth!$E$28))^growth!$E$29</f>
        <v>3.4366245466469594</v>
      </c>
      <c r="CO20" s="146">
        <f>growth!$E$27*(1-EXP(-CO18/growth!$E$28))^growth!$E$29</f>
        <v>3.5342657594553346</v>
      </c>
      <c r="CP20" s="146">
        <f>growth!$E$27*(1-EXP(-CP18/growth!$E$28))^growth!$E$29</f>
        <v>3.6333204773492791</v>
      </c>
      <c r="CQ20" s="146">
        <f>growth!$E$27*(1-EXP(-CQ18/growth!$E$28))^growth!$E$29</f>
        <v>3.7337843652675535</v>
      </c>
      <c r="CR20" s="146">
        <f>growth!$E$27*(1-EXP(-CR18/growth!$E$28))^growth!$E$29</f>
        <v>3.8356528850295617</v>
      </c>
      <c r="CS20" s="146">
        <f>growth!$E$27*(1-EXP(-CS18/growth!$E$28))^growth!$E$29</f>
        <v>3.9389213006174426</v>
      </c>
      <c r="CT20" s="146">
        <f>growth!$E$27*(1-EXP(-CT18/growth!$E$28))^growth!$E$29</f>
        <v>4.0435846833669586</v>
      </c>
      <c r="CU20" s="146">
        <f>growth!$E$27*(1-EXP(-CU18/growth!$E$28))^growth!$E$29</f>
        <v>4.149637917068473</v>
      </c>
      <c r="CV20" s="146">
        <f>growth!$E$27*(1-EXP(-CV18/growth!$E$28))^growth!$E$29</f>
        <v>4.2570757029793187</v>
      </c>
      <c r="CW20" s="146">
        <f>growth!$E$27*(1-EXP(-CW18/growth!$E$28))^growth!$E$29</f>
        <v>4.3658925647490125</v>
      </c>
      <c r="CX20" s="146">
        <f>growth!$E$27*(1-EXP(-CX18/growth!$E$28))^growth!$E$29</f>
        <v>4.4760828532584638</v>
      </c>
      <c r="CY20" s="146">
        <f>growth!$E$27*(1-EXP(-CY18/growth!$E$28))^growth!$E$29</f>
        <v>4.5876407513745976</v>
      </c>
      <c r="CZ20" s="146">
        <f>growth!$E$27*(1-EXP(-CZ18/growth!$E$28))^growth!$E$29</f>
        <v>4.7005602786215333</v>
      </c>
      <c r="DA20" s="146">
        <f>growth!$E$27*(1-EXP(-DA18/growth!$E$28))^growth!$E$29</f>
        <v>4.8148352957696918</v>
      </c>
      <c r="DB20" s="146">
        <f>growth!$E$27*(1-EXP(-DB18/growth!$E$28))^growth!$E$29</f>
        <v>4.9304595093439723</v>
      </c>
      <c r="DC20" s="146">
        <f>growth!$E$27*(1-EXP(-DC18/growth!$E$28))^growth!$E$29</f>
        <v>5.0474264760522605</v>
      </c>
      <c r="DD20" s="146">
        <f>growth!$E$27*(1-EXP(-DD18/growth!$E$28))^growth!$E$29</f>
        <v>5.1657296071354564</v>
      </c>
      <c r="DE20" s="146">
        <f>growth!$E$27*(1-EXP(-DE18/growth!$E$28))^growth!$E$29</f>
        <v>5.2853621726401947</v>
      </c>
      <c r="DF20" s="146">
        <f>growth!$E$27*(1-EXP(-DF18/growth!$E$28))^growth!$E$29</f>
        <v>5.4063173056154223</v>
      </c>
      <c r="DG20" s="146">
        <f>growth!$E$27*(1-EXP(-DG18/growth!$E$28))^growth!$E$29</f>
        <v>5.5285880062340107</v>
      </c>
      <c r="DH20" s="146">
        <f>growth!$E$27*(1-EXP(-DH18/growth!$E$28))^growth!$E$29</f>
        <v>5.6521671458405169</v>
      </c>
      <c r="DI20" s="146">
        <f>growth!$E$27*(1-EXP(-DI18/growth!$E$28))^growth!$E$29</f>
        <v>5.7770474709261794</v>
      </c>
      <c r="DJ20" s="146">
        <f>growth!$E$27*(1-EXP(-DJ18/growth!$E$28))^growth!$E$29</f>
        <v>5.9032216070323038</v>
      </c>
      <c r="DK20" s="146">
        <f>growth!$E$27*(1-EXP(-DK18/growth!$E$28))^growth!$E$29</f>
        <v>6.0306820625831072</v>
      </c>
      <c r="DL20" s="146">
        <f>growth!$E$27*(1-EXP(-DL18/growth!$E$28))^growth!$E$29</f>
        <v>6.1594212326490734</v>
      </c>
      <c r="DM20" s="146">
        <f>growth!$E$27*(1-EXP(-DM18/growth!$E$28))^growth!$E$29</f>
        <v>6.2894314026418838</v>
      </c>
      <c r="DN20" s="146">
        <f>growth!$E$27*(1-EXP(-DN18/growth!$E$28))^growth!$E$29</f>
        <v>6.4207047519420053</v>
      </c>
      <c r="DO20" s="146">
        <f>growth!$E$27*(1-EXP(-DO18/growth!$E$28))^growth!$E$29</f>
        <v>6.5532333574598631</v>
      </c>
      <c r="DP20" s="146">
        <f>growth!$E$27*(1-EXP(-DP18/growth!$E$28))^growth!$E$29</f>
        <v>6.6870091971317445</v>
      </c>
      <c r="DQ20" s="146">
        <f>growth!$E$27*(1-EXP(-DQ18/growth!$E$28))^growth!$E$29</f>
        <v>6.8220241533513359</v>
      </c>
      <c r="DR20" s="146">
        <f>growth!$E$27*(1-EXP(-DR18/growth!$E$28))^growth!$E$29</f>
        <v>6.9582700163378606</v>
      </c>
      <c r="DS20" s="146">
        <f>growth!$E$27*(1-EXP(-DS18/growth!$E$28))^growth!$E$29</f>
        <v>7.0957384874419063</v>
      </c>
      <c r="DT20" s="146">
        <f>growth!$E$27*(1-EXP(-DT18/growth!$E$28))^growth!$E$29</f>
        <v>7.2344211823897746</v>
      </c>
      <c r="DU20" s="146">
        <f>growth!$E$27*(1-EXP(-DU18/growth!$E$28))^growth!$E$29</f>
        <v>7.3743096344673678</v>
      </c>
      <c r="DV20" s="146">
        <f>growth!$E$27*(1-EXP(-DV18/growth!$E$28))^growth!$E$29</f>
        <v>7.5153952976444769</v>
      </c>
      <c r="DW20" s="146">
        <f>growth!$E$27*(1-EXP(-DW18/growth!$E$28))^growth!$E$29</f>
        <v>7.6576695496405094</v>
      </c>
      <c r="DX20" s="146">
        <f>growth!$E$27*(1-EXP(-DX18/growth!$E$28))^growth!$E$29</f>
        <v>7.8011236949324054</v>
      </c>
      <c r="DY20" s="146">
        <f>growth!$E$27*(1-EXP(-DY18/growth!$E$28))^growth!$E$29</f>
        <v>7.9457489677057547</v>
      </c>
      <c r="DZ20" s="146">
        <f>growth!$E$27*(1-EXP(-DZ18/growth!$E$28))^growth!$E$29</f>
        <v>8.0915365347499435</v>
      </c>
      <c r="EA20" s="146">
        <f>growth!$E$27*(1-EXP(-EA18/growth!$E$28))^growth!$E$29</f>
        <v>8.2384774982981739</v>
      </c>
      <c r="EB20" s="146">
        <f>growth!$E$27*(1-EXP(-EB18/growth!$E$28))^growth!$E$29</f>
        <v>8.3865628988132812</v>
      </c>
      <c r="EC20" s="146">
        <f>growth!$E$27*(1-EXP(-EC18/growth!$E$28))^growth!$E$29</f>
        <v>8.535783717720145</v>
      </c>
      <c r="ED20" s="146">
        <f>growth!$E$27*(1-EXP(-ED18/growth!$E$28))^growth!$E$29</f>
        <v>8.6861308800854697</v>
      </c>
      <c r="EE20" s="146">
        <f>growth!$E$27*(1-EXP(-EE18/growth!$E$28))^growth!$E$29</f>
        <v>8.8375952572459102</v>
      </c>
      <c r="EF20" s="146">
        <f>growth!$E$27*(1-EXP(-EF18/growth!$E$28))^growth!$E$29</f>
        <v>8.9901676693851371</v>
      </c>
      <c r="EG20" s="146">
        <f>growth!$E$27*(1-EXP(-EG18/growth!$E$28))^growth!$E$29</f>
        <v>9.1438388880608628</v>
      </c>
      <c r="EH20" s="146">
        <f>growth!$E$27*(1-EXP(-EH18/growth!$E$28))^growth!$E$29</f>
        <v>9.2985996386824148</v>
      </c>
      <c r="EI20" s="146">
        <f>growth!$E$27*(1-EXP(-EI18/growth!$E$28))^growth!$E$29</f>
        <v>9.4544406029397763</v>
      </c>
      <c r="EJ20" s="146">
        <f>growth!$E$27*(1-EXP(-EJ18/growth!$E$28))^growth!$E$29</f>
        <v>9.6113524211846979</v>
      </c>
      <c r="EK20" s="146">
        <f>growth!$E$27*(1-EXP(-EK18/growth!$E$28))^growth!$E$29</f>
        <v>9.7693256947648877</v>
      </c>
      <c r="EL20" s="146">
        <f>growth!$E$27*(1-EXP(-EL18/growth!$E$28))^growth!$E$29</f>
        <v>9.9283509883116974</v>
      </c>
      <c r="EM20" s="146">
        <f>growth!$E$27*(1-EXP(-EM18/growth!$E$28))^growth!$E$29</f>
        <v>10.088418831982281</v>
      </c>
      <c r="EN20" s="146">
        <f>growth!$E$27*(1-EXP(-EN18/growth!$E$28))^growth!$E$29</f>
        <v>10.249519723656872</v>
      </c>
      <c r="EO20" s="146">
        <f>growth!$E$27*(1-EXP(-EO18/growth!$E$28))^growth!$E$29</f>
        <v>10.41164413109183</v>
      </c>
      <c r="EP20" s="146">
        <f>growth!$E$27*(1-EXP(-EP18/growth!$E$28))^growth!$E$29</f>
        <v>10.574782494029222</v>
      </c>
      <c r="EQ20" s="146">
        <f>growth!$E$27*(1-EXP(-EQ18/growth!$E$28))^growth!$E$29</f>
        <v>10.73892522626363</v>
      </c>
      <c r="ER20" s="146">
        <f>growth!$E$27*(1-EXP(-ER18/growth!$E$28))^growth!$E$29</f>
        <v>10.904062717666822</v>
      </c>
      <c r="ES20" s="146">
        <f>growth!$E$27*(1-EXP(-ES18/growth!$E$28))^growth!$E$29</f>
        <v>11.070185336170969</v>
      </c>
      <c r="ET20" s="146">
        <f>growth!$E$27*(1-EXP(-ET18/growth!$E$28))^growth!$E$29</f>
        <v>11.237283429711121</v>
      </c>
      <c r="EU20" s="146">
        <f>growth!$E$27*(1-EXP(-EU18/growth!$E$28))^growth!$E$29</f>
        <v>11.40534732812749</v>
      </c>
      <c r="EV20" s="146">
        <f>growth!$E$27*(1-EXP(-EV18/growth!$E$28))^growth!$E$29</f>
        <v>11.574367345028266</v>
      </c>
      <c r="EW20" s="146">
        <f>growth!$E$27*(1-EXP(-EW18/growth!$E$28))^growth!$E$29</f>
        <v>11.744333779613566</v>
      </c>
      <c r="EX20" s="146">
        <f>growth!$E$27*(1-EXP(-EX18/growth!$E$28))^growth!$E$29</f>
        <v>11.915236918461199</v>
      </c>
      <c r="EY20" s="146">
        <f>growth!$E$27*(1-EXP(-EY18/growth!$E$28))^growth!$E$29</f>
        <v>12.08706703727467</v>
      </c>
      <c r="EZ20" s="146">
        <f>growth!$E$27*(1-EXP(-EZ18/growth!$E$28))^growth!$E$29</f>
        <v>12.259814402594316</v>
      </c>
      <c r="FA20" s="146">
        <f>growth!$E$27*(1-EXP(-FA18/growth!$E$28))^growth!$E$29</f>
        <v>12.43346927347193</v>
      </c>
      <c r="FB20" s="146">
        <f>growth!$E$27*(1-EXP(-FB18/growth!$E$28))^growth!$E$29</f>
        <v>12.608021903109561</v>
      </c>
      <c r="FC20" s="146">
        <f>growth!$E$27*(1-EXP(-FC18/growth!$E$28))^growth!$E$29</f>
        <v>12.783462540463075</v>
      </c>
      <c r="FD20" s="146">
        <f>growth!$E$27*(1-EXP(-FD18/growth!$E$28))^growth!$E$29</f>
        <v>12.959781431811036</v>
      </c>
      <c r="FE20" s="146">
        <f>growth!$E$27*(1-EXP(-FE18/growth!$E$28))^growth!$E$29</f>
        <v>13.136968822289402</v>
      </c>
      <c r="FF20" s="146">
        <f>growth!$E$27*(1-EXP(-FF18/growth!$E$28))^growth!$E$29</f>
        <v>13.315014957392767</v>
      </c>
      <c r="FG20" s="146">
        <f>growth!$E$27*(1-EXP(-FG18/growth!$E$28))^growth!$E$29</f>
        <v>13.493910084442467</v>
      </c>
      <c r="FH20" s="146">
        <f>growth!$E$27*(1-EXP(-FH18/growth!$E$28))^growth!$E$29</f>
        <v>13.673644454022279</v>
      </c>
      <c r="FI20" s="146">
        <f>growth!$E$27*(1-EXP(-FI18/growth!$E$28))^growth!$E$29</f>
        <v>13.854208321382108</v>
      </c>
      <c r="FJ20" s="146">
        <f>growth!$E$27*(1-EXP(-FJ18/growth!$E$28))^growth!$E$29</f>
        <v>14.035591947810332</v>
      </c>
      <c r="FK20" s="146">
        <f>growth!$E$27*(1-EXP(-FK18/growth!$E$28))^growth!$E$29</f>
        <v>14.217785601975118</v>
      </c>
      <c r="FL20" s="146">
        <f>growth!$E$27*(1-EXP(-FL18/growth!$E$28))^growth!$E$29</f>
        <v>14.400779561235423</v>
      </c>
      <c r="FM20" s="146">
        <f>growth!$E$27*(1-EXP(-FM18/growth!$E$28))^growth!$E$29</f>
        <v>14.584564112922065</v>
      </c>
      <c r="FN20" s="146">
        <f>growth!$E$27*(1-EXP(-FN18/growth!$E$28))^growth!$E$29</f>
        <v>14.769129555589402</v>
      </c>
      <c r="FO20" s="146">
        <f>growth!$E$27*(1-EXP(-FO18/growth!$E$28))^growth!$E$29</f>
        <v>14.954466200238011</v>
      </c>
      <c r="FP20" s="146">
        <f>growth!$E$27*(1-EXP(-FP18/growth!$E$28))^growth!$E$29</f>
        <v>15.140564371508987</v>
      </c>
      <c r="FQ20" s="146">
        <f>growth!$E$27*(1-EXP(-FQ18/growth!$E$28))^growth!$E$29</f>
        <v>15.3274144088503</v>
      </c>
      <c r="FR20" s="146">
        <f>growth!$E$27*(1-EXP(-FR18/growth!$E$28))^growth!$E$29</f>
        <v>15.515006667655552</v>
      </c>
      <c r="FS20" s="146">
        <f>growth!$E$27*(1-EXP(-FS18/growth!$E$28))^growth!$E$29</f>
        <v>15.70333152037577</v>
      </c>
      <c r="FT20" s="146">
        <f>growth!$E$27*(1-EXP(-FT18/growth!$E$28))^growth!$E$29</f>
        <v>15.89237935760452</v>
      </c>
      <c r="FU20" s="146">
        <f>growth!$E$27*(1-EXP(-FU18/growth!$E$28))^growth!$E$29</f>
        <v>16.08214058913693</v>
      </c>
      <c r="FV20" s="146">
        <f>growth!$E$27*(1-EXP(-FV18/growth!$E$28))^growth!$E$29</f>
        <v>16.272605645003011</v>
      </c>
      <c r="FW20" s="146">
        <f>growth!$E$27*(1-EXP(-FW18/growth!$E$28))^growth!$E$29</f>
        <v>16.463764976475609</v>
      </c>
      <c r="FX20" s="146">
        <f>growth!$E$27*(1-EXP(-FX18/growth!$E$28))^growth!$E$29</f>
        <v>16.655609057053578</v>
      </c>
      <c r="FY20" s="146">
        <f>growth!$E$27*(1-EXP(-FY18/growth!$E$28))^growth!$E$29</f>
        <v>16.84812838342053</v>
      </c>
      <c r="FZ20" s="146">
        <f>growth!$E$27*(1-EXP(-FZ18/growth!$E$28))^growth!$E$29</f>
        <v>17.041313476379504</v>
      </c>
      <c r="GA20" s="146">
        <f>growth!$E$27*(1-EXP(-GA18/growth!$E$28))^growth!$E$29</f>
        <v>17.235154881763957</v>
      </c>
      <c r="GB20" s="146">
        <f>growth!$E$27*(1-EXP(-GB18/growth!$E$28))^growth!$E$29</f>
        <v>17.4296431713258</v>
      </c>
      <c r="GC20" s="146">
        <f>growth!$E$27*(1-EXP(-GC18/growth!$E$28))^growth!$E$29</f>
        <v>17.62476894360028</v>
      </c>
      <c r="GD20" s="146">
        <f>growth!$E$27*(1-EXP(-GD18/growth!$E$28))^growth!$E$29</f>
        <v>17.820522824748689</v>
      </c>
      <c r="GE20" s="146">
        <f>growth!$E$27*(1-EXP(-GE18/growth!$E$28))^growth!$E$29</f>
        <v>18.016895469378877</v>
      </c>
      <c r="GF20" s="146">
        <f>growth!$E$27*(1-EXP(-GF18/growth!$E$28))^growth!$E$29</f>
        <v>18.213877561344159</v>
      </c>
      <c r="GG20" s="146">
        <f>growth!$E$27*(1-EXP(-GG18/growth!$E$28))^growth!$E$29</f>
        <v>18.411459814520917</v>
      </c>
      <c r="GH20" s="146">
        <f>growth!$E$27*(1-EXP(-GH18/growth!$E$28))^growth!$E$29</f>
        <v>18.609632973565351</v>
      </c>
      <c r="GI20" s="146">
        <f>growth!$E$27*(1-EXP(-GI18/growth!$E$28))^growth!$E$29</f>
        <v>18.808387814649443</v>
      </c>
      <c r="GJ20" s="146">
        <f>growth!$E$27*(1-EXP(-GJ18/growth!$E$28))^growth!$E$29</f>
        <v>19.007715146176967</v>
      </c>
      <c r="GK20" s="146">
        <f>growth!$E$27*(1-EXP(-GK18/growth!$E$28))^growth!$E$29</f>
        <v>19.207605809479496</v>
      </c>
      <c r="GL20" s="146">
        <f>growth!$E$27*(1-EXP(-GL18/growth!$E$28))^growth!$E$29</f>
        <v>19.40805067949292</v>
      </c>
      <c r="GM20" s="146">
        <f>growth!$E$27*(1-EXP(-GM18/growth!$E$28))^growth!$E$29</f>
        <v>19.609040665414746</v>
      </c>
      <c r="GN20" s="146">
        <f>growth!$E$27*(1-EXP(-GN18/growth!$E$28))^growth!$E$29</f>
        <v>19.810566711342741</v>
      </c>
      <c r="GO20" s="146">
        <f>growth!$E$27*(1-EXP(-GO18/growth!$E$28))^growth!$E$29</f>
        <v>20.012619796894764</v>
      </c>
      <c r="GP20" s="146">
        <f>growth!$E$27*(1-EXP(-GP18/growth!$E$28))^growth!$E$29</f>
        <v>20.215190937810778</v>
      </c>
      <c r="GQ20" s="146">
        <f>growth!$E$27*(1-EXP(-GQ18/growth!$E$28))^growth!$E$29</f>
        <v>20.418271186536586</v>
      </c>
      <c r="GR20" s="146">
        <f>growth!$E$27*(1-EXP(-GR18/growth!$E$28))^growth!$E$29</f>
        <v>20.621851632790491</v>
      </c>
      <c r="GS20" s="146">
        <f>growth!$E$27*(1-EXP(-GS18/growth!$E$28))^growth!$E$29</f>
        <v>20.825923404112231</v>
      </c>
      <c r="GT20" s="146">
        <f>growth!$E$27*(1-EXP(-GT18/growth!$E$28))^growth!$E$29</f>
        <v>21.030477666395434</v>
      </c>
      <c r="GU20" s="146">
        <f>growth!$E$27*(1-EXP(-GU18/growth!$E$28))^growth!$E$29</f>
        <v>21.235505624403107</v>
      </c>
      <c r="GV20" s="146">
        <f>growth!$E$27*(1-EXP(-GV18/growth!$E$28))^growth!$E$29</f>
        <v>21.440998522266952</v>
      </c>
      <c r="GW20" s="146">
        <f>growth!$E$27*(1-EXP(-GW18/growth!$E$28))^growth!$E$29</f>
        <v>21.646947643970702</v>
      </c>
      <c r="GX20" s="146">
        <f>growth!$E$27*(1-EXP(-GX18/growth!$E$28))^growth!$E$29</f>
        <v>21.853344313817516</v>
      </c>
      <c r="GY20" s="146">
        <f>growth!$E$27*(1-EXP(-GY18/growth!$E$28))^growth!$E$29</f>
        <v>22.060179896882083</v>
      </c>
      <c r="GZ20" s="146">
        <f>growth!$E$27*(1-EXP(-GZ18/growth!$E$28))^growth!$E$29</f>
        <v>22.267445799447479</v>
      </c>
      <c r="HA20" s="146">
        <f>growth!$E$27*(1-EXP(-HA18/growth!$E$28))^growth!$E$29</f>
        <v>22.475133469427057</v>
      </c>
      <c r="HB20" s="146">
        <f>growth!$E$27*(1-EXP(-HB18/growth!$E$28))^growth!$E$29</f>
        <v>22.68323439677188</v>
      </c>
      <c r="HC20" s="146">
        <f>growth!$E$27*(1-EXP(-HC18/growth!$E$28))^growth!$E$29</f>
        <v>22.891740113863492</v>
      </c>
      <c r="HD20" s="146">
        <f>growth!$E$27*(1-EXP(-HD18/growth!$E$28))^growth!$E$29</f>
        <v>23.100642195892867</v>
      </c>
      <c r="HE20" s="146">
        <f>growth!$E$27*(1-EXP(-HE18/growth!$E$28))^growth!$E$29</f>
        <v>23.309932261225381</v>
      </c>
      <c r="HF20" s="146">
        <f>growth!$E$27*(1-EXP(-HF18/growth!$E$28))^growth!$E$29</f>
        <v>23.519601971752081</v>
      </c>
      <c r="HG20" s="146">
        <f>growth!$E$27*(1-EXP(-HG18/growth!$E$28))^growth!$E$29</f>
        <v>23.729643033227898</v>
      </c>
      <c r="HH20" s="146">
        <f>growth!$E$27*(1-EXP(-HH18/growth!$E$28))^growth!$E$29</f>
        <v>23.940047195596488</v>
      </c>
      <c r="HI20" s="146">
        <f>growth!$E$27*(1-EXP(-HI18/growth!$E$28))^growth!$E$29</f>
        <v>24.150806253302314</v>
      </c>
      <c r="HJ20" s="146">
        <f>growth!$E$27*(1-EXP(-HJ18/growth!$E$28))^growth!$E$29</f>
        <v>24.361912045590181</v>
      </c>
      <c r="HK20" s="146">
        <f>growth!$E$27*(1-EXP(-HK18/growth!$E$28))^growth!$E$29</f>
        <v>24.573356456792311</v>
      </c>
      <c r="HL20" s="146">
        <f>growth!$E$27*(1-EXP(-HL18/growth!$E$28))^growth!$E$29</f>
        <v>24.785131416603353</v>
      </c>
      <c r="HM20" s="146">
        <f>growth!$E$27*(1-EXP(-HM18/growth!$E$28))^growth!$E$29</f>
        <v>24.997228900343327</v>
      </c>
      <c r="HN20" s="146">
        <f>growth!$E$27*(1-EXP(-HN18/growth!$E$28))^growth!$E$29</f>
        <v>25.209640929209105</v>
      </c>
      <c r="HO20" s="146">
        <f>growth!$E$27*(1-EXP(-HO18/growth!$E$28))^growth!$E$29</f>
        <v>25.4223595705142</v>
      </c>
      <c r="HP20" s="146">
        <f>growth!$E$27*(1-EXP(-HP18/growth!$E$28))^growth!$E$29</f>
        <v>25.635376937917517</v>
      </c>
      <c r="HQ20" s="146">
        <f>growth!$E$27*(1-EXP(-HQ18/growth!$E$28))^growth!$E$29</f>
        <v>25.848685191640854</v>
      </c>
      <c r="HR20" s="146">
        <f>growth!$E$27*(1-EXP(-HR18/growth!$E$28))^growth!$E$29</f>
        <v>26.062276538675707</v>
      </c>
      <c r="HS20" s="146">
        <f>growth!$E$27*(1-EXP(-HS18/growth!$E$28))^growth!$E$29</f>
        <v>26.276143232979578</v>
      </c>
      <c r="HT20" s="146">
        <f>growth!$E$27*(1-EXP(-HT18/growth!$E$28))^growth!$E$29</f>
        <v>26.490277575661562</v>
      </c>
      <c r="HU20" s="146">
        <f>growth!$E$27*(1-EXP(-HU18/growth!$E$28))^growth!$E$29</f>
        <v>26.704671915157995</v>
      </c>
      <c r="HV20" s="146">
        <f>growth!$E$27*(1-EXP(-HV18/growth!$E$28))^growth!$E$29</f>
        <v>26.919318647398036</v>
      </c>
      <c r="HW20" s="146">
        <f>growth!$E$27*(1-EXP(-HW18/growth!$E$28))^growth!$E$29</f>
        <v>27.134210215959346</v>
      </c>
      <c r="HX20" s="146">
        <f>growth!$E$27*(1-EXP(-HX18/growth!$E$28))^growth!$E$29</f>
        <v>27.349339112214277</v>
      </c>
      <c r="HY20" s="146">
        <f>growth!$E$27*(1-EXP(-HY18/growth!$E$28))^growth!$E$29</f>
        <v>27.564697875466507</v>
      </c>
      <c r="HZ20" s="146">
        <f>growth!$E$27*(1-EXP(-HZ18/growth!$E$28))^growth!$E$29</f>
        <v>27.780279093078605</v>
      </c>
      <c r="IA20" s="146">
        <f>growth!$E$27*(1-EXP(-IA18/growth!$E$28))^growth!$E$29</f>
        <v>27.996075400590268</v>
      </c>
      <c r="IB20" s="146">
        <f>growth!$E$27*(1-EXP(-IB18/growth!$E$28))^growth!$E$29</f>
        <v>28.212079481827988</v>
      </c>
      <c r="IC20" s="146">
        <f>growth!$E$27*(1-EXP(-IC18/growth!$E$28))^growth!$E$29</f>
        <v>28.428284069005858</v>
      </c>
      <c r="ID20" s="146">
        <f>growth!$E$27*(1-EXP(-ID18/growth!$E$28))^growth!$E$29</f>
        <v>28.644681942817769</v>
      </c>
      <c r="IE20" s="146">
        <f>growth!$E$27*(1-EXP(-IE18/growth!$E$28))^growth!$E$29</f>
        <v>28.861265932521501</v>
      </c>
      <c r="IF20" s="146">
        <f>growth!$E$27*(1-EXP(-IF18/growth!$E$28))^growth!$E$29</f>
        <v>29.078028916014389</v>
      </c>
      <c r="IG20" s="146">
        <f>growth!$E$27*(1-EXP(-IG18/growth!$E$28))^growth!$E$29</f>
        <v>29.294963819901177</v>
      </c>
      <c r="IH20" s="146">
        <f>growth!$E$27*(1-EXP(-IH18/growth!$E$28))^growth!$E$29</f>
        <v>29.512063619553807</v>
      </c>
      <c r="II20" s="146">
        <f>growth!$E$27*(1-EXP(-II18/growth!$E$28))^growth!$E$29</f>
        <v>29.729321339163842</v>
      </c>
      <c r="IJ20" s="146">
        <f>growth!$E$27*(1-EXP(-IJ18/growth!$E$28))^growth!$E$29</f>
        <v>29.946730051786854</v>
      </c>
      <c r="IK20" s="146">
        <f>growth!$E$27*(1-EXP(-IK18/growth!$E$28))^growth!$E$29</f>
        <v>30.164282879380085</v>
      </c>
      <c r="IL20" s="146">
        <f>growth!$E$27*(1-EXP(-IL18/growth!$E$28))^growth!$E$29</f>
        <v>30.381972992832342</v>
      </c>
      <c r="IM20" s="146">
        <f>growth!$E$27*(1-EXP(-IM18/growth!$E$28))^growth!$E$29</f>
        <v>30.599793611987074</v>
      </c>
      <c r="IN20" s="146">
        <f>growth!$E$27*(1-EXP(-IN18/growth!$E$28))^growth!$E$29</f>
        <v>30.817738005658576</v>
      </c>
      <c r="IO20" s="146">
        <f>growth!$E$27*(1-EXP(-IO18/growth!$E$28))^growth!$E$29</f>
        <v>31.035799491641296</v>
      </c>
      <c r="IP20" s="146">
        <f>growth!$E$27*(1-EXP(-IP18/growth!$E$28))^growth!$E$29</f>
        <v>31.253971436712572</v>
      </c>
      <c r="IQ20" s="146">
        <f>growth!$E$27*(1-EXP(-IQ18/growth!$E$28))^growth!$E$29</f>
        <v>31.472247256628854</v>
      </c>
      <c r="IR20" s="146">
        <f>growth!$E$27*(1-EXP(-IR18/growth!$E$28))^growth!$E$29</f>
        <v>31.69062041611576</v>
      </c>
      <c r="IS20" s="146">
        <f>growth!$E$27*(1-EXP(-IS18/growth!$E$28))^growth!$E$29</f>
        <v>31.909084428851621</v>
      </c>
      <c r="IT20" s="146">
        <f>growth!$E$27*(1-EXP(-IT18/growth!$E$28))^growth!$E$29</f>
        <v>32.127632857445185</v>
      </c>
      <c r="IU20" s="146">
        <f>growth!$E$27*(1-EXP(-IU18/growth!$E$28))^growth!$E$29</f>
        <v>32.346259313407394</v>
      </c>
      <c r="IV20" s="146">
        <f>growth!$E$27*(1-EXP(-IV18/growth!$E$28))^growth!$E$29</f>
        <v>32.564957457117195</v>
      </c>
      <c r="IW20" s="146">
        <f>growth!$E$27*(1-EXP(-IW18/growth!$E$28))^growth!$E$29</f>
        <v>32.78372099778182</v>
      </c>
      <c r="IX20" s="146">
        <f>growth!$E$27*(1-EXP(-IX18/growth!$E$28))^growth!$E$29</f>
        <v>33.002543693391466</v>
      </c>
      <c r="IY20" s="146">
        <f>growth!$E$27*(1-EXP(-IY18/growth!$E$28))^growth!$E$29</f>
        <v>33.221419350668526</v>
      </c>
      <c r="IZ20" s="146">
        <f>growth!$E$27*(1-EXP(-IZ18/growth!$E$28))^growth!$E$29</f>
        <v>33.440341825011586</v>
      </c>
      <c r="JA20" s="146">
        <f>growth!$E$27*(1-EXP(-JA18/growth!$E$28))^growth!$E$29</f>
        <v>33.65930502043426</v>
      </c>
      <c r="JB20" s="146">
        <f>growth!$E$27*(1-EXP(-JB18/growth!$E$28))^growth!$E$29</f>
        <v>33.878302889498748</v>
      </c>
      <c r="JC20" s="146">
        <f>growth!$E$27*(1-EXP(-JC18/growth!$E$28))^growth!$E$29</f>
        <v>34.097329433244759</v>
      </c>
      <c r="JD20" s="146">
        <f>growth!$E$27*(1-EXP(-JD18/growth!$E$28))^growth!$E$29</f>
        <v>34.316378701113486</v>
      </c>
      <c r="JE20" s="146">
        <f>growth!$E$27*(1-EXP(-JE18/growth!$E$28))^growth!$E$29</f>
        <v>34.535444790866663</v>
      </c>
      <c r="JF20" s="146">
        <f>growth!$E$27*(1-EXP(-JF18/growth!$E$28))^growth!$E$29</f>
        <v>34.754521848501462</v>
      </c>
      <c r="JG20" s="146">
        <f>growth!$E$27*(1-EXP(-JG18/growth!$E$28))^growth!$E$29</f>
        <v>34.973604068160284</v>
      </c>
      <c r="JH20" s="146">
        <f>growth!$E$27*(1-EXP(-JH18/growth!$E$28))^growth!$E$29</f>
        <v>35.192685692036868</v>
      </c>
      <c r="JI20" s="146">
        <f>growth!$E$27*(1-EXP(-JI18/growth!$E$28))^growth!$E$29</f>
        <v>35.41176101027753</v>
      </c>
      <c r="JJ20" s="146">
        <f>growth!$E$27*(1-EXP(-JJ18/growth!$E$28))^growth!$E$29</f>
        <v>35.630824360878535</v>
      </c>
      <c r="JK20" s="146">
        <f>growth!$E$27*(1-EXP(-JK18/growth!$E$28))^growth!$E$29</f>
        <v>35.849870129579251</v>
      </c>
      <c r="JL20" s="146">
        <f>growth!$E$27*(1-EXP(-JL18/growth!$E$28))^growth!$E$29</f>
        <v>36.068892749751491</v>
      </c>
      <c r="JM20" s="146">
        <f>growth!$E$27*(1-EXP(-JM18/growth!$E$28))^growth!$E$29</f>
        <v>36.28788670228483</v>
      </c>
      <c r="JN20" s="146">
        <f>growth!$E$27*(1-EXP(-JN18/growth!$E$28))^growth!$E$29</f>
        <v>36.506846515468069</v>
      </c>
      <c r="JO20" s="146">
        <f>growth!$E$27*(1-EXP(-JO18/growth!$E$28))^growth!$E$29</f>
        <v>36.725766764867366</v>
      </c>
      <c r="JP20" s="146">
        <f>growth!$E$27*(1-EXP(-JP18/growth!$E$28))^growth!$E$29</f>
        <v>36.944642073200392</v>
      </c>
      <c r="JQ20" s="146">
        <f>growth!$E$27*(1-EXP(-JQ18/growth!$E$28))^growth!$E$29</f>
        <v>37.163467110207137</v>
      </c>
      <c r="JR20" s="146">
        <f>growth!$E$27*(1-EXP(-JR18/growth!$E$28))^growth!$E$29</f>
        <v>37.382236592517444</v>
      </c>
      <c r="JS20" s="146">
        <f>growth!$E$27*(1-EXP(-JS18/growth!$E$28))^growth!$E$29</f>
        <v>37.600945283514946</v>
      </c>
      <c r="JT20" s="146">
        <f>growth!$E$27*(1-EXP(-JT18/growth!$E$28))^growth!$E$29</f>
        <v>37.819587993197999</v>
      </c>
      <c r="JU20" s="146">
        <f>growth!$E$27*(1-EXP(-JU18/growth!$E$28))^growth!$E$29</f>
        <v>38.038159578037472</v>
      </c>
      <c r="JV20" s="146">
        <f>growth!$E$27*(1-EXP(-JV18/growth!$E$28))^growth!$E$29</f>
        <v>38.256654940831311</v>
      </c>
      <c r="JW20" s="146">
        <f>growth!$E$27*(1-EXP(-JW18/growth!$E$28))^growth!$E$29</f>
        <v>38.475069030556199</v>
      </c>
      <c r="JX20" s="146">
        <f>growth!$E$27*(1-EXP(-JX18/growth!$E$28))^growth!$E$29</f>
        <v>38.693396842216387</v>
      </c>
      <c r="JY20" s="146">
        <f>growth!$E$27*(1-EXP(-JY18/growth!$E$28))^growth!$E$29</f>
        <v>38.911633416689789</v>
      </c>
      <c r="JZ20" s="146">
        <f>growth!$E$27*(1-EXP(-JZ18/growth!$E$28))^growth!$E$29</f>
        <v>39.129773840570969</v>
      </c>
      <c r="KA20" s="146">
        <f>growth!$E$27*(1-EXP(-KA18/growth!$E$28))^growth!$E$29</f>
        <v>39.347813246011967</v>
      </c>
      <c r="KB20" s="146">
        <f>growth!$E$27*(1-EXP(-KB18/growth!$E$28))^growth!$E$29</f>
        <v>39.565746810560206</v>
      </c>
      <c r="KC20" s="146">
        <f>growth!$E$27*(1-EXP(-KC18/growth!$E$28))^growth!$E$29</f>
        <v>39.783569756993927</v>
      </c>
      <c r="KD20" s="146">
        <f>growth!$E$27*(1-EXP(-KD18/growth!$E$28))^growth!$E$29</f>
        <v>40.001277353155402</v>
      </c>
      <c r="KE20" s="146">
        <f>growth!$E$27*(1-EXP(-KE18/growth!$E$28))^growth!$E$29</f>
        <v>40.218864911781495</v>
      </c>
      <c r="KF20" s="146">
        <f>growth!$E$27*(1-EXP(-KF18/growth!$E$28))^growth!$E$29</f>
        <v>40.436327790332221</v>
      </c>
      <c r="KG20" s="146">
        <f>growth!$E$27*(1-EXP(-KG18/growth!$E$28))^growth!$E$29</f>
        <v>40.653661390816815</v>
      </c>
      <c r="KH20" s="146">
        <f>growth!$E$27*(1-EXP(-KH18/growth!$E$28))^growth!$E$29</f>
        <v>40.870861159617938</v>
      </c>
      <c r="KI20" s="146">
        <f>growth!$E$27*(1-EXP(-KI18/growth!$E$28))^growth!$E$29</f>
        <v>41.087922587313464</v>
      </c>
      <c r="KJ20" s="146">
        <f>growth!$E$27*(1-EXP(-KJ18/growth!$E$28))^growth!$E$29</f>
        <v>41.304841208496562</v>
      </c>
      <c r="KK20" s="146">
        <f>growth!$E$27*(1-EXP(-KK18/growth!$E$28))^growth!$E$29</f>
        <v>41.521612601593716</v>
      </c>
      <c r="KL20" s="146">
        <f>growth!$E$27*(1-EXP(-KL18/growth!$E$28))^growth!$E$29</f>
        <v>41.738232388680728</v>
      </c>
      <c r="KM20" s="146">
        <f>growth!$E$27*(1-EXP(-KM18/growth!$E$28))^growth!$E$29</f>
        <v>41.954696235297085</v>
      </c>
      <c r="KN20" s="146">
        <f>growth!$E$27*(1-EXP(-KN18/growth!$E$28))^growth!$E$29</f>
        <v>42.170999850258504</v>
      </c>
      <c r="KO20" s="146">
        <f>growth!$E$27*(1-EXP(-KO18/growth!$E$28))^growth!$E$29</f>
        <v>42.387138985467679</v>
      </c>
      <c r="KP20" s="146">
        <f>growth!$E$27*(1-EXP(-KP18/growth!$E$28))^growth!$E$29</f>
        <v>42.603109435723518</v>
      </c>
      <c r="KQ20" s="146">
        <f>growth!$E$27*(1-EXP(-KQ18/growth!$E$28))^growth!$E$29</f>
        <v>42.818907038528828</v>
      </c>
      <c r="KR20" s="146">
        <f>growth!$E$27*(1-EXP(-KR18/growth!$E$28))^growth!$E$29</f>
        <v>0</v>
      </c>
      <c r="KS20" s="146">
        <f>growth!$E$27*(1-EXP(-KS18/growth!$E$28))^growth!$E$29</f>
        <v>8.5544570688236461E-6</v>
      </c>
      <c r="KT20" s="146">
        <f>growth!$E$27*(1-EXP(-KT18/growth!$E$28))^growth!$E$29</f>
        <v>6.8008465527976102E-5</v>
      </c>
      <c r="KU20" s="146">
        <f>growth!$E$27*(1-EXP(-KU18/growth!$E$28))^growth!$E$29</f>
        <v>2.2809679712868013E-4</v>
      </c>
      <c r="KV20" s="146">
        <f>growth!$E$27*(1-EXP(-KV18/growth!$E$28))^growth!$E$29</f>
        <v>5.3730357085554029E-4</v>
      </c>
      <c r="KW20" s="146">
        <f>growth!$E$27*(1-EXP(-KW18/growth!$E$28))^growth!$E$29</f>
        <v>1.0428839694930018E-3</v>
      </c>
      <c r="KX20" s="146">
        <f>growth!$E$27*(1-EXP(-KX18/growth!$E$28))^growth!$E$29</f>
        <v>1.7908856308893263E-3</v>
      </c>
      <c r="KY20" s="146">
        <f>growth!$E$27*(1-EXP(-KY18/growth!$E$28))^growth!$E$29</f>
        <v>2.8261697184418129E-3</v>
      </c>
      <c r="KZ20" s="146">
        <f>growth!$E$27*(1-EXP(-KZ18/growth!$E$28))^growth!$E$29</f>
        <v>4.192431675266812E-3</v>
      </c>
      <c r="LA20" s="146">
        <f>growth!$E$27*(1-EXP(-LA18/growth!$E$28))^growth!$E$29</f>
        <v>5.9322216664580707E-3</v>
      </c>
      <c r="LB20" s="146">
        <f>growth!$E$27*(1-EXP(-LB18/growth!$E$28))^growth!$E$29</f>
        <v>8.0869647137791836E-3</v>
      </c>
      <c r="LC20" s="146">
        <f>growth!$E$27*(1-EXP(-LC18/growth!$E$28))^growth!$E$29</f>
        <v>1.0696980527076586E-2</v>
      </c>
      <c r="LD20" s="146">
        <f>growth!$E$27*(1-EXP(-LD18/growth!$E$28))^growth!$E$29</f>
        <v>1.3801503036642727E-2</v>
      </c>
      <c r="LE20" s="146">
        <f>growth!$E$27*(1-EXP(-LE18/growth!$E$28))^growth!$E$29</f>
        <v>1.7438699630704126E-2</v>
      </c>
      <c r="LF20" s="146">
        <f>growth!$E$27*(1-EXP(-LF18/growth!$E$28))^growth!$E$29</f>
        <v>2.1645690102150235E-2</v>
      </c>
      <c r="LG20" s="146">
        <f>growth!$E$27*(1-EXP(-LG18/growth!$E$28))^growth!$E$29</f>
        <v>2.6458565308565586E-2</v>
      </c>
      <c r="LH20" s="146">
        <f>growth!$E$27*(1-EXP(-LH18/growth!$E$28))^growth!$E$29</f>
        <v>3.1912405549575328E-2</v>
      </c>
      <c r="LI20" s="146">
        <f>growth!$E$27*(1-EXP(-LI18/growth!$E$28))^growth!$E$29</f>
        <v>3.8041298665456996E-2</v>
      </c>
      <c r="LJ20" s="146">
        <f>growth!$E$27*(1-EXP(-LJ18/growth!$E$28))^growth!$E$29</f>
        <v>4.4878357860917865E-2</v>
      </c>
      <c r="LK20" s="146">
        <f>growth!$E$27*(1-EXP(-LK18/growth!$E$28))^growth!$E$29</f>
        <v>5.2455739257894637E-2</v>
      </c>
      <c r="LL20" s="146">
        <f>growth!$E$27*(1-EXP(-LL18/growth!$E$28))^growth!$E$29</f>
        <v>6.080465918116422E-2</v>
      </c>
      <c r="LM20" s="146">
        <f>growth!$E$27*(1-EXP(-LM18/growth!$E$28))^growth!$E$29</f>
        <v>6.9955411180516527E-2</v>
      </c>
      <c r="LN20" s="146">
        <f>growth!$E$27*(1-EXP(-LN18/growth!$E$28))^growth!$E$29</f>
        <v>7.9937382793190237E-2</v>
      </c>
      <c r="LO20" s="146">
        <f>growth!$E$27*(1-EXP(-LO18/growth!$E$28))^growth!$E$29</f>
        <v>9.0779072050210241E-2</v>
      </c>
      <c r="LP20" s="146">
        <f>growth!$E$27*(1-EXP(-LP18/growth!$E$28))^growth!$E$29</f>
        <v>0.10250810373022921</v>
      </c>
      <c r="LQ20" s="146">
        <f>growth!$E$27*(1-EXP(-LQ18/growth!$E$28))^growth!$E$29</f>
        <v>0.11515124536442721</v>
      </c>
      <c r="LR20" s="146">
        <f>growth!$E$27*(1-EXP(-LR18/growth!$E$28))^growth!$E$29</f>
        <v>0.12873442299596394</v>
      </c>
      <c r="LS20" s="146">
        <f>growth!$E$27*(1-EXP(-LS18/growth!$E$28))^growth!$E$29</f>
        <v>0.14328273669744057</v>
      </c>
      <c r="LT20" s="146">
        <f>growth!$E$27*(1-EXP(-LT18/growth!$E$28))^growth!$E$29</f>
        <v>0.15882047584978901</v>
      </c>
      <c r="LU20" s="146">
        <f>growth!$E$27*(1-EXP(-LU18/growth!$E$28))^growth!$E$29</f>
        <v>0.17537113418593711</v>
      </c>
      <c r="LV20" s="146">
        <f>growth!$E$27*(1-EXP(-LV18/growth!$E$28))^growth!$E$29</f>
        <v>0.19295742460257786</v>
      </c>
      <c r="LW20" s="146">
        <f>growth!$E$27*(1-EXP(-LW18/growth!$E$28))^growth!$E$29</f>
        <v>0.2116012937433146</v>
      </c>
      <c r="LX20" s="146">
        <f>growth!$E$27*(1-EXP(-LX18/growth!$E$28))^growth!$E$29</f>
        <v>0.23132393635640758</v>
      </c>
      <c r="LY20" s="146">
        <f>growth!$E$27*(1-EXP(-LY18/growth!$E$28))^growth!$E$29</f>
        <v>0.25214580943030535</v>
      </c>
      <c r="LZ20" s="146">
        <f>growth!$E$27*(1-EXP(-LZ18/growth!$E$28))^growth!$E$29</f>
        <v>0.27408664611012157</v>
      </c>
      <c r="MA20" s="146">
        <f>growth!$E$27*(1-EXP(-MA18/growth!$E$28))^growth!$E$29</f>
        <v>0.29716546939812699</v>
      </c>
      <c r="MB20" s="146">
        <f>growth!$E$27*(1-EXP(-MB18/growth!$E$28))^growth!$E$29</f>
        <v>0.32140060564134304</v>
      </c>
      <c r="MC20" s="146">
        <f>growth!$E$27*(1-EXP(-MC18/growth!$E$28))^growth!$E$29</f>
        <v>0.34680969780924509</v>
      </c>
      <c r="MD20" s="146">
        <f>growth!$E$27*(1-EXP(-MD18/growth!$E$28))^growth!$E$29</f>
        <v>0.37340971856454569</v>
      </c>
      <c r="ME20" s="146">
        <f>growth!$E$27*(1-EXP(-ME18/growth!$E$28))^growth!$E$29</f>
        <v>0.40121698312999765</v>
      </c>
      <c r="MF20" s="146">
        <f>growth!$E$27*(1-EXP(-MF18/growth!$E$28))^growth!$E$29</f>
        <v>0.43024716195412632</v>
      </c>
      <c r="MG20" s="146">
        <f>growth!$E$27*(1-EXP(-MG18/growth!$E$28))^growth!$E$29</f>
        <v>0.46051529317873102</v>
      </c>
      <c r="MH20" s="146">
        <f>growth!$E$27*(1-EXP(-MH18/growth!$E$28))^growth!$E$29</f>
        <v>0.49203579491098115</v>
      </c>
      <c r="MI20" s="146">
        <f>growth!$E$27*(1-EXP(-MI18/growth!$E$28))^growth!$E$29</f>
        <v>0.52482247730289633</v>
      </c>
      <c r="MJ20" s="146">
        <f>growth!$E$27*(1-EXP(-MJ18/growth!$E$28))^growth!$E$29</f>
        <v>0.55888855444094521</v>
      </c>
      <c r="MK20" s="146">
        <f>growth!$E$27*(1-EXP(-MK18/growth!$E$28))^growth!$E$29</f>
        <v>0.59424665604846327</v>
      </c>
      <c r="ML20" s="146">
        <f>growth!$E$27*(1-EXP(-ML18/growth!$E$28))^growth!$E$29</f>
        <v>0.63090883900358485</v>
      </c>
      <c r="MM20" s="146">
        <f>growth!$E$27*(1-EXP(-MM18/growth!$E$28))^growth!$E$29</f>
        <v>0.66888659867529521</v>
      </c>
      <c r="MN20" s="146">
        <f>growth!$E$27*(1-EXP(-MN18/growth!$E$28))^growth!$E$29</f>
        <v>0.70819088008020181</v>
      </c>
      <c r="MO20" s="146">
        <f>growth!$E$27*(1-EXP(-MO18/growth!$E$28))^growth!$E$29</f>
        <v>0.74883208886262975</v>
      </c>
      <c r="MP20" s="146">
        <f>growth!$E$27*(1-EXP(-MP18/growth!$E$28))^growth!$E$29</f>
        <v>0.79082010210050457</v>
      </c>
      <c r="MQ20" s="146">
        <f>growth!$E$27*(1-EXP(-MQ18/growth!$E$28))^growth!$E$29</f>
        <v>0.83416427893956235</v>
      </c>
      <c r="MR20" s="146">
        <f>growth!$E$27*(1-EXP(-MR18/growth!$E$28))^growth!$E$29</f>
        <v>0.87887347105833891</v>
      </c>
      <c r="MS20" s="146">
        <f>growth!$E$27*(1-EXP(-MS18/growth!$E$28))^growth!$E$29</f>
        <v>0.92495603296635942</v>
      </c>
      <c r="MT20" s="146">
        <f>growth!$E$27*(1-EXP(-MT18/growth!$E$28))^growth!$E$29</f>
        <v>0.97241983213791106</v>
      </c>
      <c r="MU20" s="146">
        <f>growth!$E$27*(1-EXP(-MU18/growth!$E$28))^growth!$E$29</f>
        <v>1.0212722589837857</v>
      </c>
      <c r="MV20" s="146">
        <f>growth!$E$27*(1-EXP(-MV18/growth!$E$28))^growth!$E$29</f>
        <v>1.0715202366633054</v>
      </c>
      <c r="MW20" s="146">
        <f>growth!$E$27*(1-EXP(-MW18/growth!$E$28))^growth!$E$29</f>
        <v>1.1231702307389244</v>
      </c>
      <c r="MX20" s="146">
        <f>growth!$E$27*(1-EXP(-MX18/growth!$E$28))^growth!$E$29</f>
        <v>1.176228258675686</v>
      </c>
      <c r="MY20" s="146">
        <f>growth!$E$27*(1-EXP(-MY18/growth!$E$28))^growth!$E$29</f>
        <v>1.2306998991877718</v>
      </c>
      <c r="MZ20" s="146">
        <f>growth!$E$27*(1-EXP(-MZ18/growth!$E$28))^growth!$E$29</f>
        <v>1.2865903014343147</v>
      </c>
      <c r="NA20" s="146">
        <f>growth!$E$27*(1-EXP(-NA18/growth!$E$28))^growth!$E$29</f>
        <v>1.343904194066716</v>
      </c>
      <c r="NB20" s="146">
        <f>growth!$E$27*(1-EXP(-NB18/growth!$E$28))^growth!$E$29</f>
        <v>1.4026458941295432</v>
      </c>
      <c r="NC20" s="146">
        <f>growth!$E$27*(1-EXP(-NC18/growth!$E$28))^growth!$E$29</f>
        <v>1.4628193158171579</v>
      </c>
      <c r="ND20" s="146">
        <f>growth!$E$27*(1-EXP(-ND18/growth!$E$28))^growth!$E$29</f>
        <v>1.5244279790881745</v>
      </c>
      <c r="NE20" s="146">
        <f>growth!$E$27*(1-EXP(-NE18/growth!$E$28))^growth!$E$29</f>
        <v>1.587475018139777</v>
      </c>
      <c r="NF20" s="146">
        <f>growth!$E$27*(1-EXP(-NF18/growth!$E$28))^growth!$E$29</f>
        <v>1.6519631897439422</v>
      </c>
      <c r="NG20" s="146">
        <f>growth!$E$27*(1-EXP(-NG18/growth!$E$28))^growth!$E$29</f>
        <v>1.7178948814475761</v>
      </c>
      <c r="NH20" s="146">
        <f>growth!$E$27*(1-EXP(-NH18/growth!$E$28))^growth!$E$29</f>
        <v>1.7852721196385259</v>
      </c>
      <c r="NI20" s="146">
        <f>growth!$E$27*(1-EXP(-NI18/growth!$E$28))^growth!$E$29</f>
        <v>1.854096577479422</v>
      </c>
      <c r="NJ20" s="146">
        <f>growth!$E$27*(1-EXP(-NJ18/growth!$E$28))^growth!$E$29</f>
        <v>1.9243695827112854</v>
      </c>
      <c r="NK20" s="146">
        <f>growth!$E$27*(1-EXP(-NK18/growth!$E$28))^growth!$E$29</f>
        <v>1.9960921253287776</v>
      </c>
      <c r="NL20" s="146">
        <f>growth!$E$27*(1-EXP(-NL18/growth!$E$28))^growth!$E$29</f>
        <v>2.0692648651289542</v>
      </c>
      <c r="NM20" s="146">
        <f>growth!$E$27*(1-EXP(-NM18/growth!$E$28))^growth!$E$29</f>
        <v>2.1438881391354103</v>
      </c>
      <c r="NN20" s="146">
        <f>growth!$E$27*(1-EXP(-NN18/growth!$E$28))^growth!$E$29</f>
        <v>2.2199619688995957</v>
      </c>
      <c r="NO20" s="146">
        <f>growth!$E$27*(1-EXP(-NO18/growth!$E$28))^growth!$E$29</f>
        <v>2.2974860676810884</v>
      </c>
      <c r="NP20" s="146">
        <f>growth!$E$27*(1-EXP(-NP18/growth!$E$28))^growth!$E$29</f>
        <v>2.37645984750865</v>
      </c>
      <c r="NQ20" s="146">
        <f>growth!$E$27*(1-EXP(-NQ18/growth!$E$28))^growth!$E$29</f>
        <v>2.4568824261237423</v>
      </c>
      <c r="NR20" s="146">
        <f>growth!$E$27*(1-EXP(-NR18/growth!$E$28))^growth!$E$29</f>
        <v>2.5387526338082598</v>
      </c>
      <c r="NS20" s="146">
        <f>growth!$E$27*(1-EXP(-NS18/growth!$E$28))^growth!$E$29</f>
        <v>2.6220690200981962</v>
      </c>
      <c r="NT20" s="146">
        <f>growth!$E$27*(1-EXP(-NT18/growth!$E$28))^growth!$E$29</f>
        <v>2.7068298603848753</v>
      </c>
      <c r="NU20" s="146">
        <f>growth!$E$27*(1-EXP(-NU18/growth!$E$28))^growth!$E$29</f>
        <v>2.7930331624053983</v>
      </c>
      <c r="NV20" s="146">
        <f>growth!$E$27*(1-EXP(-NV18/growth!$E$28))^growth!$E$29</f>
        <v>2.8806766726240038</v>
      </c>
      <c r="NW20" s="146">
        <f>growth!$E$27*(1-EXP(-NW18/growth!$E$28))^growth!$E$29</f>
        <v>2.9697578825058617</v>
      </c>
      <c r="NX20" s="146">
        <f>growth!$E$27*(1-EXP(-NX18/growth!$E$28))^growth!$E$29</f>
        <v>3.0602740346849182</v>
      </c>
      <c r="NY20" s="146">
        <f>growth!$E$27*(1-EXP(-NY18/growth!$E$28))^growth!$E$29</f>
        <v>3.1522221290273973</v>
      </c>
      <c r="NZ20" s="146">
        <f>growth!$E$27*(1-EXP(-NZ18/growth!$E$28))^growth!$E$29</f>
        <v>3.2455989285924014</v>
      </c>
      <c r="OA20" s="146">
        <f>growth!$E$27*(1-EXP(-OA18/growth!$E$28))^growth!$E$29</f>
        <v>3.3404009654912583</v>
      </c>
      <c r="OB20" s="146">
        <f>growth!$E$27*(1-EXP(-OB18/growth!$E$28))^growth!$E$29</f>
        <v>3.4366245466469634</v>
      </c>
      <c r="OC20" s="146">
        <f>growth!$E$27*(1-EXP(-OC18/growth!$E$28))^growth!$E$29</f>
        <v>3.5342657594553306</v>
      </c>
      <c r="OD20" s="146">
        <f>growth!$E$27*(1-EXP(-OD18/growth!$E$28))^growth!$E$29</f>
        <v>3.6333204773492791</v>
      </c>
      <c r="OE20" s="146">
        <f>growth!$E$27*(1-EXP(-OE18/growth!$E$28))^growth!$E$29</f>
        <v>3.7337843652675575</v>
      </c>
      <c r="OF20" s="146">
        <f>growth!$E$27*(1-EXP(-OF18/growth!$E$28))^growth!$E$29</f>
        <v>3.8356528850295573</v>
      </c>
      <c r="OG20" s="146">
        <f>growth!$E$27*(1-EXP(-OG18/growth!$E$28))^growth!$E$29</f>
        <v>3.9389213006174426</v>
      </c>
      <c r="OH20" s="146">
        <f>growth!$E$27*(1-EXP(-OH18/growth!$E$28))^growth!$E$29</f>
        <v>4.0435846833669631</v>
      </c>
      <c r="OI20" s="146">
        <f>growth!$E$27*(1-EXP(-OI18/growth!$E$28))^growth!$E$29</f>
        <v>4.1496379170684694</v>
      </c>
      <c r="OJ20" s="146">
        <f>growth!$E$27*(1-EXP(-OJ18/growth!$E$28))^growth!$E$29</f>
        <v>4.2570757029793187</v>
      </c>
      <c r="OK20" s="146">
        <f>growth!$E$27*(1-EXP(-OK18/growth!$E$28))^growth!$E$29</f>
        <v>4.3658925647490125</v>
      </c>
      <c r="OL20" s="146">
        <f>growth!$E$27*(1-EXP(-OL18/growth!$E$28))^growth!$E$29</f>
        <v>4.4760828532584638</v>
      </c>
      <c r="OM20" s="146">
        <f>growth!$E$27*(1-EXP(-OM18/growth!$E$28))^growth!$E$29</f>
        <v>4.5876407513745976</v>
      </c>
      <c r="ON20" s="146">
        <f>growth!$E$27*(1-EXP(-ON18/growth!$E$28))^growth!$E$29</f>
        <v>4.7005602786215377</v>
      </c>
      <c r="OO20" s="146">
        <f>growth!$E$27*(1-EXP(-OO18/growth!$E$28))^growth!$E$29</f>
        <v>4.8148352957696883</v>
      </c>
      <c r="OP20" s="146">
        <f>growth!$E$27*(1-EXP(-OP18/growth!$E$28))^growth!$E$29</f>
        <v>4.9304595093439723</v>
      </c>
      <c r="OQ20" s="146">
        <f>growth!$E$27*(1-EXP(-OQ18/growth!$E$28))^growth!$E$29</f>
        <v>5.0474264760522649</v>
      </c>
      <c r="OR20" s="146">
        <f>growth!$E$27*(1-EXP(-OR18/growth!$E$28))^growth!$E$29</f>
        <v>5.1657296071354564</v>
      </c>
      <c r="OS20" s="146">
        <f>growth!$E$27*(1-EXP(-OS18/growth!$E$28))^growth!$E$29</f>
        <v>5.2853621726401947</v>
      </c>
      <c r="OT20" s="146">
        <f>growth!$E$27*(1-EXP(-OT18/growth!$E$28))^growth!$E$29</f>
        <v>5.4063173056154223</v>
      </c>
      <c r="OU20" s="146">
        <f>growth!$E$27*(1-EXP(-OU18/growth!$E$28))^growth!$E$29</f>
        <v>5.5285880062340054</v>
      </c>
      <c r="OV20" s="146">
        <f>growth!$E$27*(1-EXP(-OV18/growth!$E$28))^growth!$E$29</f>
        <v>5.6521671458405169</v>
      </c>
      <c r="OW20" s="146">
        <f>growth!$E$27*(1-EXP(-OW18/growth!$E$28))^growth!$E$29</f>
        <v>5.7770474709261848</v>
      </c>
      <c r="OX20" s="146">
        <f>growth!$E$27*(1-EXP(-OX18/growth!$E$28))^growth!$E$29</f>
        <v>5.9032216070322994</v>
      </c>
      <c r="OY20" s="146">
        <f>growth!$E$27*(1-EXP(-OY18/growth!$E$28))^growth!$E$29</f>
        <v>6.0306820625831072</v>
      </c>
      <c r="OZ20" s="146">
        <f>growth!$E$27*(1-EXP(-OZ18/growth!$E$28))^growth!$E$29</f>
        <v>6.1594212326490734</v>
      </c>
      <c r="PA20" s="146">
        <f>growth!$E$27*(1-EXP(-PA18/growth!$E$28))^growth!$E$29</f>
        <v>6.2894314026418838</v>
      </c>
      <c r="PB20" s="146">
        <f>growth!$E$27*(1-EXP(-PB18/growth!$E$28))^growth!$E$29</f>
        <v>6.4207047519420053</v>
      </c>
      <c r="PC20" s="146">
        <f>growth!$E$27*(1-EXP(-PC18/growth!$E$28))^growth!$E$29</f>
        <v>6.5532333574598631</v>
      </c>
      <c r="PD20" s="146">
        <f>growth!$E$27*(1-EXP(-PD18/growth!$E$28))^growth!$E$29</f>
        <v>6.6870091971317445</v>
      </c>
      <c r="PE20" s="146">
        <f>growth!$E$27*(1-EXP(-PE18/growth!$E$28))^growth!$E$29</f>
        <v>6.8220241533513359</v>
      </c>
      <c r="PF20" s="146">
        <f>growth!$E$27*(1-EXP(-PF18/growth!$E$28))^growth!$E$29</f>
        <v>6.9582700163378606</v>
      </c>
      <c r="PG20" s="146">
        <f>growth!$E$27*(1-EXP(-PG18/growth!$E$28))^growth!$E$29</f>
        <v>7.0957384874419001</v>
      </c>
      <c r="PH20" s="146">
        <f>growth!$E$27*(1-EXP(-PH18/growth!$E$28))^growth!$E$29</f>
        <v>7.2344211823897746</v>
      </c>
      <c r="PI20" s="146">
        <f>growth!$E$27*(1-EXP(-PI18/growth!$E$28))^growth!$E$29</f>
        <v>7.3743096344673678</v>
      </c>
      <c r="PJ20" s="146">
        <f>growth!$E$27*(1-EXP(-PJ18/growth!$E$28))^growth!$E$29</f>
        <v>7.5153952976444698</v>
      </c>
      <c r="PK20" s="146">
        <f>growth!$E$27*(1-EXP(-PK18/growth!$E$28))^growth!$E$29</f>
        <v>7.6576695496405094</v>
      </c>
      <c r="PL20" s="146">
        <f>growth!$E$27*(1-EXP(-PL18/growth!$E$28))^growth!$E$29</f>
        <v>7.8011236949324116</v>
      </c>
      <c r="PM20" s="146">
        <f>growth!$E$27*(1-EXP(-PM18/growth!$E$28))^growth!$E$29</f>
        <v>7.9457489677057547</v>
      </c>
      <c r="PN20" s="146">
        <f>growth!$E$27*(1-EXP(-PN18/growth!$E$28))^growth!$E$29</f>
        <v>8.0915365347499435</v>
      </c>
      <c r="PO20" s="146">
        <f>growth!$E$27*(1-EXP(-PO18/growth!$E$28))^growth!$E$29</f>
        <v>8.2384774982981739</v>
      </c>
      <c r="PP20" s="146">
        <f>growth!$E$27*(1-EXP(-PP18/growth!$E$28))^growth!$E$29</f>
        <v>8.3865628988132741</v>
      </c>
      <c r="PQ20" s="146">
        <f>growth!$E$27*(1-EXP(-PQ18/growth!$E$28))^growth!$E$29</f>
        <v>8.535783717720145</v>
      </c>
      <c r="PR20" s="146">
        <f>growth!$E$27*(1-EXP(-PR18/growth!$E$28))^growth!$E$29</f>
        <v>8.6861308800854697</v>
      </c>
      <c r="PS20" s="146">
        <f>growth!$E$27*(1-EXP(-PS18/growth!$E$28))^growth!$E$29</f>
        <v>8.8375952572459013</v>
      </c>
      <c r="PT20" s="146">
        <f>growth!$E$27*(1-EXP(-PT18/growth!$E$28))^growth!$E$29</f>
        <v>8.9901676693851371</v>
      </c>
      <c r="PU20" s="146">
        <f>growth!$E$27*(1-EXP(-PU18/growth!$E$28))^growth!$E$29</f>
        <v>9.1438388880608628</v>
      </c>
      <c r="PV20" s="146">
        <f>growth!$E$27*(1-EXP(-PV18/growth!$E$28))^growth!$E$29</f>
        <v>9.2985996386824148</v>
      </c>
      <c r="PW20" s="146">
        <f>growth!$E$27*(1-EXP(-PW18/growth!$E$28))^growth!$E$29</f>
        <v>9.4544406029397763</v>
      </c>
      <c r="PX20" s="146">
        <f>growth!$E$27*(1-EXP(-PX18/growth!$E$28))^growth!$E$29</f>
        <v>9.6113524211847032</v>
      </c>
      <c r="PY20" s="146">
        <f>growth!$E$27*(1-EXP(-PY18/growth!$E$28))^growth!$E$29</f>
        <v>9.7693256947648806</v>
      </c>
      <c r="PZ20" s="146">
        <f>growth!$E$27*(1-EXP(-PZ18/growth!$E$28))^growth!$E$29</f>
        <v>9.9283509883116974</v>
      </c>
      <c r="QA20" s="146">
        <f>growth!$E$27*(1-EXP(-QA18/growth!$E$28))^growth!$E$29</f>
        <v>10.088418831982287</v>
      </c>
      <c r="QB20" s="146">
        <f>growth!$E$27*(1-EXP(-QB18/growth!$E$28))^growth!$E$29</f>
        <v>10.249519723656872</v>
      </c>
      <c r="QC20" s="146">
        <f>growth!$E$27*(1-EXP(-QC18/growth!$E$28))^growth!$E$29</f>
        <v>10.41164413109183</v>
      </c>
      <c r="QD20" s="146">
        <f>growth!$E$27*(1-EXP(-QD18/growth!$E$28))^growth!$E$29</f>
        <v>10.574782494029229</v>
      </c>
      <c r="QE20" s="146">
        <f>growth!$E$27*(1-EXP(-QE18/growth!$E$28))^growth!$E$29</f>
        <v>10.73892522626363</v>
      </c>
      <c r="QF20" s="146">
        <f>growth!$E$27*(1-EXP(-QF18/growth!$E$28))^growth!$E$29</f>
        <v>10.904062717666822</v>
      </c>
      <c r="QG20" s="146">
        <f>growth!$E$27*(1-EXP(-QG18/growth!$E$28))^growth!$E$29</f>
        <v>11.070185336170978</v>
      </c>
      <c r="QH20" s="146">
        <f>growth!$E$27*(1-EXP(-QH18/growth!$E$28))^growth!$E$29</f>
        <v>11.237283429711121</v>
      </c>
      <c r="QI20" s="146">
        <f>growth!$E$27*(1-EXP(-QI18/growth!$E$28))^growth!$E$29</f>
        <v>11.40534732812749</v>
      </c>
      <c r="QJ20" s="146">
        <f>growth!$E$27*(1-EXP(-QJ18/growth!$E$28))^growth!$E$29</f>
        <v>11.574367345028266</v>
      </c>
      <c r="QK20" s="146">
        <f>growth!$E$27*(1-EXP(-QK18/growth!$E$28))^growth!$E$29</f>
        <v>11.744333779613566</v>
      </c>
      <c r="QL20" s="146">
        <f>growth!$E$27*(1-EXP(-QL18/growth!$E$28))^growth!$E$29</f>
        <v>11.915236918461199</v>
      </c>
      <c r="QM20" s="146">
        <f>growth!$E$27*(1-EXP(-QM18/growth!$E$28))^growth!$E$29</f>
        <v>12.08706703727467</v>
      </c>
      <c r="QN20" s="146">
        <f>growth!$E$27*(1-EXP(-QN18/growth!$E$28))^growth!$E$29</f>
        <v>12.259814402594305</v>
      </c>
      <c r="QO20" s="146">
        <f>growth!$E$27*(1-EXP(-QO18/growth!$E$28))^growth!$E$29</f>
        <v>12.43346927347193</v>
      </c>
      <c r="QP20" s="146">
        <f>growth!$E$27*(1-EXP(-QP18/growth!$E$28))^growth!$E$29</f>
        <v>12.60802190310957</v>
      </c>
      <c r="QQ20" s="146">
        <f>growth!$E$27*(1-EXP(-QQ18/growth!$E$28))^growth!$E$29</f>
        <v>12.783462540463075</v>
      </c>
      <c r="QR20" s="146">
        <f>growth!$E$27*(1-EXP(-QR18/growth!$E$28))^growth!$E$29</f>
        <v>12.959781431811036</v>
      </c>
      <c r="QS20" s="146">
        <f>growth!$E$27*(1-EXP(-QS18/growth!$E$28))^growth!$E$29</f>
        <v>13.136968822289402</v>
      </c>
      <c r="QT20" s="146">
        <f>growth!$E$27*(1-EXP(-QT18/growth!$E$28))^growth!$E$29</f>
        <v>13.315014957392757</v>
      </c>
      <c r="QU20" s="146">
        <f>growth!$E$27*(1-EXP(-QU18/growth!$E$28))^growth!$E$29</f>
        <v>13.493910084442467</v>
      </c>
      <c r="QV20" s="146">
        <f>growth!$E$27*(1-EXP(-QV18/growth!$E$28))^growth!$E$29</f>
        <v>13.673644454022288</v>
      </c>
      <c r="QW20" s="146">
        <f>growth!$E$27*(1-EXP(-QW18/growth!$E$28))^growth!$E$29</f>
        <v>13.854208321382108</v>
      </c>
      <c r="QX20" s="146">
        <f>growth!$E$27*(1-EXP(-QX18/growth!$E$28))^growth!$E$29</f>
        <v>14.035591947810332</v>
      </c>
      <c r="QY20" s="146">
        <f>growth!$E$27*(1-EXP(-QY18/growth!$E$28))^growth!$E$29</f>
        <v>14.217785601975118</v>
      </c>
      <c r="QZ20" s="146">
        <f>growth!$E$27*(1-EXP(-QZ18/growth!$E$28))^growth!$E$29</f>
        <v>14.400779561235412</v>
      </c>
      <c r="RA20" s="146">
        <f>growth!$E$27*(1-EXP(-RA18/growth!$E$28))^growth!$E$29</f>
        <v>14.584564112922065</v>
      </c>
      <c r="RB20" s="146">
        <f>growth!$E$27*(1-EXP(-RB18/growth!$E$28))^growth!$E$29</f>
        <v>14.769129555589412</v>
      </c>
      <c r="RC20" s="146">
        <f>growth!$E$27*(1-EXP(-RC18/growth!$E$28))^growth!$E$29</f>
        <v>14.954466200238011</v>
      </c>
      <c r="RD20" s="146">
        <f>growth!$E$27*(1-EXP(-RD18/growth!$E$28))^growth!$E$29</f>
        <v>15.140564371508987</v>
      </c>
      <c r="RE20" s="146">
        <f>growth!$E$27*(1-EXP(-RE18/growth!$E$28))^growth!$E$29</f>
        <v>15.327414408850311</v>
      </c>
      <c r="RF20" s="146">
        <f>growth!$E$27*(1-EXP(-RF18/growth!$E$28))^growth!$E$29</f>
        <v>15.515006667655552</v>
      </c>
      <c r="RG20" s="146">
        <f>growth!$E$27*(1-EXP(-RG18/growth!$E$28))^growth!$E$29</f>
        <v>15.70333152037577</v>
      </c>
      <c r="RH20" s="146">
        <f>growth!$E$27*(1-EXP(-RH18/growth!$E$28))^growth!$E$29</f>
        <v>15.89237935760452</v>
      </c>
      <c r="RI20" s="146">
        <f>growth!$E$27*(1-EXP(-RI18/growth!$E$28))^growth!$E$29</f>
        <v>16.08214058913693</v>
      </c>
      <c r="RJ20" s="146">
        <f>growth!$E$27*(1-EXP(-RJ18/growth!$E$28))^growth!$E$29</f>
        <v>16.272605645003011</v>
      </c>
      <c r="RK20" s="146">
        <f>growth!$E$27*(1-EXP(-RK18/growth!$E$28))^growth!$E$29</f>
        <v>16.463764976475609</v>
      </c>
      <c r="RL20" s="146">
        <f>growth!$E$27*(1-EXP(-RL18/growth!$E$28))^growth!$E$29</f>
        <v>16.655609057053567</v>
      </c>
      <c r="RM20" s="146">
        <f>growth!$E$27*(1-EXP(-RM18/growth!$E$28))^growth!$E$29</f>
        <v>16.84812838342053</v>
      </c>
      <c r="RN20" s="146">
        <f>growth!$E$27*(1-EXP(-RN18/growth!$E$28))^growth!$E$29</f>
        <v>17.041313476379504</v>
      </c>
      <c r="RO20" s="146">
        <f>growth!$E$27*(1-EXP(-RO18/growth!$E$28))^growth!$E$29</f>
        <v>17.235154881763943</v>
      </c>
      <c r="RP20" s="146">
        <f>growth!$E$27*(1-EXP(-RP18/growth!$E$28))^growth!$E$29</f>
        <v>17.4296431713258</v>
      </c>
    </row>
    <row r="21" spans="2:484" ht="12.95" customHeight="1" x14ac:dyDescent="0.2">
      <c r="C21" s="21" t="s">
        <v>918</v>
      </c>
      <c r="D21" s="21" t="s">
        <v>395</v>
      </c>
      <c r="E21" s="146">
        <f>IF(E7&gt;THIN!$F$32,growth!$E$27*(1-EXP(-E19/growth!$E$28))^growth!$E$29,E13)</f>
        <v>8.5544570688243271E-6</v>
      </c>
      <c r="F21" s="146">
        <f>IF(F7&gt;THIN!$F$32,growth!$E$27*(1-EXP(-F19/growth!$E$28))^growth!$E$29,F13)</f>
        <v>6.8008465527976102E-5</v>
      </c>
      <c r="G21" s="146">
        <f>IF(G7&gt;THIN!$F$32,growth!$E$27*(1-EXP(-G19/growth!$E$28))^growth!$E$29,G13)</f>
        <v>2.2809679712868013E-4</v>
      </c>
      <c r="H21" s="146">
        <f>IF(H7&gt;THIN!$F$32,growth!$E$27*(1-EXP(-H19/growth!$E$28))^growth!$E$29,H13)</f>
        <v>5.3730357085554029E-4</v>
      </c>
      <c r="I21" s="146">
        <f>IF(I7&gt;THIN!$F$32,growth!$E$27*(1-EXP(-I19/growth!$E$28))^growth!$E$29,I13)</f>
        <v>1.0428839694930018E-3</v>
      </c>
      <c r="J21" s="146">
        <f>IF(J7&gt;THIN!$F$32,growth!$E$27*(1-EXP(-J19/growth!$E$28))^growth!$E$29,J13)</f>
        <v>1.7908856308893263E-3</v>
      </c>
      <c r="K21" s="146">
        <f>IF(K7&gt;THIN!$F$32,growth!$E$27*(1-EXP(-K19/growth!$E$28))^growth!$E$29,K13)</f>
        <v>2.8261697184418129E-3</v>
      </c>
      <c r="L21" s="146">
        <f>IF(L7&gt;THIN!$F$32,growth!$E$27*(1-EXP(-L19/growth!$E$28))^growth!$E$29,L13)</f>
        <v>4.192431675266812E-3</v>
      </c>
      <c r="M21" s="146">
        <f>IF(M7&gt;THIN!$F$32,growth!$E$27*(1-EXP(-M19/growth!$E$28))^growth!$E$29,M13)</f>
        <v>5.9322216664580707E-3</v>
      </c>
      <c r="N21" s="146">
        <f>IF(N7&gt;THIN!$F$32,growth!$E$27*(1-EXP(-N19/growth!$E$28))^growth!$E$29,N13)</f>
        <v>8.0869647137792496E-3</v>
      </c>
      <c r="O21" s="146">
        <f>IF(O7&gt;THIN!$F$32,growth!$E$27*(1-EXP(-O19/growth!$E$28))^growth!$E$29,O13)</f>
        <v>1.0696980527076586E-2</v>
      </c>
      <c r="P21" s="146">
        <f>IF(P7&gt;THIN!$F$32,growth!$E$27*(1-EXP(-P19/growth!$E$28))^growth!$E$29,P13)</f>
        <v>1.3801503036642727E-2</v>
      </c>
      <c r="Q21" s="146">
        <f>IF(Q7&gt;THIN!$F$32,growth!$E$27*(1-EXP(-Q19/growth!$E$28))^growth!$E$29,Q13)</f>
        <v>1.7438699630704126E-2</v>
      </c>
      <c r="R21" s="146">
        <f>IF(R7&gt;THIN!$F$32,growth!$E$27*(1-EXP(-R19/growth!$E$28))^growth!$E$29,R13)</f>
        <v>2.1645690102150235E-2</v>
      </c>
      <c r="S21" s="146">
        <f>IF(S7&gt;THIN!$F$32,growth!$E$27*(1-EXP(-S19/growth!$E$28))^growth!$E$29,S13)</f>
        <v>2.6458565308565586E-2</v>
      </c>
      <c r="T21" s="146">
        <f>IF(T7&gt;THIN!$F$32,growth!$E$27*(1-EXP(-T19/growth!$E$28))^growth!$E$29,T13)</f>
        <v>3.1912405549575487E-2</v>
      </c>
      <c r="U21" s="146">
        <f>IF(U7&gt;THIN!$F$32,growth!$E$27*(1-EXP(-U19/growth!$E$28))^growth!$E$29,U13)</f>
        <v>3.8041298665456802E-2</v>
      </c>
      <c r="V21" s="146">
        <f>IF(V7&gt;THIN!$F$32,growth!$E$27*(1-EXP(-V19/growth!$E$28))^growth!$E$29,V13)</f>
        <v>4.4878357860917865E-2</v>
      </c>
      <c r="W21" s="146">
        <f>IF(W7&gt;THIN!$F$32,growth!$E$27*(1-EXP(-W19/growth!$E$28))^growth!$E$29,W13)</f>
        <v>5.2455739257894866E-2</v>
      </c>
      <c r="X21" s="146">
        <f>IF(X7&gt;THIN!$F$32,growth!$E$27*(1-EXP(-X19/growth!$E$28))^growth!$E$29,X13)</f>
        <v>6.080465918116422E-2</v>
      </c>
      <c r="Y21" s="146">
        <f>IF(Y7&gt;THIN!$F$32,growth!$E$27*(1-EXP(-Y19/growth!$E$28))^growth!$E$29,Y13)</f>
        <v>6.9955411180516527E-2</v>
      </c>
      <c r="Z21" s="146">
        <f>IF(Z7&gt;THIN!$F$32,growth!$E$27*(1-EXP(-Z19/growth!$E$28))^growth!$E$29,Z13)</f>
        <v>7.9937382793190237E-2</v>
      </c>
      <c r="AA21" s="146">
        <f>IF(AA7&gt;THIN!$F$32,growth!$E$27*(1-EXP(-AA19/growth!$E$28))^growth!$E$29,AA13)</f>
        <v>9.0779072050210241E-2</v>
      </c>
      <c r="AB21" s="146">
        <f>IF(AB7&gt;THIN!$F$32,growth!$E$27*(1-EXP(-AB19/growth!$E$28))^growth!$E$29,AB13)</f>
        <v>0.10250810373022921</v>
      </c>
      <c r="AC21" s="146">
        <f>IF(AC7&gt;THIN!$F$32,growth!$E$27*(1-EXP(-AC19/growth!$E$28))^growth!$E$29,AC13)</f>
        <v>0.1151512453644276</v>
      </c>
      <c r="AD21" s="146">
        <f>IF(AD7&gt;THIN!$F$32,growth!$E$27*(1-EXP(-AD19/growth!$E$28))^growth!$E$29,AD13)</f>
        <v>0.12873442299596394</v>
      </c>
      <c r="AE21" s="146">
        <f>IF(AE7&gt;THIN!$F$32,growth!$E$27*(1-EXP(-AE19/growth!$E$28))^growth!$E$29,AE13)</f>
        <v>0.14328273669744057</v>
      </c>
      <c r="AF21" s="146">
        <f>IF(AF7&gt;THIN!$F$32,growth!$E$27*(1-EXP(-AF19/growth!$E$28))^growth!$E$29,AF13)</f>
        <v>0.15882047584978901</v>
      </c>
      <c r="AG21" s="146">
        <f>IF(AG7&gt;THIN!$F$32,growth!$E$27*(1-EXP(-AG19/growth!$E$28))^growth!$E$29,AG13)</f>
        <v>0.17537113418593711</v>
      </c>
      <c r="AH21" s="146">
        <f>IF(AH7&gt;THIN!$F$32,growth!$E$27*(1-EXP(-AH19/growth!$E$28))^growth!$E$29,AH13)</f>
        <v>0.19295742460257786</v>
      </c>
      <c r="AI21" s="146">
        <f>IF(AI7&gt;THIN!$F$32,growth!$E$27*(1-EXP(-AI19/growth!$E$28))^growth!$E$29,AI13)</f>
        <v>0.21160129374331518</v>
      </c>
      <c r="AJ21" s="146">
        <f>IF(AJ7&gt;THIN!$F$32,growth!$E$27*(1-EXP(-AJ19/growth!$E$28))^growth!$E$29,AJ13)</f>
        <v>0.23132393635640697</v>
      </c>
      <c r="AK21" s="146">
        <f>IF(AK7&gt;THIN!$F$32,growth!$E$27*(1-EXP(-AK19/growth!$E$28))^growth!$E$29,AK13)</f>
        <v>0.25214580943030535</v>
      </c>
      <c r="AL21" s="146">
        <f>IF(AL7&gt;THIN!$F$32,growth!$E$27*(1-EXP(-AL19/growth!$E$28))^growth!$E$29,AL13)</f>
        <v>0.27408664611012157</v>
      </c>
      <c r="AM21" s="146">
        <f>IF(AM7&gt;THIN!$F$32,growth!$E$27*(1-EXP(-AM19/growth!$E$28))^growth!$E$29,AM13)</f>
        <v>0.29716546939812627</v>
      </c>
      <c r="AN21" s="146">
        <f>IF(AN7&gt;THIN!$F$32,growth!$E$27*(1-EXP(-AN19/growth!$E$28))^growth!$E$29,AN13)</f>
        <v>0.32140060564134304</v>
      </c>
      <c r="AO21" s="146">
        <f>IF(AO7&gt;THIN!$F$32,growth!$E$27*(1-EXP(-AO19/growth!$E$28))^growth!$E$29,AO13)</f>
        <v>0.34680969780924586</v>
      </c>
      <c r="AP21" s="146">
        <f>IF(AP7&gt;THIN!$F$32,growth!$E$27*(1-EXP(-AP19/growth!$E$28))^growth!$E$29,AP13)</f>
        <v>0.37340971856454569</v>
      </c>
      <c r="AQ21" s="146">
        <f>IF(AQ7&gt;THIN!$F$32,growth!$E$27*(1-EXP(-AQ19/growth!$E$28))^growth!$E$29,AQ13)</f>
        <v>0.40121698312999765</v>
      </c>
      <c r="AR21" s="146">
        <f>IF(AR7&gt;THIN!$F$32,growth!$E$27*(1-EXP(-AR19/growth!$E$28))^growth!$E$29,AR13)</f>
        <v>0.43024716195412716</v>
      </c>
      <c r="AS21" s="146">
        <f>IF(AS7&gt;THIN!$F$32,growth!$E$27*(1-EXP(-AS19/growth!$E$28))^growth!$E$29,AS13)</f>
        <v>0.46051529317873102</v>
      </c>
      <c r="AT21" s="146">
        <f>IF(AT7&gt;THIN!$F$32,growth!$E$27*(1-EXP(-AT19/growth!$E$28))^growth!$E$29,AT13)</f>
        <v>0.49203579491098115</v>
      </c>
      <c r="AU21" s="146">
        <f>IF(AU7&gt;THIN!$F$32,growth!$E$27*(1-EXP(-AU19/growth!$E$28))^growth!$E$29,AU13)</f>
        <v>0.52482247730289744</v>
      </c>
      <c r="AV21" s="146">
        <f>IF(AV7&gt;THIN!$F$32,growth!$E$27*(1-EXP(-AV19/growth!$E$28))^growth!$E$29,AV13)</f>
        <v>0.5588885544409441</v>
      </c>
      <c r="AW21" s="146">
        <f>IF(AW7&gt;THIN!$F$32,growth!$E$27*(1-EXP(-AW19/growth!$E$28))^growth!$E$29,AW13)</f>
        <v>0.59424665604846327</v>
      </c>
      <c r="AX21" s="146">
        <f>IF(AX7&gt;THIN!$F$32,growth!$E$27*(1-EXP(-AX19/growth!$E$28))^growth!$E$29,AX13)</f>
        <v>0.63090883900358596</v>
      </c>
      <c r="AY21" s="146">
        <f>IF(AY7&gt;THIN!$F$32,growth!$E$27*(1-EXP(-AY19/growth!$E$28))^growth!$E$29,AY13)</f>
        <v>0.66888659867529388</v>
      </c>
      <c r="AZ21" s="146">
        <f>IF(AZ7&gt;THIN!$F$32,growth!$E$27*(1-EXP(-AZ19/growth!$E$28))^growth!$E$29,AZ13)</f>
        <v>0.70819088008020181</v>
      </c>
      <c r="BA21" s="146">
        <f>IF(BA7&gt;THIN!$F$32,growth!$E$27*(1-EXP(-BA19/growth!$E$28))^growth!$E$29,BA13)</f>
        <v>0.74883208886263108</v>
      </c>
      <c r="BB21" s="146">
        <f>IF(BB7&gt;THIN!$F$32,growth!$E$27*(1-EXP(-BB19/growth!$E$28))^growth!$E$29,BB13)</f>
        <v>0.79082010210050457</v>
      </c>
      <c r="BC21" s="146">
        <f>IF(BC7&gt;THIN!$F$32,growth!$E$27*(1-EXP(-BC19/growth!$E$28))^growth!$E$29,BC13)</f>
        <v>0.83416427893956235</v>
      </c>
      <c r="BD21" s="146">
        <f>IF(BD7&gt;THIN!$F$32,growth!$E$27*(1-EXP(-BD19/growth!$E$28))^growth!$E$29,BD13)</f>
        <v>0.87887347105833891</v>
      </c>
      <c r="BE21" s="146">
        <f>IF(BE7&gt;THIN!$F$32,growth!$E$27*(1-EXP(-BE19/growth!$E$28))^growth!$E$29,BE13)</f>
        <v>0.92495603296635942</v>
      </c>
      <c r="BF21" s="146">
        <f>IF(BF7&gt;THIN!$F$32,growth!$E$27*(1-EXP(-BF19/growth!$E$28))^growth!$E$29,BF13)</f>
        <v>0.97241983213791106</v>
      </c>
      <c r="BG21" s="146">
        <f>IF(BG7&gt;THIN!$F$32,growth!$E$27*(1-EXP(-BG19/growth!$E$28))^growth!$E$29,BG13)</f>
        <v>1.0212722589837857</v>
      </c>
      <c r="BH21" s="146">
        <f>IF(BH7&gt;THIN!$F$32,growth!$E$27*(1-EXP(-BH19/growth!$E$28))^growth!$E$29,BH13)</f>
        <v>1.0715202366633054</v>
      </c>
      <c r="BI21" s="146">
        <f>IF(BI7&gt;THIN!$F$32,growth!$E$27*(1-EXP(-BI19/growth!$E$28))^growth!$E$29,BI13)</f>
        <v>1.1231702307389244</v>
      </c>
      <c r="BJ21" s="146">
        <f>IF(BJ7&gt;THIN!$F$32,growth!$E$27*(1-EXP(-BJ19/growth!$E$28))^growth!$E$29,BJ13)</f>
        <v>1.176228258675686</v>
      </c>
      <c r="BK21" s="146">
        <f>IF(BK7&gt;THIN!$F$32,growth!$E$27*(1-EXP(-BK19/growth!$E$28))^growth!$E$29,BK13)</f>
        <v>1.2306998991877718</v>
      </c>
      <c r="BL21" s="146">
        <f>IF(BL7&gt;THIN!$F$32,growth!$E$27*(1-EXP(-BL19/growth!$E$28))^growth!$E$29,BL13)</f>
        <v>1.2865903014343147</v>
      </c>
      <c r="BM21" s="146">
        <f>IF(BM7&gt;THIN!$F$32,growth!$E$27*(1-EXP(-BM19/growth!$E$28))^growth!$E$29,BM13)</f>
        <v>1.343904194066716</v>
      </c>
      <c r="BN21" s="146">
        <f>IF(BN7&gt;THIN!$F$32,growth!$E$27*(1-EXP(-BN19/growth!$E$28))^growth!$E$29,BN13)</f>
        <v>1.4026458941295432</v>
      </c>
      <c r="BO21" s="146">
        <f>IF(BO7&gt;THIN!$F$32,growth!$E$27*(1-EXP(-BO19/growth!$E$28))^growth!$E$29,BO13)</f>
        <v>1.4628193158171579</v>
      </c>
      <c r="BP21" s="146">
        <f>IF(BP7&gt;THIN!$F$32,growth!$E$27*(1-EXP(-BP19/growth!$E$28))^growth!$E$29,BP13)</f>
        <v>1.5244279790881745</v>
      </c>
      <c r="BQ21" s="146">
        <f>IF(BQ7&gt;THIN!$F$32,growth!$E$27*(1-EXP(-BQ19/growth!$E$28))^growth!$E$29,BQ13)</f>
        <v>1.587475018139777</v>
      </c>
      <c r="BR21" s="146">
        <f>IF(BR7&gt;THIN!$F$32,growth!$E$27*(1-EXP(-BR19/growth!$E$28))^growth!$E$29,BR13)</f>
        <v>1.6519631897439422</v>
      </c>
      <c r="BS21" s="146">
        <f>IF(BS7&gt;THIN!$F$32,growth!$E$27*(1-EXP(-BS19/growth!$E$28))^growth!$E$29,BS13)</f>
        <v>1.7178948814475761</v>
      </c>
      <c r="BT21" s="146">
        <f>IF(BT7&gt;THIN!$F$32,growth!$E$27*(1-EXP(-BT19/growth!$E$28))^growth!$E$29,BT13)</f>
        <v>1.7852721196385259</v>
      </c>
      <c r="BU21" s="146">
        <f>IF(BU7&gt;THIN!$F$32,growth!$E$27*(1-EXP(-BU19/growth!$E$28))^growth!$E$29,BU13)</f>
        <v>1.854096577479422</v>
      </c>
      <c r="BV21" s="146">
        <f>IF(BV7&gt;THIN!$F$32,growth!$E$27*(1-EXP(-BV19/growth!$E$28))^growth!$E$29,BV13)</f>
        <v>1.9243695827112854</v>
      </c>
      <c r="BW21" s="146">
        <f>IF(BW7&gt;THIN!$F$32,growth!$E$27*(1-EXP(-BW19/growth!$E$28))^growth!$E$29,BW13)</f>
        <v>1.9960921253287776</v>
      </c>
      <c r="BX21" s="146">
        <f>IF(BX7&gt;THIN!$F$32,growth!$E$27*(1-EXP(-BX19/growth!$E$28))^growth!$E$29,BX13)</f>
        <v>2.0692648651289542</v>
      </c>
      <c r="BY21" s="146">
        <f>IF(BY7&gt;THIN!$F$32,growth!$E$27*(1-EXP(-BY19/growth!$E$28))^growth!$E$29,BY13)</f>
        <v>2.1438881391354103</v>
      </c>
      <c r="BZ21" s="146">
        <f>IF(BZ7&gt;THIN!$F$32,growth!$E$27*(1-EXP(-BZ19/growth!$E$28))^growth!$E$29,BZ13)</f>
        <v>2.2199619688995957</v>
      </c>
      <c r="CA21" s="146">
        <f>IF(CA7&gt;THIN!$F$32,growth!$E$27*(1-EXP(-CA19/growth!$E$28))^growth!$E$29,CA13)</f>
        <v>2.2974860676810884</v>
      </c>
      <c r="CB21" s="146">
        <f>IF(CB7&gt;THIN!$F$32,growth!$E$27*(1-EXP(-CB19/growth!$E$28))^growth!$E$29,CB13)</f>
        <v>2.37645984750865</v>
      </c>
      <c r="CC21" s="146">
        <f>IF(CC7&gt;THIN!$F$32,growth!$E$27*(1-EXP(-CC19/growth!$E$28))^growth!$E$29,CC13)</f>
        <v>2.4568824261237392</v>
      </c>
      <c r="CD21" s="146">
        <f>IF(CD7&gt;THIN!$F$32,growth!$E$27*(1-EXP(-CD19/growth!$E$28))^growth!$E$29,CD13)</f>
        <v>2.5387526338082598</v>
      </c>
      <c r="CE21" s="146">
        <f>IF(CE7&gt;THIN!$F$32,growth!$E$27*(1-EXP(-CE19/growth!$E$28))^growth!$E$29,CE13)</f>
        <v>2.6220690200981962</v>
      </c>
      <c r="CF21" s="146">
        <f>IF(CF7&gt;THIN!$F$32,growth!$E$27*(1-EXP(-CF19/growth!$E$28))^growth!$E$29,CF13)</f>
        <v>2.7068298603848753</v>
      </c>
      <c r="CG21" s="146">
        <f>IF(CG7&gt;THIN!$F$32,growth!$E$27*(1-EXP(-CG19/growth!$E$28))^growth!$E$29,CG13)</f>
        <v>2.7930331624053983</v>
      </c>
      <c r="CH21" s="146">
        <f>IF(CH7&gt;THIN!$F$32,growth!$E$27*(1-EXP(-CH19/growth!$E$28))^growth!$E$29,CH13)</f>
        <v>2.8806766726240038</v>
      </c>
      <c r="CI21" s="146">
        <f>IF(CI7&gt;THIN!$F$32,growth!$E$27*(1-EXP(-CI19/growth!$E$28))^growth!$E$29,CI13)</f>
        <v>2.9697578825058577</v>
      </c>
      <c r="CJ21" s="146">
        <f>IF(CJ7&gt;THIN!$F$32,growth!$E$27*(1-EXP(-CJ19/growth!$E$28))^growth!$E$29,CJ13)</f>
        <v>3.0602740346849182</v>
      </c>
      <c r="CK21" s="146">
        <f>IF(CK7&gt;THIN!$F$32,growth!$E$27*(1-EXP(-CK19/growth!$E$28))^growth!$E$29,CK13)</f>
        <v>3.1522221290273933</v>
      </c>
      <c r="CL21" s="146">
        <f>IF(CL7&gt;THIN!$F$32,growth!$E$27*(1-EXP(-CL19/growth!$E$28))^growth!$E$29,CL13)</f>
        <v>3.245598928592405</v>
      </c>
      <c r="CM21" s="146">
        <f>IF(CM7&gt;THIN!$F$32,growth!$E$27*(1-EXP(-CM19/growth!$E$28))^growth!$E$29,CM13)</f>
        <v>3.3404009654912583</v>
      </c>
      <c r="CN21" s="146">
        <f>IF(CN7&gt;THIN!$F$32,growth!$E$27*(1-EXP(-CN19/growth!$E$28))^growth!$E$29,CN13)</f>
        <v>3.4366245466469594</v>
      </c>
      <c r="CO21" s="146">
        <f>IF(CO7&gt;THIN!$F$32,growth!$E$27*(1-EXP(-CO19/growth!$E$28))^growth!$E$29,CO13)</f>
        <v>3.5342657594553346</v>
      </c>
      <c r="CP21" s="146">
        <f>IF(CP7&gt;THIN!$F$32,growth!$E$27*(1-EXP(-CP19/growth!$E$28))^growth!$E$29,CP13)</f>
        <v>3.6333204773492791</v>
      </c>
      <c r="CQ21" s="146">
        <f>IF(CQ7&gt;THIN!$F$32,growth!$E$27*(1-EXP(-CQ19/growth!$E$28))^growth!$E$29,CQ13)</f>
        <v>3.7337843652675535</v>
      </c>
      <c r="CR21" s="146">
        <f>IF(CR7&gt;THIN!$F$32,growth!$E$27*(1-EXP(-CR19/growth!$E$28))^growth!$E$29,CR13)</f>
        <v>3.8356528850295617</v>
      </c>
      <c r="CS21" s="146">
        <f>IF(CS7&gt;THIN!$F$32,growth!$E$27*(1-EXP(-CS19/growth!$E$28))^growth!$E$29,CS13)</f>
        <v>3.9389213006174426</v>
      </c>
      <c r="CT21" s="146">
        <f>IF(CT7&gt;THIN!$F$32,growth!$E$27*(1-EXP(-CT19/growth!$E$28))^growth!$E$29,CT13)</f>
        <v>4.0435846833669586</v>
      </c>
      <c r="CU21" s="146">
        <f>IF(CU7&gt;THIN!$F$32,growth!$E$27*(1-EXP(-CU19/growth!$E$28))^growth!$E$29,CU13)</f>
        <v>4.149637917068473</v>
      </c>
      <c r="CV21" s="146">
        <f>IF(CV7&gt;THIN!$F$32,growth!$E$27*(1-EXP(-CV19/growth!$E$28))^growth!$E$29,CV13)</f>
        <v>4.2570757029793187</v>
      </c>
      <c r="CW21" s="146">
        <f>IF(CW7&gt;THIN!$F$32,growth!$E$27*(1-EXP(-CW19/growth!$E$28))^growth!$E$29,CW13)</f>
        <v>4.3658925647490125</v>
      </c>
      <c r="CX21" s="146">
        <f>IF(CX7&gt;THIN!$F$32,growth!$E$27*(1-EXP(-CX19/growth!$E$28))^growth!$E$29,CX13)</f>
        <v>4.4760828532584638</v>
      </c>
      <c r="CY21" s="146">
        <f>IF(CY7&gt;THIN!$F$32,growth!$E$27*(1-EXP(-CY19/growth!$E$28))^growth!$E$29,CY13)</f>
        <v>4.5876407513745976</v>
      </c>
      <c r="CZ21" s="146">
        <f>IF(CZ7&gt;THIN!$F$32,growth!$E$27*(1-EXP(-CZ19/growth!$E$28))^growth!$E$29,CZ13)</f>
        <v>4.7005602786215333</v>
      </c>
      <c r="DA21" s="146">
        <f>IF(DA7&gt;THIN!$F$32,growth!$E$27*(1-EXP(-DA19/growth!$E$28))^growth!$E$29,DA13)</f>
        <v>4.8148352957696918</v>
      </c>
      <c r="DB21" s="146">
        <f>IF(DB7&gt;THIN!$F$32,growth!$E$27*(1-EXP(-DB19/growth!$E$28))^growth!$E$29,DB13)</f>
        <v>4.9304595093439723</v>
      </c>
      <c r="DC21" s="146">
        <f>IF(DC7&gt;THIN!$F$32,growth!$E$27*(1-EXP(-DC19/growth!$E$28))^growth!$E$29,DC13)</f>
        <v>5.0474264760522605</v>
      </c>
      <c r="DD21" s="146">
        <f>IF(DD7&gt;THIN!$F$32,growth!$E$27*(1-EXP(-DD19/growth!$E$28))^growth!$E$29,DD13)</f>
        <v>5.1657296071354564</v>
      </c>
      <c r="DE21" s="146">
        <f>IF(DE7&gt;THIN!$F$32,growth!$E$27*(1-EXP(-DE19/growth!$E$28))^growth!$E$29,DE13)</f>
        <v>5.2853621726401947</v>
      </c>
      <c r="DF21" s="146">
        <f>IF(DF7&gt;THIN!$F$32,growth!$E$27*(1-EXP(-DF19/growth!$E$28))^growth!$E$29,DF13)</f>
        <v>5.4063173056154223</v>
      </c>
      <c r="DG21" s="146">
        <f>IF(DG7&gt;THIN!$F$32,growth!$E$27*(1-EXP(-DG19/growth!$E$28))^growth!$E$29,DG13)</f>
        <v>5.5285880062340107</v>
      </c>
      <c r="DH21" s="146">
        <f>IF(DH7&gt;THIN!$F$32,growth!$E$27*(1-EXP(-DH19/growth!$E$28))^growth!$E$29,DH13)</f>
        <v>5.6521671458405169</v>
      </c>
      <c r="DI21" s="146">
        <f>IF(DI7&gt;THIN!$F$32,growth!$E$27*(1-EXP(-DI19/growth!$E$28))^growth!$E$29,DI13)</f>
        <v>5.7770474709261794</v>
      </c>
      <c r="DJ21" s="146">
        <f>IF(DJ7&gt;THIN!$F$32,growth!$E$27*(1-EXP(-DJ19/growth!$E$28))^growth!$E$29,DJ13)</f>
        <v>5.9032216070323038</v>
      </c>
      <c r="DK21" s="146">
        <f>IF(DK7&gt;THIN!$F$32,growth!$E$27*(1-EXP(-DK19/growth!$E$28))^growth!$E$29,DK13)</f>
        <v>6.0306820625831072</v>
      </c>
      <c r="DL21" s="146">
        <f>IF(DL7&gt;THIN!$F$32,growth!$E$27*(1-EXP(-DL19/growth!$E$28))^growth!$E$29,DL13)</f>
        <v>6.1594212326490734</v>
      </c>
      <c r="DM21" s="146">
        <f>IF(DM7&gt;THIN!$F$32,growth!$E$27*(1-EXP(-DM19/growth!$E$28))^growth!$E$29,DM13)</f>
        <v>6.2894314026418838</v>
      </c>
      <c r="DN21" s="146">
        <f>IF(DN7&gt;THIN!$F$32,growth!$E$27*(1-EXP(-DN19/growth!$E$28))^growth!$E$29,DN13)</f>
        <v>6.4207047519420053</v>
      </c>
      <c r="DO21" s="146">
        <f>IF(DO7&gt;THIN!$F$32,growth!$E$27*(1-EXP(-DO19/growth!$E$28))^growth!$E$29,DO13)</f>
        <v>6.5532333574598631</v>
      </c>
      <c r="DP21" s="146">
        <f>IF(DP7&gt;THIN!$F$32,growth!$E$27*(1-EXP(-DP19/growth!$E$28))^growth!$E$29,DP13)</f>
        <v>6.6870091971317445</v>
      </c>
      <c r="DQ21" s="146">
        <f>IF(DQ7&gt;THIN!$F$32,growth!$E$27*(1-EXP(-DQ19/growth!$E$28))^growth!$E$29,DQ13)</f>
        <v>6.8220241533513359</v>
      </c>
      <c r="DR21" s="146">
        <f>IF(DR7&gt;THIN!$F$32,growth!$E$27*(1-EXP(-DR19/growth!$E$28))^growth!$E$29,DR13)</f>
        <v>6.9582700163378606</v>
      </c>
      <c r="DS21" s="146">
        <f>IF(DS7&gt;THIN!$F$32,growth!$E$27*(1-EXP(-DS19/growth!$E$28))^growth!$E$29,DS13)</f>
        <v>7.0957384874419063</v>
      </c>
      <c r="DT21" s="146">
        <f>IF(DT7&gt;THIN!$F$32,growth!$E$27*(1-EXP(-DT19/growth!$E$28))^growth!$E$29,DT13)</f>
        <v>7.2344211823897746</v>
      </c>
      <c r="DU21" s="146">
        <f>IF(DU7&gt;THIN!$F$32,growth!$E$27*(1-EXP(-DU19/growth!$E$28))^growth!$E$29,DU13)</f>
        <v>7.3743096344673678</v>
      </c>
      <c r="DV21" s="146">
        <f>IF(DV7&gt;THIN!$F$32,growth!$E$27*(1-EXP(-DV19/growth!$E$28))^growth!$E$29,DV13)</f>
        <v>7.5153952976444769</v>
      </c>
      <c r="DW21" s="146">
        <f>IF(DW7&gt;THIN!$F$32,growth!$E$27*(1-EXP(-DW19/growth!$E$28))^growth!$E$29,DW13)</f>
        <v>7.6576695496405094</v>
      </c>
      <c r="DX21" s="146">
        <f>IF(DX7&gt;THIN!$F$32,growth!$E$27*(1-EXP(-DX19/growth!$E$28))^growth!$E$29,DX13)</f>
        <v>7.8011236949324054</v>
      </c>
      <c r="DY21" s="146">
        <f>IF(DY7&gt;THIN!$F$32,growth!$E$27*(1-EXP(-DY19/growth!$E$28))^growth!$E$29,DY13)</f>
        <v>7.9457489677057547</v>
      </c>
      <c r="DZ21" s="146">
        <f>IF(DZ7&gt;THIN!$F$32,growth!$E$27*(1-EXP(-DZ19/growth!$E$28))^growth!$E$29,DZ13)</f>
        <v>8.0915365347499435</v>
      </c>
      <c r="EA21" s="146">
        <f>IF(EA7&gt;THIN!$F$32,growth!$E$27*(1-EXP(-EA19/growth!$E$28))^growth!$E$29,EA13)</f>
        <v>8.2384774982981739</v>
      </c>
      <c r="EB21" s="146">
        <f>IF(EB7&gt;THIN!$F$32,growth!$E$27*(1-EXP(-EB19/growth!$E$28))^growth!$E$29,EB13)</f>
        <v>8.3865628988132812</v>
      </c>
      <c r="EC21" s="146">
        <f>IF(EC7&gt;THIN!$F$32,growth!$E$27*(1-EXP(-EC19/growth!$E$28))^growth!$E$29,EC13)</f>
        <v>8.535783717720145</v>
      </c>
      <c r="ED21" s="146">
        <f>IF(ED7&gt;THIN!$F$32,growth!$E$27*(1-EXP(-ED19/growth!$E$28))^growth!$E$29,ED13)</f>
        <v>8.6861308800854697</v>
      </c>
      <c r="EE21" s="146">
        <f>IF(EE7&gt;THIN!$F$32,growth!$E$27*(1-EXP(-EE19/growth!$E$28))^growth!$E$29,EE13)</f>
        <v>8.8375952572459102</v>
      </c>
      <c r="EF21" s="146">
        <f>IF(EF7&gt;THIN!$F$32,growth!$E$27*(1-EXP(-EF19/growth!$E$28))^growth!$E$29,EF13)</f>
        <v>8.9901676693851371</v>
      </c>
      <c r="EG21" s="146">
        <f>IF(EG7&gt;THIN!$F$32,growth!$E$27*(1-EXP(-EG19/growth!$E$28))^growth!$E$29,EG13)</f>
        <v>9.1438388880608628</v>
      </c>
      <c r="EH21" s="146">
        <f>IF(EH7&gt;THIN!$F$32,growth!$E$27*(1-EXP(-EH19/growth!$E$28))^growth!$E$29,EH13)</f>
        <v>9.2985996386824148</v>
      </c>
      <c r="EI21" s="146">
        <f>IF(EI7&gt;THIN!$F$32,growth!$E$27*(1-EXP(-EI19/growth!$E$28))^growth!$E$29,EI13)</f>
        <v>9.4544406029397763</v>
      </c>
      <c r="EJ21" s="146">
        <f>IF(EJ7&gt;THIN!$F$32,growth!$E$27*(1-EXP(-EJ19/growth!$E$28))^growth!$E$29,EJ13)</f>
        <v>9.6113524211846979</v>
      </c>
      <c r="EK21" s="146">
        <f>IF(EK7&gt;THIN!$F$32,growth!$E$27*(1-EXP(-EK19/growth!$E$28))^growth!$E$29,EK13)</f>
        <v>9.7693256947648877</v>
      </c>
      <c r="EL21" s="146">
        <f>IF(EL7&gt;THIN!$F$32,growth!$E$27*(1-EXP(-EL19/growth!$E$28))^growth!$E$29,EL13)</f>
        <v>9.9283509883116974</v>
      </c>
      <c r="EM21" s="146">
        <f>IF(EM7&gt;THIN!$F$32,growth!$E$27*(1-EXP(-EM19/growth!$E$28))^growth!$E$29,EM13)</f>
        <v>10.088418831982281</v>
      </c>
      <c r="EN21" s="146">
        <f>IF(EN7&gt;THIN!$F$32,growth!$E$27*(1-EXP(-EN19/growth!$E$28))^growth!$E$29,EN13)</f>
        <v>10.249519723656872</v>
      </c>
      <c r="EO21" s="146">
        <f>IF(EO7&gt;THIN!$F$32,growth!$E$27*(1-EXP(-EO19/growth!$E$28))^growth!$E$29,EO13)</f>
        <v>10.41164413109183</v>
      </c>
      <c r="EP21" s="146">
        <f>IF(EP7&gt;THIN!$F$32,growth!$E$27*(1-EXP(-EP19/growth!$E$28))^growth!$E$29,EP13)</f>
        <v>10.574782494029222</v>
      </c>
      <c r="EQ21" s="146">
        <f>IF(EQ7&gt;THIN!$F$32,growth!$E$27*(1-EXP(-EQ19/growth!$E$28))^growth!$E$29,EQ13)</f>
        <v>10.73892522626363</v>
      </c>
      <c r="ER21" s="146">
        <f>IF(ER7&gt;THIN!$F$32,growth!$E$27*(1-EXP(-ER19/growth!$E$28))^growth!$E$29,ER13)</f>
        <v>10.904062717666822</v>
      </c>
      <c r="ES21" s="146">
        <f>IF(ES7&gt;THIN!$F$32,growth!$E$27*(1-EXP(-ES19/growth!$E$28))^growth!$E$29,ES13)</f>
        <v>11.070185336170969</v>
      </c>
      <c r="ET21" s="146">
        <f>IF(ET7&gt;THIN!$F$32,growth!$E$27*(1-EXP(-ET19/growth!$E$28))^growth!$E$29,ET13)</f>
        <v>11.237283429711121</v>
      </c>
      <c r="EU21" s="146">
        <f>IF(EU7&gt;THIN!$F$32,growth!$E$27*(1-EXP(-EU19/growth!$E$28))^growth!$E$29,EU13)</f>
        <v>11.40534732812749</v>
      </c>
      <c r="EV21" s="146">
        <f>IF(EV7&gt;THIN!$F$32,growth!$E$27*(1-EXP(-EV19/growth!$E$28))^growth!$E$29,EV13)</f>
        <v>11.574367345028266</v>
      </c>
      <c r="EW21" s="146">
        <f>IF(EW7&gt;THIN!$F$32,growth!$E$27*(1-EXP(-EW19/growth!$E$28))^growth!$E$29,EW13)</f>
        <v>11.744333779613566</v>
      </c>
      <c r="EX21" s="146">
        <f>IF(EX7&gt;THIN!$F$32,growth!$E$27*(1-EXP(-EX19/growth!$E$28))^growth!$E$29,EX13)</f>
        <v>11.915236918461199</v>
      </c>
      <c r="EY21" s="146">
        <f>IF(EY7&gt;THIN!$F$32,growth!$E$27*(1-EXP(-EY19/growth!$E$28))^growth!$E$29,EY13)</f>
        <v>12.08706703727467</v>
      </c>
      <c r="EZ21" s="146">
        <f>IF(EZ7&gt;THIN!$F$32,growth!$E$27*(1-EXP(-EZ19/growth!$E$28))^growth!$E$29,EZ13)</f>
        <v>12.259814402594316</v>
      </c>
      <c r="FA21" s="146">
        <f>IF(FA7&gt;THIN!$F$32,growth!$E$27*(1-EXP(-FA19/growth!$E$28))^growth!$E$29,FA13)</f>
        <v>12.43346927347193</v>
      </c>
      <c r="FB21" s="146">
        <f>IF(FB7&gt;THIN!$F$32,growth!$E$27*(1-EXP(-FB19/growth!$E$28))^growth!$E$29,FB13)</f>
        <v>12.608021903109561</v>
      </c>
      <c r="FC21" s="146">
        <f>IF(FC7&gt;THIN!$F$32,growth!$E$27*(1-EXP(-FC19/growth!$E$28))^growth!$E$29,FC13)</f>
        <v>12.783462540463075</v>
      </c>
      <c r="FD21" s="146">
        <f>IF(FD7&gt;THIN!$F$32,growth!$E$27*(1-EXP(-FD19/growth!$E$28))^growth!$E$29,FD13)</f>
        <v>12.959781431811036</v>
      </c>
      <c r="FE21" s="146">
        <f>IF(FE7&gt;THIN!$F$32,growth!$E$27*(1-EXP(-FE19/growth!$E$28))^growth!$E$29,FE13)</f>
        <v>13.136968822289402</v>
      </c>
      <c r="FF21" s="146">
        <f>IF(FF7&gt;THIN!$F$32,growth!$E$27*(1-EXP(-FF19/growth!$E$28))^growth!$E$29,FF13)</f>
        <v>13.315014957392767</v>
      </c>
      <c r="FG21" s="146">
        <f>IF(FG7&gt;THIN!$F$32,growth!$E$27*(1-EXP(-FG19/growth!$E$28))^growth!$E$29,FG13)</f>
        <v>13.493910084442467</v>
      </c>
      <c r="FH21" s="146">
        <f>IF(FH7&gt;THIN!$F$32,growth!$E$27*(1-EXP(-FH19/growth!$E$28))^growth!$E$29,FH13)</f>
        <v>13.673644454022279</v>
      </c>
      <c r="FI21" s="146">
        <f>IF(FI7&gt;THIN!$F$32,growth!$E$27*(1-EXP(-FI19/growth!$E$28))^growth!$E$29,FI13)</f>
        <v>13.854208321382108</v>
      </c>
      <c r="FJ21" s="146">
        <f>IF(FJ7&gt;THIN!$F$32,growth!$E$27*(1-EXP(-FJ19/growth!$E$28))^growth!$E$29,FJ13)</f>
        <v>14.035591947810332</v>
      </c>
      <c r="FK21" s="146">
        <f>IF(FK7&gt;THIN!$F$32,growth!$E$27*(1-EXP(-FK19/growth!$E$28))^growth!$E$29,FK13)</f>
        <v>14.217785601975118</v>
      </c>
      <c r="FL21" s="146">
        <f>IF(FL7&gt;THIN!$F$32,growth!$E$27*(1-EXP(-FL19/growth!$E$28))^growth!$E$29,FL13)</f>
        <v>14.400779561235423</v>
      </c>
      <c r="FM21" s="146">
        <f>IF(FM7&gt;THIN!$F$32,growth!$E$27*(1-EXP(-FM19/growth!$E$28))^growth!$E$29,FM13)</f>
        <v>14.584564112922065</v>
      </c>
      <c r="FN21" s="146">
        <f>IF(FN7&gt;THIN!$F$32,growth!$E$27*(1-EXP(-FN19/growth!$E$28))^growth!$E$29,FN13)</f>
        <v>14.769129555589402</v>
      </c>
      <c r="FO21" s="146">
        <f>IF(FO7&gt;THIN!$F$32,growth!$E$27*(1-EXP(-FO19/growth!$E$28))^growth!$E$29,FO13)</f>
        <v>14.954466200238011</v>
      </c>
      <c r="FP21" s="146">
        <f>IF(FP7&gt;THIN!$F$32,growth!$E$27*(1-EXP(-FP19/growth!$E$28))^growth!$E$29,FP13)</f>
        <v>15.140564371508987</v>
      </c>
      <c r="FQ21" s="146">
        <f>IF(FQ7&gt;THIN!$F$32,growth!$E$27*(1-EXP(-FQ19/growth!$E$28))^growth!$E$29,FQ13)</f>
        <v>15.3274144088503</v>
      </c>
      <c r="FR21" s="146">
        <f>IF(FR7&gt;THIN!$F$32,growth!$E$27*(1-EXP(-FR19/growth!$E$28))^growth!$E$29,FR13)</f>
        <v>15.515006667655552</v>
      </c>
      <c r="FS21" s="146">
        <f>IF(FS7&gt;THIN!$F$32,growth!$E$27*(1-EXP(-FS19/growth!$E$28))^growth!$E$29,FS13)</f>
        <v>15.70333152037577</v>
      </c>
      <c r="FT21" s="146">
        <f>IF(FT7&gt;THIN!$F$32,growth!$E$27*(1-EXP(-FT19/growth!$E$28))^growth!$E$29,FT13)</f>
        <v>15.89237935760452</v>
      </c>
      <c r="FU21" s="146">
        <f>IF(FU7&gt;THIN!$F$32,growth!$E$27*(1-EXP(-FU19/growth!$E$28))^growth!$E$29,FU13)</f>
        <v>16.08214058913693</v>
      </c>
      <c r="FV21" s="146">
        <f>IF(FV7&gt;THIN!$F$32,growth!$E$27*(1-EXP(-FV19/growth!$E$28))^growth!$E$29,FV13)</f>
        <v>16.272605645003011</v>
      </c>
      <c r="FW21" s="146">
        <f>IF(FW7&gt;THIN!$F$32,growth!$E$27*(1-EXP(-FW19/growth!$E$28))^growth!$E$29,FW13)</f>
        <v>16.463764976475609</v>
      </c>
      <c r="FX21" s="146">
        <f>IF(FX7&gt;THIN!$F$32,growth!$E$27*(1-EXP(-FX19/growth!$E$28))^growth!$E$29,FX13)</f>
        <v>16.655609057053578</v>
      </c>
      <c r="FY21" s="146">
        <f>IF(FY7&gt;THIN!$F$32,growth!$E$27*(1-EXP(-FY19/growth!$E$28))^growth!$E$29,FY13)</f>
        <v>16.84812838342053</v>
      </c>
      <c r="FZ21" s="146">
        <f>IF(FZ7&gt;THIN!$F$32,growth!$E$27*(1-EXP(-FZ19/growth!$E$28))^growth!$E$29,FZ13)</f>
        <v>17.041313476379504</v>
      </c>
      <c r="GA21" s="146">
        <f>IF(GA7&gt;THIN!$F$32,growth!$E$27*(1-EXP(-GA19/growth!$E$28))^growth!$E$29,GA13)</f>
        <v>17.235154881763957</v>
      </c>
      <c r="GB21" s="146">
        <f>IF(GB7&gt;THIN!$F$32,growth!$E$27*(1-EXP(-GB19/growth!$E$28))^growth!$E$29,GB13)</f>
        <v>17.4296431713258</v>
      </c>
      <c r="GC21" s="146">
        <f>IF(GC7&gt;THIN!$F$32,growth!$E$27*(1-EXP(-GC19/growth!$E$28))^growth!$E$29,GC13)</f>
        <v>11.615667376929403</v>
      </c>
      <c r="GD21" s="146">
        <f>IF(GD7&gt;THIN!$F$32,growth!$E$27*(1-EXP(-GD19/growth!$E$28))^growth!$E$29,GD13)</f>
        <v>11.796607487876278</v>
      </c>
      <c r="GE21" s="146">
        <f>IF(GE7&gt;THIN!$F$32,growth!$E$27*(1-EXP(-GE19/growth!$E$28))^growth!$E$29,GE13)</f>
        <v>11.978651133791631</v>
      </c>
      <c r="GF21" s="146">
        <f>IF(GF7&gt;THIN!$F$32,growth!$E$27*(1-EXP(-GF19/growth!$E$28))^growth!$E$29,GF13)</f>
        <v>12.161786662202429</v>
      </c>
      <c r="GG21" s="146">
        <f>IF(GG7&gt;THIN!$F$32,growth!$E$27*(1-EXP(-GG19/growth!$E$28))^growth!$E$29,GG13)</f>
        <v>12.34600237723278</v>
      </c>
      <c r="GH21" s="146">
        <f>IF(GH7&gt;THIN!$F$32,growth!$E$27*(1-EXP(-GH19/growth!$E$28))^growth!$E$29,GH13)</f>
        <v>12.531286542600673</v>
      </c>
      <c r="GI21" s="146">
        <f>IF(GI7&gt;THIN!$F$32,growth!$E$27*(1-EXP(-GI19/growth!$E$28))^growth!$E$29,GI13)</f>
        <v>12.71762738456297</v>
      </c>
      <c r="GJ21" s="146">
        <f>IF(GJ7&gt;THIN!$F$32,growth!$E$27*(1-EXP(-GJ19/growth!$E$28))^growth!$E$29,GJ13)</f>
        <v>12.905013094809332</v>
      </c>
      <c r="GK21" s="146">
        <f>IF(GK7&gt;THIN!$F$32,growth!$E$27*(1-EXP(-GK19/growth!$E$28))^growth!$E$29,GK13)</f>
        <v>13.093431833305134</v>
      </c>
      <c r="GL21" s="146">
        <f>IF(GL7&gt;THIN!$F$32,growth!$E$27*(1-EXP(-GL19/growth!$E$28))^growth!$E$29,GL13)</f>
        <v>13.282871731083707</v>
      </c>
      <c r="GM21" s="146">
        <f>IF(GM7&gt;THIN!$F$32,growth!$E$27*(1-EXP(-GM19/growth!$E$28))^growth!$E$29,GM13)</f>
        <v>13.473320892988328</v>
      </c>
      <c r="GN21" s="146">
        <f>IF(GN7&gt;THIN!$F$32,growth!$E$27*(1-EXP(-GN19/growth!$E$28))^growth!$E$29,GN13)</f>
        <v>13.66476740036437</v>
      </c>
      <c r="GO21" s="146">
        <f>IF(GO7&gt;THIN!$F$32,growth!$E$27*(1-EXP(-GO19/growth!$E$28))^growth!$E$29,GO13)</f>
        <v>13.857199313701649</v>
      </c>
      <c r="GP21" s="146">
        <f>IF(GP7&gt;THIN!$F$32,growth!$E$27*(1-EXP(-GP19/growth!$E$28))^growth!$E$29,GP13)</f>
        <v>14.050604675227856</v>
      </c>
      <c r="GQ21" s="146">
        <f>IF(GQ7&gt;THIN!$F$32,growth!$E$27*(1-EXP(-GQ19/growth!$E$28))^growth!$E$29,GQ13)</f>
        <v>14.244971511452855</v>
      </c>
      <c r="GR21" s="146">
        <f>IF(GR7&gt;THIN!$F$32,growth!$E$27*(1-EXP(-GR19/growth!$E$28))^growth!$E$29,GR13)</f>
        <v>14.440287835664867</v>
      </c>
      <c r="GS21" s="146">
        <f>IF(GS7&gt;THIN!$F$32,growth!$E$27*(1-EXP(-GS19/growth!$E$28))^growth!$E$29,GS13)</f>
        <v>14.636541650378318</v>
      </c>
      <c r="GT21" s="146">
        <f>IF(GT7&gt;THIN!$F$32,growth!$E$27*(1-EXP(-GT19/growth!$E$28))^growth!$E$29,GT13)</f>
        <v>14.83372094973431</v>
      </c>
      <c r="GU21" s="146">
        <f>IF(GU7&gt;THIN!$F$32,growth!$E$27*(1-EXP(-GU19/growth!$E$28))^growth!$E$29,GU13)</f>
        <v>15.031813721853725</v>
      </c>
      <c r="GV21" s="146">
        <f>IF(GV7&gt;THIN!$F$32,growth!$E$27*(1-EXP(-GV19/growth!$E$28))^growth!$E$29,GV13)</f>
        <v>15.230807951143602</v>
      </c>
      <c r="GW21" s="146">
        <f>IF(GW7&gt;THIN!$F$32,growth!$E$27*(1-EXP(-GW19/growth!$E$28))^growth!$E$29,GW13)</f>
        <v>15.4306916205572</v>
      </c>
      <c r="GX21" s="146">
        <f>IF(GX7&gt;THIN!$F$32,growth!$E$27*(1-EXP(-GX19/growth!$E$28))^growth!$E$29,GX13)</f>
        <v>15.631452713808056</v>
      </c>
      <c r="GY21" s="146">
        <f>IF(GY7&gt;THIN!$F$32,growth!$E$27*(1-EXP(-GY19/growth!$E$28))^growth!$E$29,GY13)</f>
        <v>15.833079217538634</v>
      </c>
      <c r="GZ21" s="146">
        <f>IF(GZ7&gt;THIN!$F$32,growth!$E$27*(1-EXP(-GZ19/growth!$E$28))^growth!$E$29,GZ13)</f>
        <v>16.035559123443939</v>
      </c>
      <c r="HA21" s="146">
        <f>IF(HA7&gt;THIN!$F$32,growth!$E$27*(1-EXP(-HA19/growth!$E$28))^growth!$E$29,HA13)</f>
        <v>16.238880430350513</v>
      </c>
      <c r="HB21" s="146">
        <f>IF(HB7&gt;THIN!$F$32,growth!$E$27*(1-EXP(-HB19/growth!$E$28))^growth!$E$29,HB13)</f>
        <v>16.44303114625145</v>
      </c>
      <c r="HC21" s="146">
        <f>IF(HC7&gt;THIN!$F$32,growth!$E$27*(1-EXP(-HC19/growth!$E$28))^growth!$E$29,HC13)</f>
        <v>16.64799929029753</v>
      </c>
      <c r="HD21" s="146">
        <f>IF(HD7&gt;THIN!$F$32,growth!$E$27*(1-EXP(-HD19/growth!$E$28))^growth!$E$29,HD13)</f>
        <v>16.853772894745401</v>
      </c>
      <c r="HE21" s="146">
        <f>IF(HE7&gt;THIN!$F$32,growth!$E$27*(1-EXP(-HE19/growth!$E$28))^growth!$E$29,HE13)</f>
        <v>17.060340006862948</v>
      </c>
      <c r="HF21" s="146">
        <f>IF(HF7&gt;THIN!$F$32,growth!$E$27*(1-EXP(-HF19/growth!$E$28))^growth!$E$29,HF13)</f>
        <v>17.267688690792308</v>
      </c>
      <c r="HG21" s="146">
        <f>IF(HG7&gt;THIN!$F$32,growth!$E$27*(1-EXP(-HG19/growth!$E$28))^growth!$E$29,HG13)</f>
        <v>17.475807029371374</v>
      </c>
      <c r="HH21" s="146">
        <f>IF(HH7&gt;THIN!$F$32,growth!$E$27*(1-EXP(-HH19/growth!$E$28))^growth!$E$29,HH13)</f>
        <v>17.684683125913782</v>
      </c>
      <c r="HI21" s="146">
        <f>IF(HI7&gt;THIN!$F$32,growth!$E$27*(1-EXP(-HI19/growth!$E$28))^growth!$E$29,HI13)</f>
        <v>17.894305105948149</v>
      </c>
      <c r="HJ21" s="146">
        <f>IF(HJ7&gt;THIN!$F$32,growth!$E$27*(1-EXP(-HJ19/growth!$E$28))^growth!$E$29,HJ13)</f>
        <v>18.104661118917036</v>
      </c>
      <c r="HK21" s="146">
        <f>IF(HK7&gt;THIN!$F$32,growth!$E$27*(1-EXP(-HK19/growth!$E$28))^growth!$E$29,HK13)</f>
        <v>18.315739339836025</v>
      </c>
      <c r="HL21" s="146">
        <f>IF(HL7&gt;THIN!$F$32,growth!$E$27*(1-EXP(-HL19/growth!$E$28))^growth!$E$29,HL13)</f>
        <v>18.527527970913457</v>
      </c>
      <c r="HM21" s="146">
        <f>IF(HM7&gt;THIN!$F$32,growth!$E$27*(1-EXP(-HM19/growth!$E$28))^growth!$E$29,HM13)</f>
        <v>18.740015243131197</v>
      </c>
      <c r="HN21" s="146">
        <f>IF(HN7&gt;THIN!$F$32,growth!$E$27*(1-EXP(-HN19/growth!$E$28))^growth!$E$29,HN13)</f>
        <v>18.953189417787204</v>
      </c>
      <c r="HO21" s="146">
        <f>IF(HO7&gt;THIN!$F$32,growth!$E$27*(1-EXP(-HO19/growth!$E$28))^growth!$E$29,HO13)</f>
        <v>19.167038787999967</v>
      </c>
      <c r="HP21" s="146">
        <f>IF(HP7&gt;THIN!$F$32,growth!$E$27*(1-EXP(-HP19/growth!$E$28))^growth!$E$29,HP13)</f>
        <v>19.381551680175743</v>
      </c>
      <c r="HQ21" s="146">
        <f>IF(HQ7&gt;THIN!$F$32,growth!$E$27*(1-EXP(-HQ19/growth!$E$28))^growth!$E$29,HQ13)</f>
        <v>19.59671645543866</v>
      </c>
      <c r="HR21" s="146">
        <f>IF(HR7&gt;THIN!$F$32,growth!$E$27*(1-EXP(-HR19/growth!$E$28))^growth!$E$29,HR13)</f>
        <v>19.812521511024485</v>
      </c>
      <c r="HS21" s="146">
        <f>IF(HS7&gt;THIN!$F$32,growth!$E$27*(1-EXP(-HS19/growth!$E$28))^growth!$E$29,HS13)</f>
        <v>20.028955281638538</v>
      </c>
      <c r="HT21" s="146">
        <f>IF(HT7&gt;THIN!$F$32,growth!$E$27*(1-EXP(-HT19/growth!$E$28))^growth!$E$29,HT13)</f>
        <v>20.24600624077782</v>
      </c>
      <c r="HU21" s="146">
        <f>IF(HU7&gt;THIN!$F$32,growth!$E$27*(1-EXP(-HU19/growth!$E$28))^growth!$E$29,HU13)</f>
        <v>20.463662902018452</v>
      </c>
      <c r="HV21" s="146">
        <f>IF(HV7&gt;THIN!$F$32,growth!$E$27*(1-EXP(-HV19/growth!$E$28))^growth!$E$29,HV13)</f>
        <v>20.681913820268491</v>
      </c>
      <c r="HW21" s="146">
        <f>IF(HW7&gt;THIN!$F$32,growth!$E$27*(1-EXP(-HW19/growth!$E$28))^growth!$E$29,HW13)</f>
        <v>20.900747592986644</v>
      </c>
      <c r="HX21" s="146">
        <f>IF(HX7&gt;THIN!$F$32,growth!$E$27*(1-EXP(-HX19/growth!$E$28))^growth!$E$29,HX13)</f>
        <v>21.120152861367568</v>
      </c>
      <c r="HY21" s="146">
        <f>IF(HY7&gt;THIN!$F$32,growth!$E$27*(1-EXP(-HY19/growth!$E$28))^growth!$E$29,HY13)</f>
        <v>21.340118311493992</v>
      </c>
      <c r="HZ21" s="146">
        <f>IF(HZ7&gt;THIN!$F$32,growth!$E$27*(1-EXP(-HZ19/growth!$E$28))^growth!$E$29,HZ13)</f>
        <v>21.560632675456336</v>
      </c>
      <c r="IA21" s="146">
        <f>IF(IA7&gt;THIN!$F$32,growth!$E$27*(1-EXP(-IA19/growth!$E$28))^growth!$E$29,IA13)</f>
        <v>21.781684732440052</v>
      </c>
      <c r="IB21" s="146">
        <f>IF(IB7&gt;THIN!$F$32,growth!$E$27*(1-EXP(-IB19/growth!$E$28))^growth!$E$29,IB13)</f>
        <v>22.003263309781527</v>
      </c>
      <c r="IC21" s="146">
        <f>IF(IC7&gt;THIN!$F$32,growth!$E$27*(1-EXP(-IC19/growth!$E$28))^growth!$E$29,IC13)</f>
        <v>22.225357283992672</v>
      </c>
      <c r="ID21" s="146">
        <f>IF(ID7&gt;THIN!$F$32,growth!$E$27*(1-EXP(-ID19/growth!$E$28))^growth!$E$29,ID13)</f>
        <v>22.447955581754748</v>
      </c>
      <c r="IE21" s="146">
        <f>IF(IE7&gt;THIN!$F$32,growth!$E$27*(1-EXP(-IE19/growth!$E$28))^growth!$E$29,IE13)</f>
        <v>22.671047180882127</v>
      </c>
      <c r="IF21" s="146">
        <f>IF(IF7&gt;THIN!$F$32,growth!$E$27*(1-EXP(-IF19/growth!$E$28))^growth!$E$29,IF13)</f>
        <v>22.894621111256082</v>
      </c>
      <c r="IG21" s="146">
        <f>IF(IG7&gt;THIN!$F$32,growth!$E$27*(1-EXP(-IG19/growth!$E$28))^growth!$E$29,IG13)</f>
        <v>23.118666455729386</v>
      </c>
      <c r="IH21" s="146">
        <f>IF(IH7&gt;THIN!$F$32,growth!$E$27*(1-EXP(-IH19/growth!$E$28))^growth!$E$29,IH13)</f>
        <v>23.343172351001911</v>
      </c>
      <c r="II21" s="146">
        <f>IF(II7&gt;THIN!$F$32,growth!$E$27*(1-EXP(-II19/growth!$E$28))^growth!$E$29,II13)</f>
        <v>23.568127988468021</v>
      </c>
      <c r="IJ21" s="146">
        <f>IF(IJ7&gt;THIN!$F$32,growth!$E$27*(1-EXP(-IJ19/growth!$E$28))^growth!$E$29,IJ13)</f>
        <v>23.793522615035624</v>
      </c>
      <c r="IK21" s="146">
        <f>IF(IK7&gt;THIN!$F$32,growth!$E$27*(1-EXP(-IK19/growth!$E$28))^growth!$E$29,IK13)</f>
        <v>24.019345533918209</v>
      </c>
      <c r="IL21" s="146">
        <f>IF(IL7&gt;THIN!$F$32,growth!$E$27*(1-EXP(-IL19/growth!$E$28))^growth!$E$29,IL13)</f>
        <v>24.245586105399372</v>
      </c>
      <c r="IM21" s="146">
        <f>IF(IM7&gt;THIN!$F$32,growth!$E$27*(1-EXP(-IM19/growth!$E$28))^growth!$E$29,IM13)</f>
        <v>24.472233747570893</v>
      </c>
      <c r="IN21" s="146">
        <f>IF(IN7&gt;THIN!$F$32,growth!$E$27*(1-EXP(-IN19/growth!$E$28))^growth!$E$29,IN13)</f>
        <v>24.699277937044677</v>
      </c>
      <c r="IO21" s="146">
        <f>IF(IO7&gt;THIN!$F$32,growth!$E$27*(1-EXP(-IO19/growth!$E$28))^growth!$E$29,IO13)</f>
        <v>24.9267082096388</v>
      </c>
      <c r="IP21" s="146">
        <f>IF(IP7&gt;THIN!$F$32,growth!$E$27*(1-EXP(-IP19/growth!$E$28))^growth!$E$29,IP13)</f>
        <v>25.154514161038275</v>
      </c>
      <c r="IQ21" s="146">
        <f>IF(IQ7&gt;THIN!$F$32,growth!$E$27*(1-EXP(-IQ19/growth!$E$28))^growth!$E$29,IQ13)</f>
        <v>25.382685447430894</v>
      </c>
      <c r="IR21" s="146">
        <f>IF(IR7&gt;THIN!$F$32,growth!$E$27*(1-EXP(-IR19/growth!$E$28))^growth!$E$29,IR13)</f>
        <v>25.611211786118737</v>
      </c>
      <c r="IS21" s="146">
        <f>IF(IS7&gt;THIN!$F$32,growth!$E$27*(1-EXP(-IS19/growth!$E$28))^growth!$E$29,IS13)</f>
        <v>25.840082956105306</v>
      </c>
      <c r="IT21" s="146">
        <f>IF(IT7&gt;THIN!$F$32,growth!$E$27*(1-EXP(-IT19/growth!$E$28))^growth!$E$29,IT13)</f>
        <v>26.069288798659311</v>
      </c>
      <c r="IU21" s="146">
        <f>IF(IU7&gt;THIN!$F$32,growth!$E$27*(1-EXP(-IU19/growth!$E$28))^growth!$E$29,IU13)</f>
        <v>26.298819217855101</v>
      </c>
      <c r="IV21" s="146">
        <f>IF(IV7&gt;THIN!$F$32,growth!$E$27*(1-EXP(-IV19/growth!$E$28))^growth!$E$29,IV13)</f>
        <v>26.528664181090228</v>
      </c>
      <c r="IW21" s="146">
        <f>IF(IW7&gt;THIN!$F$32,growth!$E$27*(1-EXP(-IW19/growth!$E$28))^growth!$E$29,IW13)</f>
        <v>26.758813719580651</v>
      </c>
      <c r="IX21" s="146">
        <f>IF(IX7&gt;THIN!$F$32,growth!$E$27*(1-EXP(-IX19/growth!$E$28))^growth!$E$29,IX13)</f>
        <v>26.989257928833901</v>
      </c>
      <c r="IY21" s="146">
        <f>IF(IY7&gt;THIN!$F$32,growth!$E$27*(1-EXP(-IY19/growth!$E$28))^growth!$E$29,IY13)</f>
        <v>27.219986969100571</v>
      </c>
      <c r="IZ21" s="146">
        <f>IF(IZ7&gt;THIN!$F$32,growth!$E$27*(1-EXP(-IZ19/growth!$E$28))^growth!$E$29,IZ13)</f>
        <v>27.450991065804665</v>
      </c>
      <c r="JA21" s="146">
        <f>IF(JA7&gt;THIN!$F$32,growth!$E$27*(1-EXP(-JA19/growth!$E$28))^growth!$E$29,JA13)</f>
        <v>27.682260509953064</v>
      </c>
      <c r="JB21" s="146">
        <f>IF(JB7&gt;THIN!$F$32,growth!$E$27*(1-EXP(-JB19/growth!$E$28))^growth!$E$29,JB13)</f>
        <v>27.913785658524393</v>
      </c>
      <c r="JC21" s="146">
        <f>IF(JC7&gt;THIN!$F$32,growth!$E$27*(1-EXP(-JC19/growth!$E$28))^growth!$E$29,JC13)</f>
        <v>28.145556934838027</v>
      </c>
      <c r="JD21" s="146">
        <f>IF(JD7&gt;THIN!$F$32,growth!$E$27*(1-EXP(-JD19/growth!$E$28))^growth!$E$29,JD13)</f>
        <v>28.377564828903314</v>
      </c>
      <c r="JE21" s="146">
        <f>IF(JE7&gt;THIN!$F$32,growth!$E$27*(1-EXP(-JE19/growth!$E$28))^growth!$E$29,JE13)</f>
        <v>28.60979989774928</v>
      </c>
      <c r="JF21" s="146">
        <f>IF(JF7&gt;THIN!$F$32,growth!$E$27*(1-EXP(-JF19/growth!$E$28))^growth!$E$29,JF13)</f>
        <v>28.84225276573574</v>
      </c>
      <c r="JG21" s="146">
        <f>IF(JG7&gt;THIN!$F$32,growth!$E$27*(1-EXP(-JG19/growth!$E$28))^growth!$E$29,JG13)</f>
        <v>29.074914124845304</v>
      </c>
      <c r="JH21" s="146">
        <f>IF(JH7&gt;THIN!$F$32,growth!$E$27*(1-EXP(-JH19/growth!$E$28))^growth!$E$29,JH13)</f>
        <v>29.3077747349577</v>
      </c>
      <c r="JI21" s="146">
        <f>IF(JI7&gt;THIN!$F$32,growth!$E$27*(1-EXP(-JI19/growth!$E$28))^growth!$E$29,JI13)</f>
        <v>29.540825424105762</v>
      </c>
      <c r="JJ21" s="146">
        <f>IF(JJ7&gt;THIN!$F$32,growth!$E$27*(1-EXP(-JJ19/growth!$E$28))^growth!$E$29,JJ13)</f>
        <v>29.774057088714081</v>
      </c>
      <c r="JK21" s="146">
        <f>IF(JK7&gt;THIN!$F$32,growth!$E$27*(1-EXP(-JK19/growth!$E$28))^growth!$E$29,JK13)</f>
        <v>30.007460693820391</v>
      </c>
      <c r="JL21" s="146">
        <f>IF(JL7&gt;THIN!$F$32,growth!$E$27*(1-EXP(-JL19/growth!$E$28))^growth!$E$29,JL13)</f>
        <v>30.241027273280245</v>
      </c>
      <c r="JM21" s="146">
        <f>IF(JM7&gt;THIN!$F$32,growth!$E$27*(1-EXP(-JM19/growth!$E$28))^growth!$E$29,JM13)</f>
        <v>30.474747929955004</v>
      </c>
      <c r="JN21" s="146">
        <f>IF(JN7&gt;THIN!$F$32,growth!$E$27*(1-EXP(-JN19/growth!$E$28))^growth!$E$29,JN13)</f>
        <v>30.708613835883643</v>
      </c>
      <c r="JO21" s="146">
        <f>IF(JO7&gt;THIN!$F$32,growth!$E$27*(1-EXP(-JO19/growth!$E$28))^growth!$E$29,JO13)</f>
        <v>30.942616232438986</v>
      </c>
      <c r="JP21" s="146">
        <f>IF(JP7&gt;THIN!$F$32,growth!$E$27*(1-EXP(-JP19/growth!$E$28))^growth!$E$29,JP13)</f>
        <v>31.176746430468103</v>
      </c>
      <c r="JQ21" s="146">
        <f>IF(JQ7&gt;THIN!$F$32,growth!$E$27*(1-EXP(-JQ19/growth!$E$28))^growth!$E$29,JQ13)</f>
        <v>31.410995810417621</v>
      </c>
      <c r="JR21" s="146">
        <f>IF(JR7&gt;THIN!$F$32,growth!$E$27*(1-EXP(-JR19/growth!$E$28))^growth!$E$29,JR13)</f>
        <v>31.64535582244428</v>
      </c>
      <c r="JS21" s="146">
        <f>IF(JS7&gt;THIN!$F$32,growth!$E$27*(1-EXP(-JS19/growth!$E$28))^growth!$E$29,JS13)</f>
        <v>31.879817986510695</v>
      </c>
      <c r="JT21" s="146">
        <f>IF(JT7&gt;THIN!$F$32,growth!$E$27*(1-EXP(-JT19/growth!$E$28))^growth!$E$29,JT13)</f>
        <v>32.114373892467036</v>
      </c>
      <c r="JU21" s="146">
        <f>IF(JU7&gt;THIN!$F$32,growth!$E$27*(1-EXP(-JU19/growth!$E$28))^growth!$E$29,JU13)</f>
        <v>32.349015200118771</v>
      </c>
      <c r="JV21" s="146">
        <f>IF(JV7&gt;THIN!$F$32,growth!$E$27*(1-EXP(-JV19/growth!$E$28))^growth!$E$29,JV13)</f>
        <v>32.583733639280638</v>
      </c>
      <c r="JW21" s="146">
        <f>IF(JW7&gt;THIN!$F$32,growth!$E$27*(1-EXP(-JW19/growth!$E$28))^growth!$E$29,JW13)</f>
        <v>32.818521009817267</v>
      </c>
      <c r="JX21" s="146">
        <f>IF(JX7&gt;THIN!$F$32,growth!$E$27*(1-EXP(-JX19/growth!$E$28))^growth!$E$29,JX13)</f>
        <v>33.053369181670874</v>
      </c>
      <c r="JY21" s="146">
        <f>IF(JY7&gt;THIN!$F$32,growth!$E$27*(1-EXP(-JY19/growth!$E$28))^growth!$E$29,JY13)</f>
        <v>33.288270094876225</v>
      </c>
      <c r="JZ21" s="146">
        <f>IF(JZ7&gt;THIN!$F$32,growth!$E$27*(1-EXP(-JZ19/growth!$E$28))^growth!$E$29,JZ13)</f>
        <v>33.523215759562753</v>
      </c>
      <c r="KA21" s="146">
        <f>IF(KA7&gt;THIN!$F$32,growth!$E$27*(1-EXP(-KA19/growth!$E$28))^growth!$E$29,KA13)</f>
        <v>33.758198255944997</v>
      </c>
      <c r="KB21" s="146">
        <f>IF(KB7&gt;THIN!$F$32,growth!$E$27*(1-EXP(-KB19/growth!$E$28))^growth!$E$29,KB13)</f>
        <v>33.993209734300727</v>
      </c>
      <c r="KC21" s="146">
        <f>IF(KC7&gt;THIN!$F$32,growth!$E$27*(1-EXP(-KC19/growth!$E$28))^growth!$E$29,KC13)</f>
        <v>34.228242414937526</v>
      </c>
      <c r="KD21" s="146">
        <f>IF(KD7&gt;THIN!$F$32,growth!$E$27*(1-EXP(-KD19/growth!$E$28))^growth!$E$29,KD13)</f>
        <v>34.463288588148131</v>
      </c>
      <c r="KE21" s="146">
        <f>IF(KE7&gt;THIN!$F$32,growth!$E$27*(1-EXP(-KE19/growth!$E$28))^growth!$E$29,KE13)</f>
        <v>34.698340614154439</v>
      </c>
      <c r="KF21" s="146">
        <f>IF(KF7&gt;THIN!$F$32,growth!$E$27*(1-EXP(-KF19/growth!$E$28))^growth!$E$29,KF13)</f>
        <v>34.933390923040839</v>
      </c>
      <c r="KG21" s="146">
        <f>IF(KG7&gt;THIN!$F$32,growth!$E$27*(1-EXP(-KG19/growth!$E$28))^growth!$E$29,KG13)</f>
        <v>35.168432014676853</v>
      </c>
      <c r="KH21" s="146">
        <f>IF(KH7&gt;THIN!$F$32,growth!$E$27*(1-EXP(-KH19/growth!$E$28))^growth!$E$29,KH13)</f>
        <v>35.40345645862952</v>
      </c>
      <c r="KI21" s="146">
        <f>IF(KI7&gt;THIN!$F$32,growth!$E$27*(1-EXP(-KI19/growth!$E$28))^growth!$E$29,KI13)</f>
        <v>35.638456894065548</v>
      </c>
      <c r="KJ21" s="146">
        <f>IF(KJ7&gt;THIN!$F$32,growth!$E$27*(1-EXP(-KJ19/growth!$E$28))^growth!$E$29,KJ13)</f>
        <v>35.873426029643802</v>
      </c>
      <c r="KK21" s="146">
        <f>IF(KK7&gt;THIN!$F$32,growth!$E$27*(1-EXP(-KK19/growth!$E$28))^growth!$E$29,KK13)</f>
        <v>36.108356643398125</v>
      </c>
      <c r="KL21" s="146">
        <f>IF(KL7&gt;THIN!$F$32,growth!$E$27*(1-EXP(-KL19/growth!$E$28))^growth!$E$29,KL13)</f>
        <v>36.343241582610723</v>
      </c>
      <c r="KM21" s="146">
        <f>IF(KM7&gt;THIN!$F$32,growth!$E$27*(1-EXP(-KM19/growth!$E$28))^growth!$E$29,KM13)</f>
        <v>36.578073763676528</v>
      </c>
      <c r="KN21" s="146">
        <f>IF(KN7&gt;THIN!$F$32,growth!$E$27*(1-EXP(-KN19/growth!$E$28))^growth!$E$29,KN13)</f>
        <v>36.812846171958675</v>
      </c>
      <c r="KO21" s="146">
        <f>IF(KO7&gt;THIN!$F$32,growth!$E$27*(1-EXP(-KO19/growth!$E$28))^growth!$E$29,KO13)</f>
        <v>37.047551861635192</v>
      </c>
      <c r="KP21" s="146">
        <f>IF(KP7&gt;THIN!$F$32,growth!$E$27*(1-EXP(-KP19/growth!$E$28))^growth!$E$29,KP13)</f>
        <v>37.28218395553742</v>
      </c>
      <c r="KQ21" s="146">
        <f>IF(KQ7&gt;THIN!$F$32,growth!$E$27*(1-EXP(-KQ19/growth!$E$28))^growth!$E$29,KQ13)</f>
        <v>37.516735644980187</v>
      </c>
      <c r="KR21" s="146">
        <f>IF(KR7&gt;THIN!$F$32,growth!$E$27*(1-EXP(-KR19/growth!$E$28))^growth!$E$29,KR13)</f>
        <v>37.751200189583706</v>
      </c>
      <c r="KS21" s="146">
        <f>IF(KS7&gt;THIN!$F$32,growth!$E$27*(1-EXP(-KS19/growth!$E$28))^growth!$E$29,KS13)</f>
        <v>37.985570917088232</v>
      </c>
      <c r="KT21" s="146">
        <f>IF(KT7&gt;THIN!$F$32,growth!$E$27*(1-EXP(-KT19/growth!$E$28))^growth!$E$29,KT13)</f>
        <v>38.219841223160664</v>
      </c>
      <c r="KU21" s="146">
        <f>IF(KU7&gt;THIN!$F$32,growth!$E$27*(1-EXP(-KU19/growth!$E$28))^growth!$E$29,KU13)</f>
        <v>38.454004571193906</v>
      </c>
      <c r="KV21" s="146">
        <f>IF(KV7&gt;THIN!$F$32,growth!$E$27*(1-EXP(-KV19/growth!$E$28))^growth!$E$29,KV13)</f>
        <v>38.688054492099276</v>
      </c>
      <c r="KW21" s="146">
        <f>IF(KW7&gt;THIN!$F$32,growth!$E$27*(1-EXP(-KW19/growth!$E$28))^growth!$E$29,KW13)</f>
        <v>38.92198458409176</v>
      </c>
      <c r="KX21" s="146">
        <f>IF(KX7&gt;THIN!$F$32,growth!$E$27*(1-EXP(-KX19/growth!$E$28))^growth!$E$29,KX13)</f>
        <v>39.155788512468355</v>
      </c>
      <c r="KY21" s="146">
        <f>IF(KY7&gt;THIN!$F$32,growth!$E$27*(1-EXP(-KY19/growth!$E$28))^growth!$E$29,KY13)</f>
        <v>39.389460009380386</v>
      </c>
      <c r="KZ21" s="146">
        <f>IF(KZ7&gt;THIN!$F$32,growth!$E$27*(1-EXP(-KZ19/growth!$E$28))^growth!$E$29,KZ13)</f>
        <v>39.622992873598776</v>
      </c>
      <c r="LA21" s="146">
        <f>IF(LA7&gt;THIN!$F$32,growth!$E$27*(1-EXP(-LA19/growth!$E$28))^growth!$E$29,LA13)</f>
        <v>39.856380970273584</v>
      </c>
      <c r="LB21" s="146">
        <f>IF(LB7&gt;THIN!$F$32,growth!$E$27*(1-EXP(-LB19/growth!$E$28))^growth!$E$29,LB13)</f>
        <v>40.089618230687471</v>
      </c>
      <c r="LC21" s="146">
        <f>IF(LC7&gt;THIN!$F$32,growth!$E$27*(1-EXP(-LC19/growth!$E$28))^growth!$E$29,LC13)</f>
        <v>40.322698652003133</v>
      </c>
      <c r="LD21" s="146">
        <f>IF(LD7&gt;THIN!$F$32,growth!$E$27*(1-EXP(-LD19/growth!$E$28))^growth!$E$29,LD13)</f>
        <v>40.555616297005301</v>
      </c>
      <c r="LE21" s="146">
        <f>IF(LE7&gt;THIN!$F$32,growth!$E$27*(1-EXP(-LE19/growth!$E$28))^growth!$E$29,LE13)</f>
        <v>8.5544570688236461E-6</v>
      </c>
      <c r="LF21" s="146">
        <f>IF(LF7&gt;THIN!$F$32,growth!$E$27*(1-EXP(-LF19/growth!$E$28))^growth!$E$29,LF13)</f>
        <v>6.8008465527976102E-5</v>
      </c>
      <c r="LG21" s="146">
        <f>IF(LG7&gt;THIN!$F$32,growth!$E$27*(1-EXP(-LG19/growth!$E$28))^growth!$E$29,LG13)</f>
        <v>2.2809679712868013E-4</v>
      </c>
      <c r="LH21" s="146">
        <f>IF(LH7&gt;THIN!$F$32,growth!$E$27*(1-EXP(-LH19/growth!$E$28))^growth!$E$29,LH13)</f>
        <v>5.3730357085554029E-4</v>
      </c>
      <c r="LI21" s="146">
        <f>IF(LI7&gt;THIN!$F$32,growth!$E$27*(1-EXP(-LI19/growth!$E$28))^growth!$E$29,LI13)</f>
        <v>1.0428839694930018E-3</v>
      </c>
      <c r="LJ21" s="146">
        <f>IF(LJ7&gt;THIN!$F$32,growth!$E$27*(1-EXP(-LJ19/growth!$E$28))^growth!$E$29,LJ13)</f>
        <v>1.7908856308893263E-3</v>
      </c>
      <c r="LK21" s="146">
        <f>IF(LK7&gt;THIN!$F$32,growth!$E$27*(1-EXP(-LK19/growth!$E$28))^growth!$E$29,LK13)</f>
        <v>2.8261697184418129E-3</v>
      </c>
      <c r="LL21" s="146">
        <f>IF(LL7&gt;THIN!$F$32,growth!$E$27*(1-EXP(-LL19/growth!$E$28))^growth!$E$29,LL13)</f>
        <v>4.192431675266812E-3</v>
      </c>
      <c r="LM21" s="146">
        <f>IF(LM7&gt;THIN!$F$32,growth!$E$27*(1-EXP(-LM19/growth!$E$28))^growth!$E$29,LM13)</f>
        <v>5.9322216664580707E-3</v>
      </c>
      <c r="LN21" s="146">
        <f>IF(LN7&gt;THIN!$F$32,growth!$E$27*(1-EXP(-LN19/growth!$E$28))^growth!$E$29,LN13)</f>
        <v>8.0869647137791836E-3</v>
      </c>
      <c r="LO21" s="146">
        <f>IF(LO7&gt;THIN!$F$32,growth!$E$27*(1-EXP(-LO19/growth!$E$28))^growth!$E$29,LO13)</f>
        <v>1.0696980527076586E-2</v>
      </c>
      <c r="LP21" s="146">
        <f>IF(LP7&gt;THIN!$F$32,growth!$E$27*(1-EXP(-LP19/growth!$E$28))^growth!$E$29,LP13)</f>
        <v>1.3801503036642727E-2</v>
      </c>
      <c r="LQ21" s="146">
        <f>IF(LQ7&gt;THIN!$F$32,growth!$E$27*(1-EXP(-LQ19/growth!$E$28))^growth!$E$29,LQ13)</f>
        <v>1.7438699630704126E-2</v>
      </c>
      <c r="LR21" s="146">
        <f>IF(LR7&gt;THIN!$F$32,growth!$E$27*(1-EXP(-LR19/growth!$E$28))^growth!$E$29,LR13)</f>
        <v>2.1645690102150235E-2</v>
      </c>
      <c r="LS21" s="146">
        <f>IF(LS7&gt;THIN!$F$32,growth!$E$27*(1-EXP(-LS19/growth!$E$28))^growth!$E$29,LS13)</f>
        <v>2.6458565308565586E-2</v>
      </c>
      <c r="LT21" s="146">
        <f>IF(LT7&gt;THIN!$F$32,growth!$E$27*(1-EXP(-LT19/growth!$E$28))^growth!$E$29,LT13)</f>
        <v>3.1912405549575328E-2</v>
      </c>
      <c r="LU21" s="146">
        <f>IF(LU7&gt;THIN!$F$32,growth!$E$27*(1-EXP(-LU19/growth!$E$28))^growth!$E$29,LU13)</f>
        <v>3.8041298665456996E-2</v>
      </c>
      <c r="LV21" s="146">
        <f>IF(LV7&gt;THIN!$F$32,growth!$E$27*(1-EXP(-LV19/growth!$E$28))^growth!$E$29,LV13)</f>
        <v>4.4878357860917865E-2</v>
      </c>
      <c r="LW21" s="146">
        <f>IF(LW7&gt;THIN!$F$32,growth!$E$27*(1-EXP(-LW19/growth!$E$28))^growth!$E$29,LW13)</f>
        <v>5.2455739257894637E-2</v>
      </c>
      <c r="LX21" s="146">
        <f>IF(LX7&gt;THIN!$F$32,growth!$E$27*(1-EXP(-LX19/growth!$E$28))^growth!$E$29,LX13)</f>
        <v>6.080465918116422E-2</v>
      </c>
      <c r="LY21" s="146">
        <f>IF(LY7&gt;THIN!$F$32,growth!$E$27*(1-EXP(-LY19/growth!$E$28))^growth!$E$29,LY13)</f>
        <v>6.9955411180516527E-2</v>
      </c>
      <c r="LZ21" s="146">
        <f>IF(LZ7&gt;THIN!$F$32,growth!$E$27*(1-EXP(-LZ19/growth!$E$28))^growth!$E$29,LZ13)</f>
        <v>7.9937382793190237E-2</v>
      </c>
      <c r="MA21" s="146">
        <f>IF(MA7&gt;THIN!$F$32,growth!$E$27*(1-EXP(-MA19/growth!$E$28))^growth!$E$29,MA13)</f>
        <v>9.0779072050210241E-2</v>
      </c>
      <c r="MB21" s="146">
        <f>IF(MB7&gt;THIN!$F$32,growth!$E$27*(1-EXP(-MB19/growth!$E$28))^growth!$E$29,MB13)</f>
        <v>0.10250810373022921</v>
      </c>
      <c r="MC21" s="146">
        <f>IF(MC7&gt;THIN!$F$32,growth!$E$27*(1-EXP(-MC19/growth!$E$28))^growth!$E$29,MC13)</f>
        <v>0.11515124536442721</v>
      </c>
      <c r="MD21" s="146">
        <f>IF(MD7&gt;THIN!$F$32,growth!$E$27*(1-EXP(-MD19/growth!$E$28))^growth!$E$29,MD13)</f>
        <v>0.12873442299596394</v>
      </c>
      <c r="ME21" s="146">
        <f>IF(ME7&gt;THIN!$F$32,growth!$E$27*(1-EXP(-ME19/growth!$E$28))^growth!$E$29,ME13)</f>
        <v>0.14328273669744057</v>
      </c>
      <c r="MF21" s="146">
        <f>IF(MF7&gt;THIN!$F$32,growth!$E$27*(1-EXP(-MF19/growth!$E$28))^growth!$E$29,MF13)</f>
        <v>0.15882047584978901</v>
      </c>
      <c r="MG21" s="146">
        <f>IF(MG7&gt;THIN!$F$32,growth!$E$27*(1-EXP(-MG19/growth!$E$28))^growth!$E$29,MG13)</f>
        <v>0.17537113418593711</v>
      </c>
      <c r="MH21" s="146">
        <f>IF(MH7&gt;THIN!$F$32,growth!$E$27*(1-EXP(-MH19/growth!$E$28))^growth!$E$29,MH13)</f>
        <v>0.19295742460257786</v>
      </c>
      <c r="MI21" s="146">
        <f>IF(MI7&gt;THIN!$F$32,growth!$E$27*(1-EXP(-MI19/growth!$E$28))^growth!$E$29,MI13)</f>
        <v>0.2116012937433146</v>
      </c>
      <c r="MJ21" s="146">
        <f>IF(MJ7&gt;THIN!$F$32,growth!$E$27*(1-EXP(-MJ19/growth!$E$28))^growth!$E$29,MJ13)</f>
        <v>0.23132393635640758</v>
      </c>
      <c r="MK21" s="146">
        <f>IF(MK7&gt;THIN!$F$32,growth!$E$27*(1-EXP(-MK19/growth!$E$28))^growth!$E$29,MK13)</f>
        <v>0.25214580943030535</v>
      </c>
      <c r="ML21" s="146">
        <f>IF(ML7&gt;THIN!$F$32,growth!$E$27*(1-EXP(-ML19/growth!$E$28))^growth!$E$29,ML13)</f>
        <v>0.27408664611012157</v>
      </c>
      <c r="MM21" s="146">
        <f>IF(MM7&gt;THIN!$F$32,growth!$E$27*(1-EXP(-MM19/growth!$E$28))^growth!$E$29,MM13)</f>
        <v>0.29716546939812699</v>
      </c>
      <c r="MN21" s="146">
        <f>IF(MN7&gt;THIN!$F$32,growth!$E$27*(1-EXP(-MN19/growth!$E$28))^growth!$E$29,MN13)</f>
        <v>0.32140060564134304</v>
      </c>
      <c r="MO21" s="146">
        <f>IF(MO7&gt;THIN!$F$32,growth!$E$27*(1-EXP(-MO19/growth!$E$28))^growth!$E$29,MO13)</f>
        <v>0.34680969780924509</v>
      </c>
      <c r="MP21" s="146">
        <f>IF(MP7&gt;THIN!$F$32,growth!$E$27*(1-EXP(-MP19/growth!$E$28))^growth!$E$29,MP13)</f>
        <v>0.37340971856454569</v>
      </c>
      <c r="MQ21" s="146">
        <f>IF(MQ7&gt;THIN!$F$32,growth!$E$27*(1-EXP(-MQ19/growth!$E$28))^growth!$E$29,MQ13)</f>
        <v>0.40121698312999765</v>
      </c>
      <c r="MR21" s="146">
        <f>IF(MR7&gt;THIN!$F$32,growth!$E$27*(1-EXP(-MR19/growth!$E$28))^growth!$E$29,MR13)</f>
        <v>0.43024716195412632</v>
      </c>
      <c r="MS21" s="146">
        <f>IF(MS7&gt;THIN!$F$32,growth!$E$27*(1-EXP(-MS19/growth!$E$28))^growth!$E$29,MS13)</f>
        <v>0.46051529317873102</v>
      </c>
      <c r="MT21" s="146">
        <f>IF(MT7&gt;THIN!$F$32,growth!$E$27*(1-EXP(-MT19/growth!$E$28))^growth!$E$29,MT13)</f>
        <v>0.49203579491098115</v>
      </c>
      <c r="MU21" s="146">
        <f>IF(MU7&gt;THIN!$F$32,growth!$E$27*(1-EXP(-MU19/growth!$E$28))^growth!$E$29,MU13)</f>
        <v>0.52482247730289633</v>
      </c>
      <c r="MV21" s="146">
        <f>IF(MV7&gt;THIN!$F$32,growth!$E$27*(1-EXP(-MV19/growth!$E$28))^growth!$E$29,MV13)</f>
        <v>0.55888855444094521</v>
      </c>
      <c r="MW21" s="146">
        <f>IF(MW7&gt;THIN!$F$32,growth!$E$27*(1-EXP(-MW19/growth!$E$28))^growth!$E$29,MW13)</f>
        <v>0.59424665604846327</v>
      </c>
      <c r="MX21" s="146">
        <f>IF(MX7&gt;THIN!$F$32,growth!$E$27*(1-EXP(-MX19/growth!$E$28))^growth!$E$29,MX13)</f>
        <v>0.63090883900358485</v>
      </c>
      <c r="MY21" s="146">
        <f>IF(MY7&gt;THIN!$F$32,growth!$E$27*(1-EXP(-MY19/growth!$E$28))^growth!$E$29,MY13)</f>
        <v>0.66888659867529521</v>
      </c>
      <c r="MZ21" s="146">
        <f>IF(MZ7&gt;THIN!$F$32,growth!$E$27*(1-EXP(-MZ19/growth!$E$28))^growth!$E$29,MZ13)</f>
        <v>0.70819088008020181</v>
      </c>
      <c r="NA21" s="146">
        <f>IF(NA7&gt;THIN!$F$32,growth!$E$27*(1-EXP(-NA19/growth!$E$28))^growth!$E$29,NA13)</f>
        <v>0.74883208886262975</v>
      </c>
      <c r="NB21" s="146">
        <f>IF(NB7&gt;THIN!$F$32,growth!$E$27*(1-EXP(-NB19/growth!$E$28))^growth!$E$29,NB13)</f>
        <v>0.79082010210050457</v>
      </c>
      <c r="NC21" s="146">
        <f>IF(NC7&gt;THIN!$F$32,growth!$E$27*(1-EXP(-NC19/growth!$E$28))^growth!$E$29,NC13)</f>
        <v>0.83416427893956235</v>
      </c>
      <c r="ND21" s="146">
        <f>IF(ND7&gt;THIN!$F$32,growth!$E$27*(1-EXP(-ND19/growth!$E$28))^growth!$E$29,ND13)</f>
        <v>0.87887347105833891</v>
      </c>
      <c r="NE21" s="146">
        <f>IF(NE7&gt;THIN!$F$32,growth!$E$27*(1-EXP(-NE19/growth!$E$28))^growth!$E$29,NE13)</f>
        <v>0.92495603296635942</v>
      </c>
      <c r="NF21" s="146">
        <f>IF(NF7&gt;THIN!$F$32,growth!$E$27*(1-EXP(-NF19/growth!$E$28))^growth!$E$29,NF13)</f>
        <v>0.97241983213791106</v>
      </c>
      <c r="NG21" s="146">
        <f>IF(NG7&gt;THIN!$F$32,growth!$E$27*(1-EXP(-NG19/growth!$E$28))^growth!$E$29,NG13)</f>
        <v>1.0212722589837857</v>
      </c>
      <c r="NH21" s="146">
        <f>IF(NH7&gt;THIN!$F$32,growth!$E$27*(1-EXP(-NH19/growth!$E$28))^growth!$E$29,NH13)</f>
        <v>1.0715202366633054</v>
      </c>
      <c r="NI21" s="146">
        <f>IF(NI7&gt;THIN!$F$32,growth!$E$27*(1-EXP(-NI19/growth!$E$28))^growth!$E$29,NI13)</f>
        <v>1.1231702307389244</v>
      </c>
      <c r="NJ21" s="146">
        <f>IF(NJ7&gt;THIN!$F$32,growth!$E$27*(1-EXP(-NJ19/growth!$E$28))^growth!$E$29,NJ13)</f>
        <v>1.176228258675686</v>
      </c>
      <c r="NK21" s="146">
        <f>IF(NK7&gt;THIN!$F$32,growth!$E$27*(1-EXP(-NK19/growth!$E$28))^growth!$E$29,NK13)</f>
        <v>1.2306998991877718</v>
      </c>
      <c r="NL21" s="146">
        <f>IF(NL7&gt;THIN!$F$32,growth!$E$27*(1-EXP(-NL19/growth!$E$28))^growth!$E$29,NL13)</f>
        <v>1.2865903014343147</v>
      </c>
      <c r="NM21" s="146">
        <f>IF(NM7&gt;THIN!$F$32,growth!$E$27*(1-EXP(-NM19/growth!$E$28))^growth!$E$29,NM13)</f>
        <v>1.343904194066716</v>
      </c>
      <c r="NN21" s="146">
        <f>IF(NN7&gt;THIN!$F$32,growth!$E$27*(1-EXP(-NN19/growth!$E$28))^growth!$E$29,NN13)</f>
        <v>1.4026458941295432</v>
      </c>
      <c r="NO21" s="146">
        <f>IF(NO7&gt;THIN!$F$32,growth!$E$27*(1-EXP(-NO19/growth!$E$28))^growth!$E$29,NO13)</f>
        <v>1.4628193158171579</v>
      </c>
      <c r="NP21" s="146">
        <f>IF(NP7&gt;THIN!$F$32,growth!$E$27*(1-EXP(-NP19/growth!$E$28))^growth!$E$29,NP13)</f>
        <v>1.5244279790881745</v>
      </c>
      <c r="NQ21" s="146">
        <f>IF(NQ7&gt;THIN!$F$32,growth!$E$27*(1-EXP(-NQ19/growth!$E$28))^growth!$E$29,NQ13)</f>
        <v>1.587475018139777</v>
      </c>
      <c r="NR21" s="146">
        <f>IF(NR7&gt;THIN!$F$32,growth!$E$27*(1-EXP(-NR19/growth!$E$28))^growth!$E$29,NR13)</f>
        <v>1.6519631897439422</v>
      </c>
      <c r="NS21" s="146">
        <f>IF(NS7&gt;THIN!$F$32,growth!$E$27*(1-EXP(-NS19/growth!$E$28))^growth!$E$29,NS13)</f>
        <v>1.7178948814475761</v>
      </c>
      <c r="NT21" s="146">
        <f>IF(NT7&gt;THIN!$F$32,growth!$E$27*(1-EXP(-NT19/growth!$E$28))^growth!$E$29,NT13)</f>
        <v>1.7852721196385259</v>
      </c>
      <c r="NU21" s="146">
        <f>IF(NU7&gt;THIN!$F$32,growth!$E$27*(1-EXP(-NU19/growth!$E$28))^growth!$E$29,NU13)</f>
        <v>1.854096577479422</v>
      </c>
      <c r="NV21" s="146">
        <f>IF(NV7&gt;THIN!$F$32,growth!$E$27*(1-EXP(-NV19/growth!$E$28))^growth!$E$29,NV13)</f>
        <v>1.9243695827112854</v>
      </c>
      <c r="NW21" s="146">
        <f>IF(NW7&gt;THIN!$F$32,growth!$E$27*(1-EXP(-NW19/growth!$E$28))^growth!$E$29,NW13)</f>
        <v>1.9960921253287776</v>
      </c>
      <c r="NX21" s="146">
        <f>IF(NX7&gt;THIN!$F$32,growth!$E$27*(1-EXP(-NX19/growth!$E$28))^growth!$E$29,NX13)</f>
        <v>2.0692648651289542</v>
      </c>
      <c r="NY21" s="146">
        <f>IF(NY7&gt;THIN!$F$32,growth!$E$27*(1-EXP(-NY19/growth!$E$28))^growth!$E$29,NY13)</f>
        <v>2.143888139135413</v>
      </c>
      <c r="NZ21" s="146">
        <f>IF(NZ7&gt;THIN!$F$32,growth!$E$27*(1-EXP(-NZ19/growth!$E$28))^growth!$E$29,NZ13)</f>
        <v>2.2199619688995931</v>
      </c>
      <c r="OA21" s="146">
        <f>IF(OA7&gt;THIN!$F$32,growth!$E$27*(1-EXP(-OA19/growth!$E$28))^growth!$E$29,OA13)</f>
        <v>2.2974860676810884</v>
      </c>
      <c r="OB21" s="146">
        <f>IF(OB7&gt;THIN!$F$32,growth!$E$27*(1-EXP(-OB19/growth!$E$28))^growth!$E$29,OB13)</f>
        <v>2.3764598475086522</v>
      </c>
      <c r="OC21" s="146">
        <f>IF(OC7&gt;THIN!$F$32,growth!$E$27*(1-EXP(-OC19/growth!$E$28))^growth!$E$29,OC13)</f>
        <v>2.4568824261237365</v>
      </c>
      <c r="OD21" s="146">
        <f>IF(OD7&gt;THIN!$F$32,growth!$E$27*(1-EXP(-OD19/growth!$E$28))^growth!$E$29,OD13)</f>
        <v>2.5387526338082598</v>
      </c>
      <c r="OE21" s="146">
        <f>IF(OE7&gt;THIN!$F$32,growth!$E$27*(1-EXP(-OE19/growth!$E$28))^growth!$E$29,OE13)</f>
        <v>2.6220690200981993</v>
      </c>
      <c r="OF21" s="146">
        <f>IF(OF7&gt;THIN!$F$32,growth!$E$27*(1-EXP(-OF19/growth!$E$28))^growth!$E$29,OF13)</f>
        <v>2.7068298603848722</v>
      </c>
      <c r="OG21" s="146">
        <f>IF(OG7&gt;THIN!$F$32,growth!$E$27*(1-EXP(-OG19/growth!$E$28))^growth!$E$29,OG13)</f>
        <v>2.7930331624053983</v>
      </c>
      <c r="OH21" s="146">
        <f>IF(OH7&gt;THIN!$F$32,growth!$E$27*(1-EXP(-OH19/growth!$E$28))^growth!$E$29,OH13)</f>
        <v>2.880676672624007</v>
      </c>
      <c r="OI21" s="146">
        <f>IF(OI7&gt;THIN!$F$32,growth!$E$27*(1-EXP(-OI19/growth!$E$28))^growth!$E$29,OI13)</f>
        <v>2.9697578825058542</v>
      </c>
      <c r="OJ21" s="146">
        <f>IF(OJ7&gt;THIN!$F$32,growth!$E$27*(1-EXP(-OJ19/growth!$E$28))^growth!$E$29,OJ13)</f>
        <v>3.0602740346849182</v>
      </c>
      <c r="OK21" s="146">
        <f>IF(OK7&gt;THIN!$F$32,growth!$E$27*(1-EXP(-OK19/growth!$E$28))^growth!$E$29,OK13)</f>
        <v>3.1522221290273973</v>
      </c>
      <c r="OL21" s="146">
        <f>IF(OL7&gt;THIN!$F$32,growth!$E$27*(1-EXP(-OL19/growth!$E$28))^growth!$E$29,OL13)</f>
        <v>3.2455989285924014</v>
      </c>
      <c r="OM21" s="146">
        <f>IF(OM7&gt;THIN!$F$32,growth!$E$27*(1-EXP(-OM19/growth!$E$28))^growth!$E$29,OM13)</f>
        <v>3.3404009654912583</v>
      </c>
      <c r="ON21" s="146">
        <f>IF(ON7&gt;THIN!$F$32,growth!$E$27*(1-EXP(-ON19/growth!$E$28))^growth!$E$29,ON13)</f>
        <v>3.4366245466469634</v>
      </c>
      <c r="OO21" s="146">
        <f>IF(OO7&gt;THIN!$F$32,growth!$E$27*(1-EXP(-OO19/growth!$E$28))^growth!$E$29,OO13)</f>
        <v>3.5342657594553306</v>
      </c>
      <c r="OP21" s="146">
        <f>IF(OP7&gt;THIN!$F$32,growth!$E$27*(1-EXP(-OP19/growth!$E$28))^growth!$E$29,OP13)</f>
        <v>3.6333204773492791</v>
      </c>
      <c r="OQ21" s="146">
        <f>IF(OQ7&gt;THIN!$F$32,growth!$E$27*(1-EXP(-OQ19/growth!$E$28))^growth!$E$29,OQ13)</f>
        <v>3.7337843652675575</v>
      </c>
      <c r="OR21" s="146">
        <f>IF(OR7&gt;THIN!$F$32,growth!$E$27*(1-EXP(-OR19/growth!$E$28))^growth!$E$29,OR13)</f>
        <v>3.8356528850295573</v>
      </c>
      <c r="OS21" s="146">
        <f>IF(OS7&gt;THIN!$F$32,growth!$E$27*(1-EXP(-OS19/growth!$E$28))^growth!$E$29,OS13)</f>
        <v>3.9389213006174426</v>
      </c>
      <c r="OT21" s="146">
        <f>IF(OT7&gt;THIN!$F$32,growth!$E$27*(1-EXP(-OT19/growth!$E$28))^growth!$E$29,OT13)</f>
        <v>4.0435846833669631</v>
      </c>
      <c r="OU21" s="146">
        <f>IF(OU7&gt;THIN!$F$32,growth!$E$27*(1-EXP(-OU19/growth!$E$28))^growth!$E$29,OU13)</f>
        <v>4.1496379170684694</v>
      </c>
      <c r="OV21" s="146">
        <f>IF(OV7&gt;THIN!$F$32,growth!$E$27*(1-EXP(-OV19/growth!$E$28))^growth!$E$29,OV13)</f>
        <v>4.2570757029793187</v>
      </c>
      <c r="OW21" s="146">
        <f>IF(OW7&gt;THIN!$F$32,growth!$E$27*(1-EXP(-OW19/growth!$E$28))^growth!$E$29,OW13)</f>
        <v>4.3658925647490125</v>
      </c>
      <c r="OX21" s="146">
        <f>IF(OX7&gt;THIN!$F$32,growth!$E$27*(1-EXP(-OX19/growth!$E$28))^growth!$E$29,OX13)</f>
        <v>4.4760828532584638</v>
      </c>
      <c r="OY21" s="146">
        <f>IF(OY7&gt;THIN!$F$32,growth!$E$27*(1-EXP(-OY19/growth!$E$28))^growth!$E$29,OY13)</f>
        <v>4.5876407513745976</v>
      </c>
      <c r="OZ21" s="146">
        <f>IF(OZ7&gt;THIN!$F$32,growth!$E$27*(1-EXP(-OZ19/growth!$E$28))^growth!$E$29,OZ13)</f>
        <v>4.7005602786215377</v>
      </c>
      <c r="PA21" s="146">
        <f>IF(PA7&gt;THIN!$F$32,growth!$E$27*(1-EXP(-PA19/growth!$E$28))^growth!$E$29,PA13)</f>
        <v>4.8148352957696883</v>
      </c>
      <c r="PB21" s="146">
        <f>IF(PB7&gt;THIN!$F$32,growth!$E$27*(1-EXP(-PB19/growth!$E$28))^growth!$E$29,PB13)</f>
        <v>4.9304595093439723</v>
      </c>
      <c r="PC21" s="146">
        <f>IF(PC7&gt;THIN!$F$32,growth!$E$27*(1-EXP(-PC19/growth!$E$28))^growth!$E$29,PC13)</f>
        <v>5.0474264760522649</v>
      </c>
      <c r="PD21" s="146">
        <f>IF(PD7&gt;THIN!$F$32,growth!$E$27*(1-EXP(-PD19/growth!$E$28))^growth!$E$29,PD13)</f>
        <v>5.1657296071354564</v>
      </c>
      <c r="PE21" s="146">
        <f>IF(PE7&gt;THIN!$F$32,growth!$E$27*(1-EXP(-PE19/growth!$E$28))^growth!$E$29,PE13)</f>
        <v>5.2853621726401947</v>
      </c>
      <c r="PF21" s="146">
        <f>IF(PF7&gt;THIN!$F$32,growth!$E$27*(1-EXP(-PF19/growth!$E$28))^growth!$E$29,PF13)</f>
        <v>5.4063173056154223</v>
      </c>
      <c r="PG21" s="146">
        <f>IF(PG7&gt;THIN!$F$32,growth!$E$27*(1-EXP(-PG19/growth!$E$28))^growth!$E$29,PG13)</f>
        <v>5.5285880062340054</v>
      </c>
      <c r="PH21" s="146">
        <f>IF(PH7&gt;THIN!$F$32,growth!$E$27*(1-EXP(-PH19/growth!$E$28))^growth!$E$29,PH13)</f>
        <v>5.6521671458405169</v>
      </c>
      <c r="PI21" s="146">
        <f>IF(PI7&gt;THIN!$F$32,growth!$E$27*(1-EXP(-PI19/growth!$E$28))^growth!$E$29,PI13)</f>
        <v>5.7770474709261848</v>
      </c>
      <c r="PJ21" s="146">
        <f>IF(PJ7&gt;THIN!$F$32,growth!$E$27*(1-EXP(-PJ19/growth!$E$28))^growth!$E$29,PJ13)</f>
        <v>5.9032216070322994</v>
      </c>
      <c r="PK21" s="146">
        <f>IF(PK7&gt;THIN!$F$32,growth!$E$27*(1-EXP(-PK19/growth!$E$28))^growth!$E$29,PK13)</f>
        <v>6.0306820625831072</v>
      </c>
      <c r="PL21" s="146">
        <f>IF(PL7&gt;THIN!$F$32,growth!$E$27*(1-EXP(-PL19/growth!$E$28))^growth!$E$29,PL13)</f>
        <v>6.1594212326490734</v>
      </c>
      <c r="PM21" s="146">
        <f>IF(PM7&gt;THIN!$F$32,growth!$E$27*(1-EXP(-PM19/growth!$E$28))^growth!$E$29,PM13)</f>
        <v>6.2894314026418838</v>
      </c>
      <c r="PN21" s="146">
        <f>IF(PN7&gt;THIN!$F$32,growth!$E$27*(1-EXP(-PN19/growth!$E$28))^growth!$E$29,PN13)</f>
        <v>6.4207047519420053</v>
      </c>
      <c r="PO21" s="146">
        <f>IF(PO7&gt;THIN!$F$32,growth!$E$27*(1-EXP(-PO19/growth!$E$28))^growth!$E$29,PO13)</f>
        <v>6.5532333574598631</v>
      </c>
      <c r="PP21" s="146">
        <f>IF(PP7&gt;THIN!$F$32,growth!$E$27*(1-EXP(-PP19/growth!$E$28))^growth!$E$29,PP13)</f>
        <v>6.6870091971317445</v>
      </c>
      <c r="PQ21" s="146">
        <f>IF(PQ7&gt;THIN!$F$32,growth!$E$27*(1-EXP(-PQ19/growth!$E$28))^growth!$E$29,PQ13)</f>
        <v>6.8220241533513359</v>
      </c>
      <c r="PR21" s="146">
        <f>IF(PR7&gt;THIN!$F$32,growth!$E$27*(1-EXP(-PR19/growth!$E$28))^growth!$E$29,PR13)</f>
        <v>6.9582700163378606</v>
      </c>
      <c r="PS21" s="146">
        <f>IF(PS7&gt;THIN!$F$32,growth!$E$27*(1-EXP(-PS19/growth!$E$28))^growth!$E$29,PS13)</f>
        <v>7.0957384874419001</v>
      </c>
      <c r="PT21" s="146">
        <f>IF(PT7&gt;THIN!$F$32,growth!$E$27*(1-EXP(-PT19/growth!$E$28))^growth!$E$29,PT13)</f>
        <v>7.2344211823897746</v>
      </c>
      <c r="PU21" s="146">
        <f>IF(PU7&gt;THIN!$F$32,growth!$E$27*(1-EXP(-PU19/growth!$E$28))^growth!$E$29,PU13)</f>
        <v>7.3743096344673678</v>
      </c>
      <c r="PV21" s="146">
        <f>IF(PV7&gt;THIN!$F$32,growth!$E$27*(1-EXP(-PV19/growth!$E$28))^growth!$E$29,PV13)</f>
        <v>7.5153952976444698</v>
      </c>
      <c r="PW21" s="146">
        <f>IF(PW7&gt;THIN!$F$32,growth!$E$27*(1-EXP(-PW19/growth!$E$28))^growth!$E$29,PW13)</f>
        <v>7.6576695496405094</v>
      </c>
      <c r="PX21" s="146">
        <f>IF(PX7&gt;THIN!$F$32,growth!$E$27*(1-EXP(-PX19/growth!$E$28))^growth!$E$29,PX13)</f>
        <v>7.8011236949324116</v>
      </c>
      <c r="PY21" s="146">
        <f>IF(PY7&gt;THIN!$F$32,growth!$E$27*(1-EXP(-PY19/growth!$E$28))^growth!$E$29,PY13)</f>
        <v>7.9457489677057547</v>
      </c>
      <c r="PZ21" s="146">
        <f>IF(PZ7&gt;THIN!$F$32,growth!$E$27*(1-EXP(-PZ19/growth!$E$28))^growth!$E$29,PZ13)</f>
        <v>8.0915365347499435</v>
      </c>
      <c r="QA21" s="146">
        <f>IF(QA7&gt;THIN!$F$32,growth!$E$27*(1-EXP(-QA19/growth!$E$28))^growth!$E$29,QA13)</f>
        <v>8.2384774982981739</v>
      </c>
      <c r="QB21" s="146">
        <f>IF(QB7&gt;THIN!$F$32,growth!$E$27*(1-EXP(-QB19/growth!$E$28))^growth!$E$29,QB13)</f>
        <v>8.3865628988132741</v>
      </c>
      <c r="QC21" s="146">
        <f>IF(QC7&gt;THIN!$F$32,growth!$E$27*(1-EXP(-QC19/growth!$E$28))^growth!$E$29,QC13)</f>
        <v>8.535783717720145</v>
      </c>
      <c r="QD21" s="146">
        <f>IF(QD7&gt;THIN!$F$32,growth!$E$27*(1-EXP(-QD19/growth!$E$28))^growth!$E$29,QD13)</f>
        <v>8.6861308800854697</v>
      </c>
      <c r="QE21" s="146">
        <f>IF(QE7&gt;THIN!$F$32,growth!$E$27*(1-EXP(-QE19/growth!$E$28))^growth!$E$29,QE13)</f>
        <v>8.8375952572459013</v>
      </c>
      <c r="QF21" s="146">
        <f>IF(QF7&gt;THIN!$F$32,growth!$E$27*(1-EXP(-QF19/growth!$E$28))^growth!$E$29,QF13)</f>
        <v>8.9901676693851371</v>
      </c>
      <c r="QG21" s="146">
        <f>IF(QG7&gt;THIN!$F$32,growth!$E$27*(1-EXP(-QG19/growth!$E$28))^growth!$E$29,QG13)</f>
        <v>9.1438388880608628</v>
      </c>
      <c r="QH21" s="146">
        <f>IF(QH7&gt;THIN!$F$32,growth!$E$27*(1-EXP(-QH19/growth!$E$28))^growth!$E$29,QH13)</f>
        <v>9.2985996386824148</v>
      </c>
      <c r="QI21" s="146">
        <f>IF(QI7&gt;THIN!$F$32,growth!$E$27*(1-EXP(-QI19/growth!$E$28))^growth!$E$29,QI13)</f>
        <v>9.4544406029397763</v>
      </c>
      <c r="QJ21" s="146">
        <f>IF(QJ7&gt;THIN!$F$32,growth!$E$27*(1-EXP(-QJ19/growth!$E$28))^growth!$E$29,QJ13)</f>
        <v>9.6113524211847032</v>
      </c>
      <c r="QK21" s="146">
        <f>IF(QK7&gt;THIN!$F$32,growth!$E$27*(1-EXP(-QK19/growth!$E$28))^growth!$E$29,QK13)</f>
        <v>9.7693256947648806</v>
      </c>
      <c r="QL21" s="146">
        <f>IF(QL7&gt;THIN!$F$32,growth!$E$27*(1-EXP(-QL19/growth!$E$28))^growth!$E$29,QL13)</f>
        <v>9.9283509883116974</v>
      </c>
      <c r="QM21" s="146">
        <f>IF(QM7&gt;THIN!$F$32,growth!$E$27*(1-EXP(-QM19/growth!$E$28))^growth!$E$29,QM13)</f>
        <v>10.088418831982287</v>
      </c>
      <c r="QN21" s="146">
        <f>IF(QN7&gt;THIN!$F$32,growth!$E$27*(1-EXP(-QN19/growth!$E$28))^growth!$E$29,QN13)</f>
        <v>10.249519723656872</v>
      </c>
      <c r="QO21" s="146">
        <f>IF(QO7&gt;THIN!$F$32,growth!$E$27*(1-EXP(-QO19/growth!$E$28))^growth!$E$29,QO13)</f>
        <v>10.41164413109183</v>
      </c>
      <c r="QP21" s="146">
        <f>IF(QP7&gt;THIN!$F$32,growth!$E$27*(1-EXP(-QP19/growth!$E$28))^growth!$E$29,QP13)</f>
        <v>10.574782494029229</v>
      </c>
      <c r="QQ21" s="146">
        <f>IF(QQ7&gt;THIN!$F$32,growth!$E$27*(1-EXP(-QQ19/growth!$E$28))^growth!$E$29,QQ13)</f>
        <v>10.73892522626363</v>
      </c>
      <c r="QR21" s="146">
        <f>IF(QR7&gt;THIN!$F$32,growth!$E$27*(1-EXP(-QR19/growth!$E$28))^growth!$E$29,QR13)</f>
        <v>10.904062717666822</v>
      </c>
      <c r="QS21" s="146">
        <f>IF(QS7&gt;THIN!$F$32,growth!$E$27*(1-EXP(-QS19/growth!$E$28))^growth!$E$29,QS13)</f>
        <v>11.070185336170978</v>
      </c>
      <c r="QT21" s="146">
        <f>IF(QT7&gt;THIN!$F$32,growth!$E$27*(1-EXP(-QT19/growth!$E$28))^growth!$E$29,QT13)</f>
        <v>11.237283429711121</v>
      </c>
      <c r="QU21" s="146">
        <f>IF(QU7&gt;THIN!$F$32,growth!$E$27*(1-EXP(-QU19/growth!$E$28))^growth!$E$29,QU13)</f>
        <v>11.40534732812749</v>
      </c>
      <c r="QV21" s="146">
        <f>IF(QV7&gt;THIN!$F$32,growth!$E$27*(1-EXP(-QV19/growth!$E$28))^growth!$E$29,QV13)</f>
        <v>11.574367345028266</v>
      </c>
      <c r="QW21" s="146">
        <f>IF(QW7&gt;THIN!$F$32,growth!$E$27*(1-EXP(-QW19/growth!$E$28))^growth!$E$29,QW13)</f>
        <v>11.744333779613566</v>
      </c>
      <c r="QX21" s="146">
        <f>IF(QX7&gt;THIN!$F$32,growth!$E$27*(1-EXP(-QX19/growth!$E$28))^growth!$E$29,QX13)</f>
        <v>11.915236918461199</v>
      </c>
      <c r="QY21" s="146">
        <f>IF(QY7&gt;THIN!$F$32,growth!$E$27*(1-EXP(-QY19/growth!$E$28))^growth!$E$29,QY13)</f>
        <v>12.08706703727467</v>
      </c>
      <c r="QZ21" s="146">
        <f>IF(QZ7&gt;THIN!$F$32,growth!$E$27*(1-EXP(-QZ19/growth!$E$28))^growth!$E$29,QZ13)</f>
        <v>12.259814402594305</v>
      </c>
      <c r="RA21" s="146">
        <f>IF(RA7&gt;THIN!$F$32,growth!$E$27*(1-EXP(-RA19/growth!$E$28))^growth!$E$29,RA13)</f>
        <v>12.43346927347193</v>
      </c>
      <c r="RB21" s="146">
        <f>IF(RB7&gt;THIN!$F$32,growth!$E$27*(1-EXP(-RB19/growth!$E$28))^growth!$E$29,RB13)</f>
        <v>12.60802190310957</v>
      </c>
      <c r="RC21" s="146">
        <f>IF(RC7&gt;THIN!$F$32,growth!$E$27*(1-EXP(-RC19/growth!$E$28))^growth!$E$29,RC13)</f>
        <v>12.783462540463075</v>
      </c>
      <c r="RD21" s="146">
        <f>IF(RD7&gt;THIN!$F$32,growth!$E$27*(1-EXP(-RD19/growth!$E$28))^growth!$E$29,RD13)</f>
        <v>12.959781431811036</v>
      </c>
      <c r="RE21" s="146">
        <f>IF(RE7&gt;THIN!$F$32,growth!$E$27*(1-EXP(-RE19/growth!$E$28))^growth!$E$29,RE13)</f>
        <v>13.136968822289402</v>
      </c>
      <c r="RF21" s="146">
        <f>IF(RF7&gt;THIN!$F$32,growth!$E$27*(1-EXP(-RF19/growth!$E$28))^growth!$E$29,RF13)</f>
        <v>13.315014957392757</v>
      </c>
      <c r="RG21" s="146">
        <f>IF(RG7&gt;THIN!$F$32,growth!$E$27*(1-EXP(-RG19/growth!$E$28))^growth!$E$29,RG13)</f>
        <v>13.493910084442467</v>
      </c>
      <c r="RH21" s="146">
        <f>IF(RH7&gt;THIN!$F$32,growth!$E$27*(1-EXP(-RH19/growth!$E$28))^growth!$E$29,RH13)</f>
        <v>13.673644454022288</v>
      </c>
      <c r="RI21" s="146">
        <f>IF(RI7&gt;THIN!$F$32,growth!$E$27*(1-EXP(-RI19/growth!$E$28))^growth!$E$29,RI13)</f>
        <v>13.854208321382108</v>
      </c>
      <c r="RJ21" s="146">
        <f>IF(RJ7&gt;THIN!$F$32,growth!$E$27*(1-EXP(-RJ19/growth!$E$28))^growth!$E$29,RJ13)</f>
        <v>14.035591947810332</v>
      </c>
      <c r="RK21" s="146">
        <f>IF(RK7&gt;THIN!$F$32,growth!$E$27*(1-EXP(-RK19/growth!$E$28))^growth!$E$29,RK13)</f>
        <v>14.217785601975118</v>
      </c>
      <c r="RL21" s="146">
        <f>IF(RL7&gt;THIN!$F$32,growth!$E$27*(1-EXP(-RL19/growth!$E$28))^growth!$E$29,RL13)</f>
        <v>14.400779561235412</v>
      </c>
      <c r="RM21" s="146">
        <f>IF(RM7&gt;THIN!$F$32,growth!$E$27*(1-EXP(-RM19/growth!$E$28))^growth!$E$29,RM13)</f>
        <v>14.584564112922065</v>
      </c>
      <c r="RN21" s="146">
        <f>IF(RN7&gt;THIN!$F$32,growth!$E$27*(1-EXP(-RN19/growth!$E$28))^growth!$E$29,RN13)</f>
        <v>14.769129555589412</v>
      </c>
      <c r="RO21" s="146">
        <f>IF(RO7&gt;THIN!$F$32,growth!$E$27*(1-EXP(-RO19/growth!$E$28))^growth!$E$29,RO13)</f>
        <v>14.954466200238011</v>
      </c>
      <c r="RP21" s="146">
        <f>IF(RP7&gt;THIN!$F$32,growth!$E$27*(1-EXP(-RP19/growth!$E$28))^growth!$E$29,RP13)</f>
        <v>15.140564371508987</v>
      </c>
    </row>
    <row r="22" spans="2:484" ht="12.95" customHeight="1" x14ac:dyDescent="0.2">
      <c r="C22" s="21" t="s">
        <v>919</v>
      </c>
      <c r="D22" s="21" t="s">
        <v>916</v>
      </c>
      <c r="E22" s="146"/>
      <c r="F22" s="277">
        <f t="shared" ref="F22:BQ22" si="39">12*(F20-E20)</f>
        <v>7.1344810150982126E-4</v>
      </c>
      <c r="G22" s="277">
        <f t="shared" si="39"/>
        <v>1.9210599792084484E-3</v>
      </c>
      <c r="H22" s="277">
        <f t="shared" si="39"/>
        <v>3.710481284722322E-3</v>
      </c>
      <c r="I22" s="277">
        <f t="shared" si="39"/>
        <v>6.0669647836495387E-3</v>
      </c>
      <c r="J22" s="277">
        <f t="shared" si="39"/>
        <v>8.9760199367558934E-3</v>
      </c>
      <c r="K22" s="277">
        <f t="shared" si="39"/>
        <v>1.2423409050629839E-2</v>
      </c>
      <c r="L22" s="277">
        <f t="shared" si="39"/>
        <v>1.639514348189999E-2</v>
      </c>
      <c r="M22" s="277">
        <f t="shared" si="39"/>
        <v>2.0877479894295104E-2</v>
      </c>
      <c r="N22" s="277">
        <f t="shared" si="39"/>
        <v>2.5856916567854146E-2</v>
      </c>
      <c r="O22" s="277">
        <f t="shared" si="39"/>
        <v>3.1320189759568032E-2</v>
      </c>
      <c r="P22" s="277">
        <f t="shared" si="39"/>
        <v>3.7254270114793694E-2</v>
      </c>
      <c r="Q22" s="277">
        <f t="shared" si="39"/>
        <v>4.3646359128736795E-2</v>
      </c>
      <c r="R22" s="277">
        <f t="shared" si="39"/>
        <v>5.0483885657353303E-2</v>
      </c>
      <c r="S22" s="277">
        <f t="shared" si="39"/>
        <v>5.7754502476984215E-2</v>
      </c>
      <c r="T22" s="277">
        <f t="shared" si="39"/>
        <v>6.5446082892118812E-2</v>
      </c>
      <c r="U22" s="277">
        <f t="shared" si="39"/>
        <v>7.3546717390575778E-2</v>
      </c>
      <c r="V22" s="277">
        <f t="shared" si="39"/>
        <v>8.2044710345532762E-2</v>
      </c>
      <c r="W22" s="277">
        <f t="shared" si="39"/>
        <v>9.0928576763724012E-2</v>
      </c>
      <c r="X22" s="277">
        <f t="shared" si="39"/>
        <v>0.10018703907923224</v>
      </c>
      <c r="Y22" s="277">
        <f t="shared" si="39"/>
        <v>0.10980902399222769</v>
      </c>
      <c r="Z22" s="277">
        <f t="shared" si="39"/>
        <v>0.11978365935208451</v>
      </c>
      <c r="AA22" s="277">
        <f t="shared" si="39"/>
        <v>0.13010027108424005</v>
      </c>
      <c r="AB22" s="277">
        <f t="shared" si="39"/>
        <v>0.14074838016022767</v>
      </c>
      <c r="AC22" s="277">
        <f t="shared" si="39"/>
        <v>0.15171769961038062</v>
      </c>
      <c r="AD22" s="277">
        <f t="shared" si="39"/>
        <v>0.16299813157843607</v>
      </c>
      <c r="AE22" s="277">
        <f t="shared" si="39"/>
        <v>0.17457976441771961</v>
      </c>
      <c r="AF22" s="277">
        <f t="shared" si="39"/>
        <v>0.18645286982818121</v>
      </c>
      <c r="AG22" s="277">
        <f t="shared" si="39"/>
        <v>0.19860790003377726</v>
      </c>
      <c r="AH22" s="277">
        <f t="shared" si="39"/>
        <v>0.21103548499968905</v>
      </c>
      <c r="AI22" s="277">
        <f t="shared" si="39"/>
        <v>0.22372642968884782</v>
      </c>
      <c r="AJ22" s="277">
        <f t="shared" si="39"/>
        <v>0.23667171135710141</v>
      </c>
      <c r="AK22" s="277">
        <f t="shared" si="39"/>
        <v>0.24986247688678054</v>
      </c>
      <c r="AL22" s="277">
        <f t="shared" si="39"/>
        <v>0.26329004015779467</v>
      </c>
      <c r="AM22" s="277">
        <f t="shared" si="39"/>
        <v>0.27694587945605642</v>
      </c>
      <c r="AN22" s="277">
        <f t="shared" si="39"/>
        <v>0.29082163491860125</v>
      </c>
      <c r="AO22" s="277">
        <f t="shared" si="39"/>
        <v>0.3049091060148339</v>
      </c>
      <c r="AP22" s="277">
        <f t="shared" si="39"/>
        <v>0.3192002490635979</v>
      </c>
      <c r="AQ22" s="277">
        <f t="shared" si="39"/>
        <v>0.33368717478542353</v>
      </c>
      <c r="AR22" s="277">
        <f t="shared" si="39"/>
        <v>0.34836214588955405</v>
      </c>
      <c r="AS22" s="277">
        <f t="shared" si="39"/>
        <v>0.3632175746952464</v>
      </c>
      <c r="AT22" s="277">
        <f t="shared" si="39"/>
        <v>0.37824602078700154</v>
      </c>
      <c r="AU22" s="277">
        <f t="shared" si="39"/>
        <v>0.39344018870299546</v>
      </c>
      <c r="AV22" s="277">
        <f t="shared" si="39"/>
        <v>0.40879292565655989</v>
      </c>
      <c r="AW22" s="277">
        <f t="shared" si="39"/>
        <v>0.42429721929023012</v>
      </c>
      <c r="AX22" s="277">
        <f t="shared" si="39"/>
        <v>0.43994619546147229</v>
      </c>
      <c r="AY22" s="277">
        <f t="shared" si="39"/>
        <v>0.45573311606049494</v>
      </c>
      <c r="AZ22" s="277">
        <f t="shared" si="39"/>
        <v>0.47165137685889524</v>
      </c>
      <c r="BA22" s="277">
        <f t="shared" si="39"/>
        <v>0.48769450538915127</v>
      </c>
      <c r="BB22" s="277">
        <f t="shared" si="39"/>
        <v>0.50385615885448187</v>
      </c>
      <c r="BC22" s="277">
        <f t="shared" si="39"/>
        <v>0.52013012206869336</v>
      </c>
      <c r="BD22" s="277">
        <f t="shared" si="39"/>
        <v>0.53651030542531863</v>
      </c>
      <c r="BE22" s="277">
        <f t="shared" si="39"/>
        <v>0.55299074289624617</v>
      </c>
      <c r="BF22" s="277">
        <f t="shared" si="39"/>
        <v>0.56956559005861962</v>
      </c>
      <c r="BG22" s="277">
        <f t="shared" si="39"/>
        <v>0.58622912215049583</v>
      </c>
      <c r="BH22" s="277">
        <f t="shared" si="39"/>
        <v>0.60297573215423661</v>
      </c>
      <c r="BI22" s="277">
        <f t="shared" si="39"/>
        <v>0.61979992890742786</v>
      </c>
      <c r="BJ22" s="277">
        <f t="shared" si="39"/>
        <v>0.63669633524113944</v>
      </c>
      <c r="BK22" s="277">
        <f t="shared" si="39"/>
        <v>0.65365968614502901</v>
      </c>
      <c r="BL22" s="277">
        <f t="shared" si="39"/>
        <v>0.6706848269585155</v>
      </c>
      <c r="BM22" s="277">
        <f t="shared" si="39"/>
        <v>0.6877667115888153</v>
      </c>
      <c r="BN22" s="277">
        <f t="shared" si="39"/>
        <v>0.70490040075392635</v>
      </c>
      <c r="BO22" s="277">
        <f t="shared" si="39"/>
        <v>0.72208106025137564</v>
      </c>
      <c r="BP22" s="277">
        <f t="shared" si="39"/>
        <v>0.73930395925219994</v>
      </c>
      <c r="BQ22" s="277">
        <f t="shared" si="39"/>
        <v>0.75656446861922966</v>
      </c>
      <c r="BR22" s="277">
        <f t="shared" ref="BR22:EC22" si="40">12*(BR20-BQ20)</f>
        <v>0.77385805924998241</v>
      </c>
      <c r="BS22" s="277">
        <f t="shared" si="40"/>
        <v>0.79118030044360665</v>
      </c>
      <c r="BT22" s="277">
        <f t="shared" si="40"/>
        <v>0.80852685829139848</v>
      </c>
      <c r="BU22" s="277">
        <f t="shared" si="40"/>
        <v>0.82589349409075297</v>
      </c>
      <c r="BV22" s="277">
        <f t="shared" si="40"/>
        <v>0.843276062782361</v>
      </c>
      <c r="BW22" s="277">
        <f t="shared" si="40"/>
        <v>0.86067051140990536</v>
      </c>
      <c r="BX22" s="277">
        <f t="shared" si="40"/>
        <v>0.87807287760212027</v>
      </c>
      <c r="BY22" s="277">
        <f t="shared" si="40"/>
        <v>0.8954792880774729</v>
      </c>
      <c r="BZ22" s="277">
        <f t="shared" si="40"/>
        <v>0.91288595717022503</v>
      </c>
      <c r="CA22" s="277">
        <f t="shared" si="40"/>
        <v>0.93028918537791228</v>
      </c>
      <c r="CB22" s="277">
        <f t="shared" si="40"/>
        <v>0.94768535793073916</v>
      </c>
      <c r="CC22" s="277">
        <f t="shared" si="40"/>
        <v>0.96507094338107002</v>
      </c>
      <c r="CD22" s="277">
        <f t="shared" si="40"/>
        <v>0.98244249221424695</v>
      </c>
      <c r="CE22" s="277">
        <f t="shared" si="40"/>
        <v>0.99979663547923714</v>
      </c>
      <c r="CF22" s="277">
        <f t="shared" si="40"/>
        <v>1.0171300834401489</v>
      </c>
      <c r="CG22" s="277">
        <f t="shared" si="40"/>
        <v>1.0344396242462768</v>
      </c>
      <c r="CH22" s="277">
        <f t="shared" si="40"/>
        <v>1.051722122623266</v>
      </c>
      <c r="CI22" s="277">
        <f t="shared" si="40"/>
        <v>1.0689745185822463</v>
      </c>
      <c r="CJ22" s="277">
        <f t="shared" si="40"/>
        <v>1.0861938261487261</v>
      </c>
      <c r="CK22" s="277">
        <f t="shared" si="40"/>
        <v>1.103377132109701</v>
      </c>
      <c r="CL22" s="277">
        <f t="shared" si="40"/>
        <v>1.1205215947801399</v>
      </c>
      <c r="CM22" s="277">
        <f t="shared" si="40"/>
        <v>1.1376244427862403</v>
      </c>
      <c r="CN22" s="277">
        <f t="shared" si="40"/>
        <v>1.1546829738684128</v>
      </c>
      <c r="CO22" s="277">
        <f t="shared" si="40"/>
        <v>1.1716945537005028</v>
      </c>
      <c r="CP22" s="277">
        <f t="shared" si="40"/>
        <v>1.1886566147273339</v>
      </c>
      <c r="CQ22" s="277">
        <f t="shared" si="40"/>
        <v>1.2055666550192932</v>
      </c>
      <c r="CR22" s="277">
        <f t="shared" si="40"/>
        <v>1.222422237144098</v>
      </c>
      <c r="CS22" s="277">
        <f t="shared" si="40"/>
        <v>1.239220987054571</v>
      </c>
      <c r="CT22" s="277">
        <f t="shared" si="40"/>
        <v>1.2559605929941924</v>
      </c>
      <c r="CU22" s="277">
        <f t="shared" si="40"/>
        <v>1.2726388044181718</v>
      </c>
      <c r="CV22" s="277">
        <f t="shared" si="40"/>
        <v>1.2892534309301489</v>
      </c>
      <c r="CW22" s="277">
        <f t="shared" si="40"/>
        <v>1.3058023412363262</v>
      </c>
      <c r="CX22" s="277">
        <f t="shared" si="40"/>
        <v>1.3222834621134147</v>
      </c>
      <c r="CY22" s="277">
        <f t="shared" si="40"/>
        <v>1.3386947773936058</v>
      </c>
      <c r="CZ22" s="277">
        <f t="shared" si="40"/>
        <v>1.3550343269632279</v>
      </c>
      <c r="DA22" s="277">
        <f t="shared" si="40"/>
        <v>1.3713002057779029</v>
      </c>
      <c r="DB22" s="277">
        <f t="shared" si="40"/>
        <v>1.3874905628913652</v>
      </c>
      <c r="DC22" s="277">
        <f t="shared" si="40"/>
        <v>1.4036036004994585</v>
      </c>
      <c r="DD22" s="277">
        <f t="shared" si="40"/>
        <v>1.4196375729983508</v>
      </c>
      <c r="DE22" s="277">
        <f t="shared" si="40"/>
        <v>1.43559078605686</v>
      </c>
      <c r="DF22" s="277">
        <f t="shared" si="40"/>
        <v>1.4514615957027317</v>
      </c>
      <c r="DG22" s="277">
        <f t="shared" si="40"/>
        <v>1.4672484074230603</v>
      </c>
      <c r="DH22" s="277">
        <f t="shared" si="40"/>
        <v>1.4829496752780749</v>
      </c>
      <c r="DI22" s="277">
        <f t="shared" si="40"/>
        <v>1.4985639010279499</v>
      </c>
      <c r="DJ22" s="277">
        <f t="shared" si="40"/>
        <v>1.5140896332734926</v>
      </c>
      <c r="DK22" s="277">
        <f t="shared" si="40"/>
        <v>1.5295254666096412</v>
      </c>
      <c r="DL22" s="277">
        <f t="shared" si="40"/>
        <v>1.5448700407915936</v>
      </c>
      <c r="DM22" s="277">
        <f t="shared" si="40"/>
        <v>1.5601220399137254</v>
      </c>
      <c r="DN22" s="277">
        <f t="shared" si="40"/>
        <v>1.5752801916014576</v>
      </c>
      <c r="DO22" s="277">
        <f t="shared" si="40"/>
        <v>1.590343266214294</v>
      </c>
      <c r="DP22" s="277">
        <f t="shared" si="40"/>
        <v>1.605310076062576</v>
      </c>
      <c r="DQ22" s="277">
        <f t="shared" si="40"/>
        <v>1.6201794746350977</v>
      </c>
      <c r="DR22" s="277">
        <f t="shared" si="40"/>
        <v>1.6349503558382956</v>
      </c>
      <c r="DS22" s="277">
        <f t="shared" si="40"/>
        <v>1.6496216532485484</v>
      </c>
      <c r="DT22" s="277">
        <f t="shared" si="40"/>
        <v>1.66419233937442</v>
      </c>
      <c r="DU22" s="277">
        <f t="shared" si="40"/>
        <v>1.6786614249311178</v>
      </c>
      <c r="DV22" s="277">
        <f t="shared" si="40"/>
        <v>1.6930279581253096</v>
      </c>
      <c r="DW22" s="277">
        <f t="shared" si="40"/>
        <v>1.70729102395239</v>
      </c>
      <c r="DX22" s="277">
        <f t="shared" si="40"/>
        <v>1.7214497435027525</v>
      </c>
      <c r="DY22" s="277">
        <f t="shared" si="40"/>
        <v>1.7355032732801909</v>
      </c>
      <c r="DZ22" s="277">
        <f t="shared" si="40"/>
        <v>1.7494508045302659</v>
      </c>
      <c r="EA22" s="277">
        <f t="shared" si="40"/>
        <v>1.7632915625787646</v>
      </c>
      <c r="EB22" s="277">
        <f t="shared" si="40"/>
        <v>1.7770248061812879</v>
      </c>
      <c r="EC22" s="277">
        <f t="shared" si="40"/>
        <v>1.7906498268823654</v>
      </c>
      <c r="ED22" s="277">
        <f t="shared" ref="ED22:GO22" si="41">12*(ED20-EC20)</f>
        <v>1.804165948383897</v>
      </c>
      <c r="EE22" s="277">
        <f t="shared" si="41"/>
        <v>1.8175725259252857</v>
      </c>
      <c r="EF22" s="277">
        <f t="shared" si="41"/>
        <v>1.8308689456707228</v>
      </c>
      <c r="EG22" s="277">
        <f t="shared" si="41"/>
        <v>1.8440546241087077</v>
      </c>
      <c r="EH22" s="277">
        <f t="shared" si="41"/>
        <v>1.8571290074586244</v>
      </c>
      <c r="EI22" s="277">
        <f t="shared" si="41"/>
        <v>1.8700915710883379</v>
      </c>
      <c r="EJ22" s="277">
        <f t="shared" si="41"/>
        <v>1.8829418189390594</v>
      </c>
      <c r="EK22" s="277">
        <f t="shared" si="41"/>
        <v>1.8956792829622771</v>
      </c>
      <c r="EL22" s="277">
        <f t="shared" si="41"/>
        <v>1.9083035225617166</v>
      </c>
      <c r="EM22" s="277">
        <f t="shared" si="41"/>
        <v>1.9208141240470056</v>
      </c>
      <c r="EN22" s="277">
        <f t="shared" si="41"/>
        <v>1.9332107000950955</v>
      </c>
      <c r="EO22" s="277">
        <f t="shared" si="41"/>
        <v>1.9454928892194872</v>
      </c>
      <c r="EP22" s="277">
        <f t="shared" si="41"/>
        <v>1.9576603552487057</v>
      </c>
      <c r="EQ22" s="277">
        <f t="shared" si="41"/>
        <v>1.9697127868128987</v>
      </c>
      <c r="ER22" s="277">
        <f t="shared" si="41"/>
        <v>1.9816498968382987</v>
      </c>
      <c r="ES22" s="277">
        <f t="shared" si="41"/>
        <v>1.9934714220497654</v>
      </c>
      <c r="ET22" s="277">
        <f t="shared" si="41"/>
        <v>2.0051771224818324</v>
      </c>
      <c r="EU22" s="277">
        <f t="shared" si="41"/>
        <v>2.0167667809964271</v>
      </c>
      <c r="EV22" s="277">
        <f t="shared" si="41"/>
        <v>2.0282402028093074</v>
      </c>
      <c r="EW22" s="277">
        <f t="shared" si="41"/>
        <v>2.0395972150235977</v>
      </c>
      <c r="EX22" s="277">
        <f t="shared" si="41"/>
        <v>2.0508376661715957</v>
      </c>
      <c r="EY22" s="277">
        <f t="shared" si="41"/>
        <v>2.0619614257616519</v>
      </c>
      <c r="EZ22" s="277">
        <f t="shared" si="41"/>
        <v>2.0729683838357502</v>
      </c>
      <c r="FA22" s="277">
        <f t="shared" si="41"/>
        <v>2.0838584505313733</v>
      </c>
      <c r="FB22" s="277">
        <f t="shared" si="41"/>
        <v>2.0946315556515742</v>
      </c>
      <c r="FC22" s="277">
        <f t="shared" si="41"/>
        <v>2.1052876482421681</v>
      </c>
      <c r="FD22" s="277">
        <f t="shared" si="41"/>
        <v>2.1158266961755317</v>
      </c>
      <c r="FE22" s="277">
        <f t="shared" si="41"/>
        <v>2.1262486857403928</v>
      </c>
      <c r="FF22" s="277">
        <f t="shared" si="41"/>
        <v>2.1365536212403811</v>
      </c>
      <c r="FG22" s="277">
        <f t="shared" si="41"/>
        <v>2.1467415245963934</v>
      </c>
      <c r="FH22" s="277">
        <f t="shared" si="41"/>
        <v>2.1568124349577431</v>
      </c>
      <c r="FI22" s="277">
        <f t="shared" si="41"/>
        <v>2.1667664083179545</v>
      </c>
      <c r="FJ22" s="277">
        <f t="shared" si="41"/>
        <v>2.1766035171386804</v>
      </c>
      <c r="FK22" s="277">
        <f t="shared" si="41"/>
        <v>2.186323849977434</v>
      </c>
      <c r="FL22" s="277">
        <f t="shared" si="41"/>
        <v>2.1959275111236565</v>
      </c>
      <c r="FM22" s="277">
        <f t="shared" si="41"/>
        <v>2.2054146202397078</v>
      </c>
      <c r="FN22" s="277">
        <f t="shared" si="41"/>
        <v>2.2147853120080399</v>
      </c>
      <c r="FO22" s="277">
        <f t="shared" si="41"/>
        <v>2.2240397357833146</v>
      </c>
      <c r="FP22" s="277">
        <f t="shared" si="41"/>
        <v>2.233178055251706</v>
      </c>
      <c r="FQ22" s="277">
        <f t="shared" si="41"/>
        <v>2.2422004480957654</v>
      </c>
      <c r="FR22" s="277">
        <f t="shared" si="41"/>
        <v>2.2511071056630172</v>
      </c>
      <c r="FS22" s="277">
        <f t="shared" si="41"/>
        <v>2.2598982326426125</v>
      </c>
      <c r="FT22" s="277">
        <f t="shared" si="41"/>
        <v>2.2685740467450088</v>
      </c>
      <c r="FU22" s="277">
        <f t="shared" si="41"/>
        <v>2.2771347783889198</v>
      </c>
      <c r="FV22" s="277">
        <f t="shared" si="41"/>
        <v>2.2855806703929744</v>
      </c>
      <c r="FW22" s="277">
        <f t="shared" si="41"/>
        <v>2.2939119776711721</v>
      </c>
      <c r="FX22" s="277">
        <f t="shared" si="41"/>
        <v>2.3021289669356264</v>
      </c>
      <c r="FY22" s="277">
        <f t="shared" si="41"/>
        <v>2.3102319164034242</v>
      </c>
      <c r="FZ22" s="277">
        <f t="shared" si="41"/>
        <v>2.3182211155076828</v>
      </c>
      <c r="GA22" s="277">
        <f t="shared" si="41"/>
        <v>2.3260968646134472</v>
      </c>
      <c r="GB22" s="277">
        <f t="shared" si="41"/>
        <v>2.3338594747421126</v>
      </c>
      <c r="GC22" s="277">
        <f t="shared" si="41"/>
        <v>2.341509267293759</v>
      </c>
      <c r="GD22" s="277">
        <f t="shared" si="41"/>
        <v>2.3490465737809103</v>
      </c>
      <c r="GE22" s="277">
        <f t="shared" si="41"/>
        <v>2.356471735562252</v>
      </c>
      <c r="GF22" s="277">
        <f t="shared" si="41"/>
        <v>2.3637851035833819</v>
      </c>
      <c r="GG22" s="277">
        <f t="shared" si="41"/>
        <v>2.3709870381211005</v>
      </c>
      <c r="GH22" s="277">
        <f t="shared" si="41"/>
        <v>2.3780779085332</v>
      </c>
      <c r="GI22" s="277">
        <f t="shared" si="41"/>
        <v>2.385058093009107</v>
      </c>
      <c r="GJ22" s="277">
        <f t="shared" si="41"/>
        <v>2.3919279783302869</v>
      </c>
      <c r="GK22" s="277">
        <f t="shared" si="41"/>
        <v>2.398687959630351</v>
      </c>
      <c r="GL22" s="277">
        <f t="shared" si="41"/>
        <v>2.4053384401610884</v>
      </c>
      <c r="GM22" s="277">
        <f t="shared" si="41"/>
        <v>2.4118798310619098</v>
      </c>
      <c r="GN22" s="277">
        <f t="shared" si="41"/>
        <v>2.4183125511359407</v>
      </c>
      <c r="GO22" s="277">
        <f t="shared" si="41"/>
        <v>2.424637026624282</v>
      </c>
      <c r="GP22" s="277">
        <f t="shared" ref="GP22:JA22" si="42">12*(GP20-GO20)</f>
        <v>2.4308536909921656</v>
      </c>
      <c r="GQ22" s="277">
        <f t="shared" si="42"/>
        <v>2.4369629847096945</v>
      </c>
      <c r="GR22" s="277">
        <f t="shared" si="42"/>
        <v>2.4429653550468657</v>
      </c>
      <c r="GS22" s="277">
        <f t="shared" si="42"/>
        <v>2.4488612558608764</v>
      </c>
      <c r="GT22" s="277">
        <f t="shared" si="42"/>
        <v>2.4546511473984367</v>
      </c>
      <c r="GU22" s="277">
        <f t="shared" si="42"/>
        <v>2.4603354960920711</v>
      </c>
      <c r="GV22" s="277">
        <f t="shared" si="42"/>
        <v>2.4659147743661407</v>
      </c>
      <c r="GW22" s="277">
        <f t="shared" si="42"/>
        <v>2.4713894604449962</v>
      </c>
      <c r="GX22" s="277">
        <f t="shared" si="42"/>
        <v>2.4767600381617711</v>
      </c>
      <c r="GY22" s="277">
        <f t="shared" si="42"/>
        <v>2.4820269967748061</v>
      </c>
      <c r="GZ22" s="277">
        <f t="shared" si="42"/>
        <v>2.4871908307847548</v>
      </c>
      <c r="HA22" s="277">
        <f t="shared" si="42"/>
        <v>2.4922520397549306</v>
      </c>
      <c r="HB22" s="277">
        <f t="shared" si="42"/>
        <v>2.4972111281378773</v>
      </c>
      <c r="HC22" s="277">
        <f t="shared" si="42"/>
        <v>2.502068605099339</v>
      </c>
      <c r="HD22" s="277">
        <f t="shared" si="42"/>
        <v>2.5068249843525052</v>
      </c>
      <c r="HE22" s="277">
        <f t="shared" si="42"/>
        <v>2.5114807839901658</v>
      </c>
      <c r="HF22" s="277">
        <f t="shared" si="42"/>
        <v>2.5160365263204056</v>
      </c>
      <c r="HG22" s="277">
        <f t="shared" si="42"/>
        <v>2.5204927377098016</v>
      </c>
      <c r="HH22" s="277">
        <f t="shared" si="42"/>
        <v>2.524849948423082</v>
      </c>
      <c r="HI22" s="277">
        <f t="shared" si="42"/>
        <v>2.5291086924699044</v>
      </c>
      <c r="HJ22" s="277">
        <f t="shared" si="42"/>
        <v>2.5332695074544063</v>
      </c>
      <c r="HK22" s="277">
        <f t="shared" si="42"/>
        <v>2.5373329344255637</v>
      </c>
      <c r="HL22" s="277">
        <f t="shared" si="42"/>
        <v>2.5412995177324973</v>
      </c>
      <c r="HM22" s="277">
        <f t="shared" si="42"/>
        <v>2.5451698048796914</v>
      </c>
      <c r="HN22" s="277">
        <f t="shared" si="42"/>
        <v>2.5489443463893338</v>
      </c>
      <c r="HO22" s="277">
        <f t="shared" si="42"/>
        <v>2.5526236956611399</v>
      </c>
      <c r="HP22" s="277">
        <f t="shared" si="42"/>
        <v>2.556208408839808</v>
      </c>
      <c r="HQ22" s="277">
        <f t="shared" si="42"/>
        <v>2.5596990446800447</v>
      </c>
      <c r="HR22" s="277">
        <f t="shared" si="42"/>
        <v>2.5630961644182406</v>
      </c>
      <c r="HS22" s="277">
        <f t="shared" si="42"/>
        <v>2.5664003316464488</v>
      </c>
      <c r="HT22" s="277">
        <f t="shared" si="42"/>
        <v>2.5696121121838047</v>
      </c>
      <c r="HU22" s="277">
        <f t="shared" si="42"/>
        <v>2.5727320739571979</v>
      </c>
      <c r="HV22" s="277">
        <f t="shared" si="42"/>
        <v>2.5757607868804939</v>
      </c>
      <c r="HW22" s="277">
        <f t="shared" si="42"/>
        <v>2.578698822735717</v>
      </c>
      <c r="HX22" s="277">
        <f t="shared" si="42"/>
        <v>2.5815467550591791</v>
      </c>
      <c r="HY22" s="277">
        <f t="shared" si="42"/>
        <v>2.5843051590267549</v>
      </c>
      <c r="HZ22" s="277">
        <f t="shared" si="42"/>
        <v>2.5869746113451697</v>
      </c>
      <c r="IA22" s="277">
        <f t="shared" si="42"/>
        <v>2.5895556901399601</v>
      </c>
      <c r="IB22" s="277">
        <f t="shared" si="42"/>
        <v>2.592048974852645</v>
      </c>
      <c r="IC22" s="277">
        <f t="shared" si="42"/>
        <v>2.594455046134442</v>
      </c>
      <c r="ID22" s="277">
        <f t="shared" si="42"/>
        <v>2.5967744857429267</v>
      </c>
      <c r="IE22" s="277">
        <f t="shared" si="42"/>
        <v>2.5990078764447873</v>
      </c>
      <c r="IF22" s="277">
        <f t="shared" si="42"/>
        <v>2.6011558019146577</v>
      </c>
      <c r="IG22" s="277">
        <f t="shared" si="42"/>
        <v>2.6032188466414539</v>
      </c>
      <c r="IH22" s="277">
        <f t="shared" si="42"/>
        <v>2.6051975958315552</v>
      </c>
      <c r="II22" s="277">
        <f t="shared" si="42"/>
        <v>2.6070926353204271</v>
      </c>
      <c r="IJ22" s="277">
        <f t="shared" si="42"/>
        <v>2.6089045514761438</v>
      </c>
      <c r="IK22" s="277">
        <f t="shared" si="42"/>
        <v>2.6106339311187696</v>
      </c>
      <c r="IL22" s="277">
        <f t="shared" si="42"/>
        <v>2.6122813614270797</v>
      </c>
      <c r="IM22" s="277">
        <f t="shared" si="42"/>
        <v>2.61384742985679</v>
      </c>
      <c r="IN22" s="277">
        <f t="shared" si="42"/>
        <v>2.6153327240580211</v>
      </c>
      <c r="IO22" s="277">
        <f t="shared" si="42"/>
        <v>2.6167378317926335</v>
      </c>
      <c r="IP22" s="277">
        <f t="shared" si="42"/>
        <v>2.6180633408553149</v>
      </c>
      <c r="IQ22" s="277">
        <f t="shared" si="42"/>
        <v>2.6193098389953917</v>
      </c>
      <c r="IR22" s="277">
        <f t="shared" si="42"/>
        <v>2.620477913842862</v>
      </c>
      <c r="IS22" s="277">
        <f t="shared" si="42"/>
        <v>2.621568152830335</v>
      </c>
      <c r="IT22" s="277">
        <f t="shared" si="42"/>
        <v>2.6225811431227726</v>
      </c>
      <c r="IU22" s="277">
        <f t="shared" si="42"/>
        <v>2.6235174715465064</v>
      </c>
      <c r="IV22" s="277">
        <f t="shared" si="42"/>
        <v>2.6243777245176148</v>
      </c>
      <c r="IW22" s="277">
        <f t="shared" si="42"/>
        <v>2.6251624879755013</v>
      </c>
      <c r="IX22" s="277">
        <f t="shared" si="42"/>
        <v>2.6258723473157488</v>
      </c>
      <c r="IY22" s="277">
        <f t="shared" si="42"/>
        <v>2.6265078873247205</v>
      </c>
      <c r="IZ22" s="277">
        <f t="shared" si="42"/>
        <v>2.62706969211672</v>
      </c>
      <c r="JA22" s="277">
        <f t="shared" si="42"/>
        <v>2.6275583450720887</v>
      </c>
      <c r="JB22" s="277">
        <f t="shared" ref="JB22:LM22" si="43">12*(JB20-JA20)</f>
        <v>2.6279744287738538</v>
      </c>
      <c r="JC22" s="277">
        <f t="shared" si="43"/>
        <v>2.6283185249521352</v>
      </c>
      <c r="JD22" s="277">
        <f t="shared" si="43"/>
        <v>2.6285912144247163</v>
      </c>
      <c r="JE22" s="277">
        <f t="shared" si="43"/>
        <v>2.6287930770381251</v>
      </c>
      <c r="JF22" s="277">
        <f t="shared" si="43"/>
        <v>2.6289246916175841</v>
      </c>
      <c r="JG22" s="277">
        <f t="shared" si="43"/>
        <v>2.6289866359058749</v>
      </c>
      <c r="JH22" s="277">
        <f t="shared" si="43"/>
        <v>2.6289794865190004</v>
      </c>
      <c r="JI22" s="277">
        <f t="shared" si="43"/>
        <v>2.6289038188879488</v>
      </c>
      <c r="JJ22" s="277">
        <f t="shared" si="43"/>
        <v>2.6287602072120535</v>
      </c>
      <c r="JK22" s="277">
        <f t="shared" si="43"/>
        <v>2.6285492244086015</v>
      </c>
      <c r="JL22" s="277">
        <f t="shared" si="43"/>
        <v>2.6282714420668754</v>
      </c>
      <c r="JM22" s="277">
        <f t="shared" si="43"/>
        <v>2.6279274304000637</v>
      </c>
      <c r="JN22" s="277">
        <f t="shared" si="43"/>
        <v>2.6275177581988771</v>
      </c>
      <c r="JO22" s="277">
        <f t="shared" si="43"/>
        <v>2.6270429927915586</v>
      </c>
      <c r="JP22" s="277">
        <f t="shared" si="43"/>
        <v>2.6265036999963058</v>
      </c>
      <c r="JQ22" s="277">
        <f t="shared" si="43"/>
        <v>2.6259004440809406</v>
      </c>
      <c r="JR22" s="277">
        <f t="shared" si="43"/>
        <v>2.6252337877236869</v>
      </c>
      <c r="JS22" s="277">
        <f t="shared" si="43"/>
        <v>2.6245042919700268</v>
      </c>
      <c r="JT22" s="277">
        <f t="shared" si="43"/>
        <v>2.6237125161966333</v>
      </c>
      <c r="JU22" s="277">
        <f t="shared" si="43"/>
        <v>2.622859018073683</v>
      </c>
      <c r="JV22" s="277">
        <f t="shared" si="43"/>
        <v>2.6219443535260609</v>
      </c>
      <c r="JW22" s="277">
        <f t="shared" si="43"/>
        <v>2.6209690766986569</v>
      </c>
      <c r="JX22" s="277">
        <f t="shared" si="43"/>
        <v>2.61993373992226</v>
      </c>
      <c r="JY22" s="277">
        <f t="shared" si="43"/>
        <v>2.6188388936808167</v>
      </c>
      <c r="JZ22" s="277">
        <f t="shared" si="43"/>
        <v>2.6176850865741699</v>
      </c>
      <c r="KA22" s="277">
        <f t="shared" si="43"/>
        <v>2.6164728652919678</v>
      </c>
      <c r="KB22" s="277">
        <f t="shared" si="43"/>
        <v>2.6152027745788757</v>
      </c>
      <c r="KC22" s="277">
        <f t="shared" si="43"/>
        <v>2.6138753572046483</v>
      </c>
      <c r="KD22" s="277">
        <f t="shared" si="43"/>
        <v>2.6124911539376967</v>
      </c>
      <c r="KE22" s="277">
        <f t="shared" si="43"/>
        <v>2.611050703513115</v>
      </c>
      <c r="KF22" s="277">
        <f t="shared" si="43"/>
        <v>2.6095545426087199</v>
      </c>
      <c r="KG22" s="277">
        <f t="shared" si="43"/>
        <v>2.6080032058151232</v>
      </c>
      <c r="KH22" s="277">
        <f t="shared" si="43"/>
        <v>2.6063972256134775</v>
      </c>
      <c r="KI22" s="277">
        <f t="shared" si="43"/>
        <v>2.6047371323463153</v>
      </c>
      <c r="KJ22" s="277">
        <f t="shared" si="43"/>
        <v>2.6030234541971708</v>
      </c>
      <c r="KK22" s="277">
        <f t="shared" si="43"/>
        <v>2.6012567171658532</v>
      </c>
      <c r="KL22" s="277">
        <f t="shared" si="43"/>
        <v>2.5994374450441455</v>
      </c>
      <c r="KM22" s="277">
        <f t="shared" si="43"/>
        <v>2.5975661593962798</v>
      </c>
      <c r="KN22" s="277">
        <f t="shared" si="43"/>
        <v>2.5956433795370231</v>
      </c>
      <c r="KO22" s="277">
        <f t="shared" si="43"/>
        <v>2.5936696225101059</v>
      </c>
      <c r="KP22" s="277">
        <f t="shared" si="43"/>
        <v>2.5916454030700606</v>
      </c>
      <c r="KQ22" s="277">
        <f t="shared" si="43"/>
        <v>2.5895712336637189</v>
      </c>
      <c r="KR22" s="277">
        <f t="shared" si="43"/>
        <v>-513.8268844623459</v>
      </c>
      <c r="KS22" s="277">
        <f t="shared" si="43"/>
        <v>1.0265348482588375E-4</v>
      </c>
      <c r="KT22" s="277">
        <f t="shared" si="43"/>
        <v>7.134481015098295E-4</v>
      </c>
      <c r="KU22" s="277">
        <f t="shared" si="43"/>
        <v>1.9210599792084484E-3</v>
      </c>
      <c r="KV22" s="277">
        <f t="shared" si="43"/>
        <v>3.710481284722322E-3</v>
      </c>
      <c r="KW22" s="277">
        <f t="shared" si="43"/>
        <v>6.0669647836495387E-3</v>
      </c>
      <c r="KX22" s="277">
        <f t="shared" si="43"/>
        <v>8.9760199367558934E-3</v>
      </c>
      <c r="KY22" s="277">
        <f t="shared" si="43"/>
        <v>1.2423409050629839E-2</v>
      </c>
      <c r="KZ22" s="277">
        <f t="shared" si="43"/>
        <v>1.639514348189999E-2</v>
      </c>
      <c r="LA22" s="277">
        <f t="shared" si="43"/>
        <v>2.0877479894295104E-2</v>
      </c>
      <c r="LB22" s="277">
        <f t="shared" si="43"/>
        <v>2.5856916567853355E-2</v>
      </c>
      <c r="LC22" s="277">
        <f t="shared" si="43"/>
        <v>3.1320189759568823E-2</v>
      </c>
      <c r="LD22" s="277">
        <f t="shared" si="43"/>
        <v>3.7254270114793694E-2</v>
      </c>
      <c r="LE22" s="277">
        <f t="shared" si="43"/>
        <v>4.3646359128736795E-2</v>
      </c>
      <c r="LF22" s="277">
        <f t="shared" si="43"/>
        <v>5.0483885657353303E-2</v>
      </c>
      <c r="LG22" s="277">
        <f t="shared" si="43"/>
        <v>5.7754502476984215E-2</v>
      </c>
      <c r="LH22" s="277">
        <f t="shared" si="43"/>
        <v>6.5446082892116897E-2</v>
      </c>
      <c r="LI22" s="277">
        <f t="shared" si="43"/>
        <v>7.3546717390580024E-2</v>
      </c>
      <c r="LJ22" s="277">
        <f t="shared" si="43"/>
        <v>8.2044710345530431E-2</v>
      </c>
      <c r="LK22" s="277">
        <f t="shared" si="43"/>
        <v>9.0928576763721264E-2</v>
      </c>
      <c r="LL22" s="277">
        <f t="shared" si="43"/>
        <v>0.10018703907923499</v>
      </c>
      <c r="LM22" s="277">
        <f t="shared" si="43"/>
        <v>0.10980902399222769</v>
      </c>
      <c r="LN22" s="277">
        <f t="shared" ref="LN22:NY22" si="44">12*(LN20-LM20)</f>
        <v>0.11978365935208451</v>
      </c>
      <c r="LO22" s="277">
        <f t="shared" si="44"/>
        <v>0.13010027108424005</v>
      </c>
      <c r="LP22" s="277">
        <f t="shared" si="44"/>
        <v>0.14074838016022767</v>
      </c>
      <c r="LQ22" s="277">
        <f t="shared" si="44"/>
        <v>0.15171769961037596</v>
      </c>
      <c r="LR22" s="277">
        <f t="shared" si="44"/>
        <v>0.16299813157844073</v>
      </c>
      <c r="LS22" s="277">
        <f t="shared" si="44"/>
        <v>0.17457976441771961</v>
      </c>
      <c r="LT22" s="277">
        <f t="shared" si="44"/>
        <v>0.18645286982818121</v>
      </c>
      <c r="LU22" s="277">
        <f t="shared" si="44"/>
        <v>0.19860790003377726</v>
      </c>
      <c r="LV22" s="277">
        <f t="shared" si="44"/>
        <v>0.21103548499968905</v>
      </c>
      <c r="LW22" s="277">
        <f t="shared" si="44"/>
        <v>0.22372642968884082</v>
      </c>
      <c r="LX22" s="277">
        <f t="shared" si="44"/>
        <v>0.23667171135711573</v>
      </c>
      <c r="LY22" s="277">
        <f t="shared" si="44"/>
        <v>0.24986247688677321</v>
      </c>
      <c r="LZ22" s="277">
        <f t="shared" si="44"/>
        <v>0.26329004015779467</v>
      </c>
      <c r="MA22" s="277">
        <f t="shared" si="44"/>
        <v>0.27694587945606508</v>
      </c>
      <c r="MB22" s="277">
        <f t="shared" si="44"/>
        <v>0.29082163491859259</v>
      </c>
      <c r="MC22" s="277">
        <f t="shared" si="44"/>
        <v>0.30490910601482457</v>
      </c>
      <c r="MD22" s="277">
        <f t="shared" si="44"/>
        <v>0.31920024906360722</v>
      </c>
      <c r="ME22" s="277">
        <f t="shared" si="44"/>
        <v>0.33368717478542353</v>
      </c>
      <c r="MF22" s="277">
        <f t="shared" si="44"/>
        <v>0.34836214588954406</v>
      </c>
      <c r="MG22" s="277">
        <f t="shared" si="44"/>
        <v>0.3632175746952564</v>
      </c>
      <c r="MH22" s="277">
        <f t="shared" si="44"/>
        <v>0.37824602078700154</v>
      </c>
      <c r="MI22" s="277">
        <f t="shared" si="44"/>
        <v>0.39344018870298214</v>
      </c>
      <c r="MJ22" s="277">
        <f t="shared" si="44"/>
        <v>0.40879292565658654</v>
      </c>
      <c r="MK22" s="277">
        <f t="shared" si="44"/>
        <v>0.4242972192902168</v>
      </c>
      <c r="ML22" s="277">
        <f t="shared" si="44"/>
        <v>0.43994619546145897</v>
      </c>
      <c r="MM22" s="277">
        <f t="shared" si="44"/>
        <v>0.45573311606052425</v>
      </c>
      <c r="MN22" s="277">
        <f t="shared" si="44"/>
        <v>0.47165137685887926</v>
      </c>
      <c r="MO22" s="277">
        <f t="shared" si="44"/>
        <v>0.48769450538913528</v>
      </c>
      <c r="MP22" s="277">
        <f t="shared" si="44"/>
        <v>0.50385615885449786</v>
      </c>
      <c r="MQ22" s="277">
        <f t="shared" si="44"/>
        <v>0.52013012206869336</v>
      </c>
      <c r="MR22" s="277">
        <f t="shared" si="44"/>
        <v>0.53651030542531863</v>
      </c>
      <c r="MS22" s="277">
        <f t="shared" si="44"/>
        <v>0.55299074289624617</v>
      </c>
      <c r="MT22" s="277">
        <f t="shared" si="44"/>
        <v>0.56956559005861962</v>
      </c>
      <c r="MU22" s="277">
        <f t="shared" si="44"/>
        <v>0.58622912215049583</v>
      </c>
      <c r="MV22" s="277">
        <f t="shared" si="44"/>
        <v>0.60297573215423661</v>
      </c>
      <c r="MW22" s="277">
        <f t="shared" si="44"/>
        <v>0.61979992890742786</v>
      </c>
      <c r="MX22" s="277">
        <f t="shared" si="44"/>
        <v>0.63669633524113944</v>
      </c>
      <c r="MY22" s="277">
        <f t="shared" si="44"/>
        <v>0.65365968614502901</v>
      </c>
      <c r="MZ22" s="277">
        <f t="shared" si="44"/>
        <v>0.6706848269585155</v>
      </c>
      <c r="NA22" s="277">
        <f t="shared" si="44"/>
        <v>0.6877667115888153</v>
      </c>
      <c r="NB22" s="277">
        <f t="shared" si="44"/>
        <v>0.70490040075392635</v>
      </c>
      <c r="NC22" s="277">
        <f t="shared" si="44"/>
        <v>0.72208106025137564</v>
      </c>
      <c r="ND22" s="277">
        <f t="shared" si="44"/>
        <v>0.73930395925219994</v>
      </c>
      <c r="NE22" s="277">
        <f t="shared" si="44"/>
        <v>0.75656446861922966</v>
      </c>
      <c r="NF22" s="277">
        <f t="shared" si="44"/>
        <v>0.77385805924998241</v>
      </c>
      <c r="NG22" s="277">
        <f t="shared" si="44"/>
        <v>0.79118030044360665</v>
      </c>
      <c r="NH22" s="277">
        <f t="shared" si="44"/>
        <v>0.80852685829139848</v>
      </c>
      <c r="NI22" s="277">
        <f t="shared" si="44"/>
        <v>0.82589349409075297</v>
      </c>
      <c r="NJ22" s="277">
        <f t="shared" si="44"/>
        <v>0.843276062782361</v>
      </c>
      <c r="NK22" s="277">
        <f t="shared" si="44"/>
        <v>0.86067051140990536</v>
      </c>
      <c r="NL22" s="277">
        <f t="shared" si="44"/>
        <v>0.87807287760212027</v>
      </c>
      <c r="NM22" s="277">
        <f t="shared" si="44"/>
        <v>0.8954792880774729</v>
      </c>
      <c r="NN22" s="277">
        <f t="shared" si="44"/>
        <v>0.91288595717022503</v>
      </c>
      <c r="NO22" s="277">
        <f t="shared" si="44"/>
        <v>0.93028918537791228</v>
      </c>
      <c r="NP22" s="277">
        <f t="shared" si="44"/>
        <v>0.94768535793073916</v>
      </c>
      <c r="NQ22" s="277">
        <f t="shared" si="44"/>
        <v>0.96507094338110733</v>
      </c>
      <c r="NR22" s="277">
        <f t="shared" si="44"/>
        <v>0.98244249221420965</v>
      </c>
      <c r="NS22" s="277">
        <f t="shared" si="44"/>
        <v>0.99979663547923714</v>
      </c>
      <c r="NT22" s="277">
        <f t="shared" si="44"/>
        <v>1.0171300834401489</v>
      </c>
      <c r="NU22" s="277">
        <f t="shared" si="44"/>
        <v>1.0344396242462768</v>
      </c>
      <c r="NV22" s="277">
        <f t="shared" si="44"/>
        <v>1.051722122623266</v>
      </c>
      <c r="NW22" s="277">
        <f t="shared" si="44"/>
        <v>1.0689745185822943</v>
      </c>
      <c r="NX22" s="277">
        <f t="shared" si="44"/>
        <v>1.0861938261486781</v>
      </c>
      <c r="NY22" s="277">
        <f t="shared" si="44"/>
        <v>1.103377132109749</v>
      </c>
      <c r="NZ22" s="277">
        <f t="shared" ref="NZ22:QK22" si="45">12*(NZ20-NY20)</f>
        <v>1.1205215947800493</v>
      </c>
      <c r="OA22" s="277">
        <f t="shared" si="45"/>
        <v>1.1376244427862829</v>
      </c>
      <c r="OB22" s="277">
        <f t="shared" si="45"/>
        <v>1.1546829738684607</v>
      </c>
      <c r="OC22" s="277">
        <f t="shared" si="45"/>
        <v>1.1716945537004069</v>
      </c>
      <c r="OD22" s="277">
        <f t="shared" si="45"/>
        <v>1.1886566147273818</v>
      </c>
      <c r="OE22" s="277">
        <f t="shared" si="45"/>
        <v>1.2055666550193411</v>
      </c>
      <c r="OF22" s="277">
        <f t="shared" si="45"/>
        <v>1.2224222371439968</v>
      </c>
      <c r="OG22" s="277">
        <f t="shared" si="45"/>
        <v>1.2392209870546242</v>
      </c>
      <c r="OH22" s="277">
        <f t="shared" si="45"/>
        <v>1.2559605929942457</v>
      </c>
      <c r="OI22" s="277">
        <f t="shared" si="45"/>
        <v>1.2726388044180759</v>
      </c>
      <c r="OJ22" s="277">
        <f t="shared" si="45"/>
        <v>1.2892534309301915</v>
      </c>
      <c r="OK22" s="277">
        <f t="shared" si="45"/>
        <v>1.3058023412363262</v>
      </c>
      <c r="OL22" s="277">
        <f t="shared" si="45"/>
        <v>1.3222834621134147</v>
      </c>
      <c r="OM22" s="277">
        <f t="shared" si="45"/>
        <v>1.3386947773936058</v>
      </c>
      <c r="ON22" s="277">
        <f t="shared" si="45"/>
        <v>1.3550343269632812</v>
      </c>
      <c r="OO22" s="277">
        <f t="shared" si="45"/>
        <v>1.371300205777807</v>
      </c>
      <c r="OP22" s="277">
        <f t="shared" si="45"/>
        <v>1.3874905628914078</v>
      </c>
      <c r="OQ22" s="277">
        <f t="shared" si="45"/>
        <v>1.4036036004995118</v>
      </c>
      <c r="OR22" s="277">
        <f t="shared" si="45"/>
        <v>1.4196375729982975</v>
      </c>
      <c r="OS22" s="277">
        <f t="shared" si="45"/>
        <v>1.43559078605686</v>
      </c>
      <c r="OT22" s="277">
        <f t="shared" si="45"/>
        <v>1.4514615957027317</v>
      </c>
      <c r="OU22" s="277">
        <f t="shared" si="45"/>
        <v>1.4672484074229963</v>
      </c>
      <c r="OV22" s="277">
        <f t="shared" si="45"/>
        <v>1.4829496752781388</v>
      </c>
      <c r="OW22" s="277">
        <f t="shared" si="45"/>
        <v>1.4985639010280138</v>
      </c>
      <c r="OX22" s="277">
        <f t="shared" si="45"/>
        <v>1.5140896332733753</v>
      </c>
      <c r="OY22" s="277">
        <f t="shared" si="45"/>
        <v>1.5295254666096945</v>
      </c>
      <c r="OZ22" s="277">
        <f t="shared" si="45"/>
        <v>1.5448700407915936</v>
      </c>
      <c r="PA22" s="277">
        <f t="shared" si="45"/>
        <v>1.5601220399137254</v>
      </c>
      <c r="PB22" s="277">
        <f t="shared" si="45"/>
        <v>1.5752801916014576</v>
      </c>
      <c r="PC22" s="277">
        <f t="shared" si="45"/>
        <v>1.590343266214294</v>
      </c>
      <c r="PD22" s="277">
        <f t="shared" si="45"/>
        <v>1.605310076062576</v>
      </c>
      <c r="PE22" s="277">
        <f t="shared" si="45"/>
        <v>1.6201794746350977</v>
      </c>
      <c r="PF22" s="277">
        <f t="shared" si="45"/>
        <v>1.6349503558382956</v>
      </c>
      <c r="PG22" s="277">
        <f t="shared" si="45"/>
        <v>1.6496216532484738</v>
      </c>
      <c r="PH22" s="277">
        <f t="shared" si="45"/>
        <v>1.6641923393744946</v>
      </c>
      <c r="PI22" s="277">
        <f t="shared" si="45"/>
        <v>1.6786614249311178</v>
      </c>
      <c r="PJ22" s="277">
        <f t="shared" si="45"/>
        <v>1.6930279581252243</v>
      </c>
      <c r="PK22" s="277">
        <f t="shared" si="45"/>
        <v>1.7072910239524752</v>
      </c>
      <c r="PL22" s="277">
        <f t="shared" si="45"/>
        <v>1.7214497435028271</v>
      </c>
      <c r="PM22" s="277">
        <f t="shared" si="45"/>
        <v>1.7355032732801163</v>
      </c>
      <c r="PN22" s="277">
        <f t="shared" si="45"/>
        <v>1.7494508045302659</v>
      </c>
      <c r="PO22" s="277">
        <f t="shared" si="45"/>
        <v>1.7632915625787646</v>
      </c>
      <c r="PP22" s="277">
        <f t="shared" si="45"/>
        <v>1.7770248061812026</v>
      </c>
      <c r="PQ22" s="277">
        <f t="shared" si="45"/>
        <v>1.7906498268824507</v>
      </c>
      <c r="PR22" s="277">
        <f t="shared" si="45"/>
        <v>1.804165948383897</v>
      </c>
      <c r="PS22" s="277">
        <f t="shared" si="45"/>
        <v>1.8175725259251791</v>
      </c>
      <c r="PT22" s="277">
        <f t="shared" si="45"/>
        <v>1.8308689456708294</v>
      </c>
      <c r="PU22" s="277">
        <f t="shared" si="45"/>
        <v>1.8440546241087077</v>
      </c>
      <c r="PV22" s="277">
        <f t="shared" si="45"/>
        <v>1.8571290074586244</v>
      </c>
      <c r="PW22" s="277">
        <f t="shared" si="45"/>
        <v>1.8700915710883379</v>
      </c>
      <c r="PX22" s="277">
        <f t="shared" si="45"/>
        <v>1.8829418189391234</v>
      </c>
      <c r="PY22" s="277">
        <f t="shared" si="45"/>
        <v>1.8956792829621278</v>
      </c>
      <c r="PZ22" s="277">
        <f t="shared" si="45"/>
        <v>1.9083035225618019</v>
      </c>
      <c r="QA22" s="277">
        <f t="shared" si="45"/>
        <v>1.9208141240470695</v>
      </c>
      <c r="QB22" s="277">
        <f t="shared" si="45"/>
        <v>1.9332107000950316</v>
      </c>
      <c r="QC22" s="277">
        <f t="shared" si="45"/>
        <v>1.9454928892194872</v>
      </c>
      <c r="QD22" s="277">
        <f t="shared" si="45"/>
        <v>1.957660355248791</v>
      </c>
      <c r="QE22" s="277">
        <f t="shared" si="45"/>
        <v>1.9697127868128135</v>
      </c>
      <c r="QF22" s="277">
        <f t="shared" si="45"/>
        <v>1.9816498968382987</v>
      </c>
      <c r="QG22" s="277">
        <f t="shared" si="45"/>
        <v>1.9934714220498719</v>
      </c>
      <c r="QH22" s="277">
        <f t="shared" si="45"/>
        <v>2.0051771224817259</v>
      </c>
      <c r="QI22" s="277">
        <f t="shared" si="45"/>
        <v>2.0167667809964271</v>
      </c>
      <c r="QJ22" s="277">
        <f t="shared" si="45"/>
        <v>2.0282402028093074</v>
      </c>
      <c r="QK22" s="277">
        <f t="shared" si="45"/>
        <v>2.0395972150235977</v>
      </c>
      <c r="QL22" s="277">
        <f t="shared" ref="QL22:RP22" si="46">12*(QL20-QK20)</f>
        <v>2.0508376661715957</v>
      </c>
      <c r="QM22" s="277">
        <f t="shared" si="46"/>
        <v>2.0619614257616519</v>
      </c>
      <c r="QN22" s="277">
        <f t="shared" si="46"/>
        <v>2.0729683838356223</v>
      </c>
      <c r="QO22" s="277">
        <f t="shared" si="46"/>
        <v>2.0838584505315012</v>
      </c>
      <c r="QP22" s="277">
        <f t="shared" si="46"/>
        <v>2.0946315556516808</v>
      </c>
      <c r="QQ22" s="277">
        <f t="shared" si="46"/>
        <v>2.1052876482420615</v>
      </c>
      <c r="QR22" s="277">
        <f t="shared" si="46"/>
        <v>2.1158266961755317</v>
      </c>
      <c r="QS22" s="277">
        <f t="shared" si="46"/>
        <v>2.1262486857403928</v>
      </c>
      <c r="QT22" s="277">
        <f t="shared" si="46"/>
        <v>2.1365536212402532</v>
      </c>
      <c r="QU22" s="277">
        <f t="shared" si="46"/>
        <v>2.1467415245965213</v>
      </c>
      <c r="QV22" s="277">
        <f t="shared" si="46"/>
        <v>2.1568124349578497</v>
      </c>
      <c r="QW22" s="277">
        <f t="shared" si="46"/>
        <v>2.1667664083178479</v>
      </c>
      <c r="QX22" s="277">
        <f t="shared" si="46"/>
        <v>2.1766035171386804</v>
      </c>
      <c r="QY22" s="277">
        <f t="shared" si="46"/>
        <v>2.186323849977434</v>
      </c>
      <c r="QZ22" s="277">
        <f t="shared" si="46"/>
        <v>2.1959275111235286</v>
      </c>
      <c r="RA22" s="277">
        <f t="shared" si="46"/>
        <v>2.2054146202398357</v>
      </c>
      <c r="RB22" s="277">
        <f t="shared" si="46"/>
        <v>2.2147853120081678</v>
      </c>
      <c r="RC22" s="277">
        <f t="shared" si="46"/>
        <v>2.2240397357831867</v>
      </c>
      <c r="RD22" s="277">
        <f t="shared" si="46"/>
        <v>2.233178055251706</v>
      </c>
      <c r="RE22" s="277">
        <f t="shared" si="46"/>
        <v>2.2422004480958933</v>
      </c>
      <c r="RF22" s="277">
        <f t="shared" si="46"/>
        <v>2.2511071056628893</v>
      </c>
      <c r="RG22" s="277">
        <f t="shared" si="46"/>
        <v>2.2598982326426125</v>
      </c>
      <c r="RH22" s="277">
        <f t="shared" si="46"/>
        <v>2.2685740467450088</v>
      </c>
      <c r="RI22" s="277">
        <f t="shared" si="46"/>
        <v>2.2771347783889198</v>
      </c>
      <c r="RJ22" s="277">
        <f t="shared" si="46"/>
        <v>2.2855806703929744</v>
      </c>
      <c r="RK22" s="277">
        <f t="shared" si="46"/>
        <v>2.2939119776711721</v>
      </c>
      <c r="RL22" s="277">
        <f t="shared" si="46"/>
        <v>2.3021289669354985</v>
      </c>
      <c r="RM22" s="277">
        <f t="shared" si="46"/>
        <v>2.3102319164035521</v>
      </c>
      <c r="RN22" s="277">
        <f t="shared" si="46"/>
        <v>2.3182211155076828</v>
      </c>
      <c r="RO22" s="277">
        <f t="shared" si="46"/>
        <v>2.3260968646132767</v>
      </c>
      <c r="RP22" s="277">
        <f t="shared" si="46"/>
        <v>2.3338594747422832</v>
      </c>
    </row>
    <row r="23" spans="2:484" ht="12.95" customHeight="1" x14ac:dyDescent="0.2">
      <c r="C23" s="21" t="s">
        <v>920</v>
      </c>
      <c r="D23" s="21" t="s">
        <v>916</v>
      </c>
      <c r="E23" s="146"/>
      <c r="F23" s="277">
        <f t="shared" ref="F23:AK23" si="47">12*(F21-E21)</f>
        <v>7.1344810150982126E-4</v>
      </c>
      <c r="G23" s="277">
        <f t="shared" si="47"/>
        <v>1.9210599792084484E-3</v>
      </c>
      <c r="H23" s="277">
        <f t="shared" si="47"/>
        <v>3.710481284722322E-3</v>
      </c>
      <c r="I23" s="277">
        <f t="shared" si="47"/>
        <v>6.0669647836495387E-3</v>
      </c>
      <c r="J23" s="277">
        <f t="shared" si="47"/>
        <v>8.9760199367558934E-3</v>
      </c>
      <c r="K23" s="277">
        <f t="shared" si="47"/>
        <v>1.2423409050629839E-2</v>
      </c>
      <c r="L23" s="277">
        <f t="shared" si="47"/>
        <v>1.639514348189999E-2</v>
      </c>
      <c r="M23" s="277">
        <f t="shared" si="47"/>
        <v>2.0877479894295104E-2</v>
      </c>
      <c r="N23" s="277">
        <f t="shared" si="47"/>
        <v>2.5856916567854146E-2</v>
      </c>
      <c r="O23" s="277">
        <f t="shared" si="47"/>
        <v>3.1320189759568032E-2</v>
      </c>
      <c r="P23" s="277">
        <f t="shared" si="47"/>
        <v>3.7254270114793694E-2</v>
      </c>
      <c r="Q23" s="277">
        <f t="shared" si="47"/>
        <v>4.3646359128736795E-2</v>
      </c>
      <c r="R23" s="277">
        <f t="shared" si="47"/>
        <v>5.0483885657353303E-2</v>
      </c>
      <c r="S23" s="277">
        <f t="shared" si="47"/>
        <v>5.7754502476984215E-2</v>
      </c>
      <c r="T23" s="277">
        <f t="shared" si="47"/>
        <v>6.5446082892118812E-2</v>
      </c>
      <c r="U23" s="277">
        <f t="shared" si="47"/>
        <v>7.3546717390575778E-2</v>
      </c>
      <c r="V23" s="277">
        <f t="shared" si="47"/>
        <v>8.2044710345532762E-2</v>
      </c>
      <c r="W23" s="277">
        <f t="shared" si="47"/>
        <v>9.0928576763724012E-2</v>
      </c>
      <c r="X23" s="277">
        <f t="shared" si="47"/>
        <v>0.10018703907923224</v>
      </c>
      <c r="Y23" s="277">
        <f t="shared" si="47"/>
        <v>0.10980902399222769</v>
      </c>
      <c r="Z23" s="277">
        <f t="shared" si="47"/>
        <v>0.11978365935208451</v>
      </c>
      <c r="AA23" s="277">
        <f t="shared" si="47"/>
        <v>0.13010027108424005</v>
      </c>
      <c r="AB23" s="277">
        <f t="shared" si="47"/>
        <v>0.14074838016022767</v>
      </c>
      <c r="AC23" s="277">
        <f t="shared" si="47"/>
        <v>0.15171769961038062</v>
      </c>
      <c r="AD23" s="277">
        <f t="shared" si="47"/>
        <v>0.16299813157843607</v>
      </c>
      <c r="AE23" s="277">
        <f t="shared" si="47"/>
        <v>0.17457976441771961</v>
      </c>
      <c r="AF23" s="277">
        <f t="shared" si="47"/>
        <v>0.18645286982818121</v>
      </c>
      <c r="AG23" s="277">
        <f t="shared" si="47"/>
        <v>0.19860790003377726</v>
      </c>
      <c r="AH23" s="277">
        <f t="shared" si="47"/>
        <v>0.21103548499968905</v>
      </c>
      <c r="AI23" s="277">
        <f t="shared" si="47"/>
        <v>0.22372642968884782</v>
      </c>
      <c r="AJ23" s="277">
        <f t="shared" si="47"/>
        <v>0.23667171135710141</v>
      </c>
      <c r="AK23" s="277">
        <f t="shared" si="47"/>
        <v>0.24986247688678054</v>
      </c>
      <c r="AL23" s="277">
        <f t="shared" ref="AL23:BQ23" si="48">12*(AL21-AK21)</f>
        <v>0.26329004015779467</v>
      </c>
      <c r="AM23" s="277">
        <f t="shared" si="48"/>
        <v>0.27694587945605642</v>
      </c>
      <c r="AN23" s="277">
        <f t="shared" si="48"/>
        <v>0.29082163491860125</v>
      </c>
      <c r="AO23" s="277">
        <f t="shared" si="48"/>
        <v>0.3049091060148339</v>
      </c>
      <c r="AP23" s="277">
        <f t="shared" si="48"/>
        <v>0.3192002490635979</v>
      </c>
      <c r="AQ23" s="277">
        <f t="shared" si="48"/>
        <v>0.33368717478542353</v>
      </c>
      <c r="AR23" s="277">
        <f t="shared" si="48"/>
        <v>0.34836214588955405</v>
      </c>
      <c r="AS23" s="277">
        <f t="shared" si="48"/>
        <v>0.3632175746952464</v>
      </c>
      <c r="AT23" s="277">
        <f t="shared" si="48"/>
        <v>0.37824602078700154</v>
      </c>
      <c r="AU23" s="277">
        <f t="shared" si="48"/>
        <v>0.39344018870299546</v>
      </c>
      <c r="AV23" s="277">
        <f t="shared" si="48"/>
        <v>0.40879292565655989</v>
      </c>
      <c r="AW23" s="277">
        <f t="shared" si="48"/>
        <v>0.42429721929023012</v>
      </c>
      <c r="AX23" s="277">
        <f t="shared" si="48"/>
        <v>0.43994619546147229</v>
      </c>
      <c r="AY23" s="277">
        <f t="shared" si="48"/>
        <v>0.45573311606049494</v>
      </c>
      <c r="AZ23" s="277">
        <f t="shared" si="48"/>
        <v>0.47165137685889524</v>
      </c>
      <c r="BA23" s="277">
        <f t="shared" si="48"/>
        <v>0.48769450538915127</v>
      </c>
      <c r="BB23" s="277">
        <f t="shared" si="48"/>
        <v>0.50385615885448187</v>
      </c>
      <c r="BC23" s="277">
        <f t="shared" si="48"/>
        <v>0.52013012206869336</v>
      </c>
      <c r="BD23" s="277">
        <f t="shared" si="48"/>
        <v>0.53651030542531863</v>
      </c>
      <c r="BE23" s="277">
        <f t="shared" si="48"/>
        <v>0.55299074289624617</v>
      </c>
      <c r="BF23" s="277">
        <f t="shared" si="48"/>
        <v>0.56956559005861962</v>
      </c>
      <c r="BG23" s="277">
        <f t="shared" si="48"/>
        <v>0.58622912215049583</v>
      </c>
      <c r="BH23" s="277">
        <f t="shared" si="48"/>
        <v>0.60297573215423661</v>
      </c>
      <c r="BI23" s="277">
        <f t="shared" si="48"/>
        <v>0.61979992890742786</v>
      </c>
      <c r="BJ23" s="277">
        <f t="shared" si="48"/>
        <v>0.63669633524113944</v>
      </c>
      <c r="BK23" s="277">
        <f t="shared" si="48"/>
        <v>0.65365968614502901</v>
      </c>
      <c r="BL23" s="277">
        <f t="shared" si="48"/>
        <v>0.6706848269585155</v>
      </c>
      <c r="BM23" s="277">
        <f t="shared" si="48"/>
        <v>0.6877667115888153</v>
      </c>
      <c r="BN23" s="277">
        <f t="shared" si="48"/>
        <v>0.70490040075392635</v>
      </c>
      <c r="BO23" s="277">
        <f t="shared" si="48"/>
        <v>0.72208106025137564</v>
      </c>
      <c r="BP23" s="277">
        <f t="shared" si="48"/>
        <v>0.73930395925219994</v>
      </c>
      <c r="BQ23" s="277">
        <f t="shared" si="48"/>
        <v>0.75656446861922966</v>
      </c>
      <c r="BR23" s="277">
        <f t="shared" ref="BR23:CW23" si="49">12*(BR21-BQ21)</f>
        <v>0.77385805924998241</v>
      </c>
      <c r="BS23" s="277">
        <f t="shared" si="49"/>
        <v>0.79118030044360665</v>
      </c>
      <c r="BT23" s="277">
        <f t="shared" si="49"/>
        <v>0.80852685829139848</v>
      </c>
      <c r="BU23" s="277">
        <f t="shared" si="49"/>
        <v>0.82589349409075297</v>
      </c>
      <c r="BV23" s="277">
        <f t="shared" si="49"/>
        <v>0.843276062782361</v>
      </c>
      <c r="BW23" s="277">
        <f t="shared" si="49"/>
        <v>0.86067051140990536</v>
      </c>
      <c r="BX23" s="277">
        <f t="shared" si="49"/>
        <v>0.87807287760212027</v>
      </c>
      <c r="BY23" s="277">
        <f t="shared" si="49"/>
        <v>0.8954792880774729</v>
      </c>
      <c r="BZ23" s="277">
        <f t="shared" si="49"/>
        <v>0.91288595717022503</v>
      </c>
      <c r="CA23" s="277">
        <f t="shared" si="49"/>
        <v>0.93028918537791228</v>
      </c>
      <c r="CB23" s="277">
        <f t="shared" si="49"/>
        <v>0.94768535793073916</v>
      </c>
      <c r="CC23" s="277">
        <f t="shared" si="49"/>
        <v>0.96507094338107002</v>
      </c>
      <c r="CD23" s="277">
        <f t="shared" si="49"/>
        <v>0.98244249221424695</v>
      </c>
      <c r="CE23" s="277">
        <f t="shared" si="49"/>
        <v>0.99979663547923714</v>
      </c>
      <c r="CF23" s="277">
        <f t="shared" si="49"/>
        <v>1.0171300834401489</v>
      </c>
      <c r="CG23" s="277">
        <f t="shared" si="49"/>
        <v>1.0344396242462768</v>
      </c>
      <c r="CH23" s="277">
        <f t="shared" si="49"/>
        <v>1.051722122623266</v>
      </c>
      <c r="CI23" s="277">
        <f t="shared" si="49"/>
        <v>1.0689745185822463</v>
      </c>
      <c r="CJ23" s="277">
        <f t="shared" si="49"/>
        <v>1.0861938261487261</v>
      </c>
      <c r="CK23" s="277">
        <f t="shared" si="49"/>
        <v>1.103377132109701</v>
      </c>
      <c r="CL23" s="277">
        <f t="shared" si="49"/>
        <v>1.1205215947801399</v>
      </c>
      <c r="CM23" s="277">
        <f t="shared" si="49"/>
        <v>1.1376244427862403</v>
      </c>
      <c r="CN23" s="277">
        <f t="shared" si="49"/>
        <v>1.1546829738684128</v>
      </c>
      <c r="CO23" s="277">
        <f t="shared" si="49"/>
        <v>1.1716945537005028</v>
      </c>
      <c r="CP23" s="277">
        <f t="shared" si="49"/>
        <v>1.1886566147273339</v>
      </c>
      <c r="CQ23" s="277">
        <f t="shared" si="49"/>
        <v>1.2055666550192932</v>
      </c>
      <c r="CR23" s="277">
        <f t="shared" si="49"/>
        <v>1.222422237144098</v>
      </c>
      <c r="CS23" s="277">
        <f t="shared" si="49"/>
        <v>1.239220987054571</v>
      </c>
      <c r="CT23" s="277">
        <f t="shared" si="49"/>
        <v>1.2559605929941924</v>
      </c>
      <c r="CU23" s="277">
        <f t="shared" si="49"/>
        <v>1.2726388044181718</v>
      </c>
      <c r="CV23" s="277">
        <f t="shared" si="49"/>
        <v>1.2892534309301489</v>
      </c>
      <c r="CW23" s="277">
        <f t="shared" si="49"/>
        <v>1.3058023412363262</v>
      </c>
      <c r="CX23" s="277">
        <f t="shared" ref="CX23:EC23" si="50">12*(CX21-CW21)</f>
        <v>1.3222834621134147</v>
      </c>
      <c r="CY23" s="277">
        <f t="shared" si="50"/>
        <v>1.3386947773936058</v>
      </c>
      <c r="CZ23" s="277">
        <f t="shared" si="50"/>
        <v>1.3550343269632279</v>
      </c>
      <c r="DA23" s="277">
        <f t="shared" si="50"/>
        <v>1.3713002057779029</v>
      </c>
      <c r="DB23" s="277">
        <f t="shared" si="50"/>
        <v>1.3874905628913652</v>
      </c>
      <c r="DC23" s="277">
        <f t="shared" si="50"/>
        <v>1.4036036004994585</v>
      </c>
      <c r="DD23" s="277">
        <f t="shared" si="50"/>
        <v>1.4196375729983508</v>
      </c>
      <c r="DE23" s="277">
        <f t="shared" si="50"/>
        <v>1.43559078605686</v>
      </c>
      <c r="DF23" s="277">
        <f t="shared" si="50"/>
        <v>1.4514615957027317</v>
      </c>
      <c r="DG23" s="277">
        <f t="shared" si="50"/>
        <v>1.4672484074230603</v>
      </c>
      <c r="DH23" s="277">
        <f t="shared" si="50"/>
        <v>1.4829496752780749</v>
      </c>
      <c r="DI23" s="277">
        <f t="shared" si="50"/>
        <v>1.4985639010279499</v>
      </c>
      <c r="DJ23" s="277">
        <f t="shared" si="50"/>
        <v>1.5140896332734926</v>
      </c>
      <c r="DK23" s="277">
        <f t="shared" si="50"/>
        <v>1.5295254666096412</v>
      </c>
      <c r="DL23" s="277">
        <f t="shared" si="50"/>
        <v>1.5448700407915936</v>
      </c>
      <c r="DM23" s="277">
        <f t="shared" si="50"/>
        <v>1.5601220399137254</v>
      </c>
      <c r="DN23" s="277">
        <f t="shared" si="50"/>
        <v>1.5752801916014576</v>
      </c>
      <c r="DO23" s="277">
        <f t="shared" si="50"/>
        <v>1.590343266214294</v>
      </c>
      <c r="DP23" s="277">
        <f t="shared" si="50"/>
        <v>1.605310076062576</v>
      </c>
      <c r="DQ23" s="277">
        <f t="shared" si="50"/>
        <v>1.6201794746350977</v>
      </c>
      <c r="DR23" s="277">
        <f t="shared" si="50"/>
        <v>1.6349503558382956</v>
      </c>
      <c r="DS23" s="277">
        <f t="shared" si="50"/>
        <v>1.6496216532485484</v>
      </c>
      <c r="DT23" s="277">
        <f t="shared" si="50"/>
        <v>1.66419233937442</v>
      </c>
      <c r="DU23" s="277">
        <f t="shared" si="50"/>
        <v>1.6786614249311178</v>
      </c>
      <c r="DV23" s="277">
        <f t="shared" si="50"/>
        <v>1.6930279581253096</v>
      </c>
      <c r="DW23" s="277">
        <f t="shared" si="50"/>
        <v>1.70729102395239</v>
      </c>
      <c r="DX23" s="277">
        <f t="shared" si="50"/>
        <v>1.7214497435027525</v>
      </c>
      <c r="DY23" s="277">
        <f t="shared" si="50"/>
        <v>1.7355032732801909</v>
      </c>
      <c r="DZ23" s="277">
        <f t="shared" si="50"/>
        <v>1.7494508045302659</v>
      </c>
      <c r="EA23" s="277">
        <f t="shared" si="50"/>
        <v>1.7632915625787646</v>
      </c>
      <c r="EB23" s="277">
        <f t="shared" si="50"/>
        <v>1.7770248061812879</v>
      </c>
      <c r="EC23" s="277">
        <f t="shared" si="50"/>
        <v>1.7906498268823654</v>
      </c>
      <c r="ED23" s="277">
        <f t="shared" ref="ED23:FI23" si="51">12*(ED21-EC21)</f>
        <v>1.804165948383897</v>
      </c>
      <c r="EE23" s="277">
        <f t="shared" si="51"/>
        <v>1.8175725259252857</v>
      </c>
      <c r="EF23" s="277">
        <f t="shared" si="51"/>
        <v>1.8308689456707228</v>
      </c>
      <c r="EG23" s="277">
        <f t="shared" si="51"/>
        <v>1.8440546241087077</v>
      </c>
      <c r="EH23" s="277">
        <f t="shared" si="51"/>
        <v>1.8571290074586244</v>
      </c>
      <c r="EI23" s="277">
        <f t="shared" si="51"/>
        <v>1.8700915710883379</v>
      </c>
      <c r="EJ23" s="277">
        <f t="shared" si="51"/>
        <v>1.8829418189390594</v>
      </c>
      <c r="EK23" s="277">
        <f t="shared" si="51"/>
        <v>1.8956792829622771</v>
      </c>
      <c r="EL23" s="277">
        <f t="shared" si="51"/>
        <v>1.9083035225617166</v>
      </c>
      <c r="EM23" s="277">
        <f t="shared" si="51"/>
        <v>1.9208141240470056</v>
      </c>
      <c r="EN23" s="277">
        <f t="shared" si="51"/>
        <v>1.9332107000950955</v>
      </c>
      <c r="EO23" s="277">
        <f t="shared" si="51"/>
        <v>1.9454928892194872</v>
      </c>
      <c r="EP23" s="277">
        <f t="shared" si="51"/>
        <v>1.9576603552487057</v>
      </c>
      <c r="EQ23" s="277">
        <f t="shared" si="51"/>
        <v>1.9697127868128987</v>
      </c>
      <c r="ER23" s="277">
        <f t="shared" si="51"/>
        <v>1.9816498968382987</v>
      </c>
      <c r="ES23" s="277">
        <f t="shared" si="51"/>
        <v>1.9934714220497654</v>
      </c>
      <c r="ET23" s="277">
        <f t="shared" si="51"/>
        <v>2.0051771224818324</v>
      </c>
      <c r="EU23" s="277">
        <f t="shared" si="51"/>
        <v>2.0167667809964271</v>
      </c>
      <c r="EV23" s="277">
        <f t="shared" si="51"/>
        <v>2.0282402028093074</v>
      </c>
      <c r="EW23" s="277">
        <f t="shared" si="51"/>
        <v>2.0395972150235977</v>
      </c>
      <c r="EX23" s="277">
        <f t="shared" si="51"/>
        <v>2.0508376661715957</v>
      </c>
      <c r="EY23" s="277">
        <f t="shared" si="51"/>
        <v>2.0619614257616519</v>
      </c>
      <c r="EZ23" s="277">
        <f t="shared" si="51"/>
        <v>2.0729683838357502</v>
      </c>
      <c r="FA23" s="277">
        <f t="shared" si="51"/>
        <v>2.0838584505313733</v>
      </c>
      <c r="FB23" s="277">
        <f t="shared" si="51"/>
        <v>2.0946315556515742</v>
      </c>
      <c r="FC23" s="277">
        <f t="shared" si="51"/>
        <v>2.1052876482421681</v>
      </c>
      <c r="FD23" s="277">
        <f t="shared" si="51"/>
        <v>2.1158266961755317</v>
      </c>
      <c r="FE23" s="277">
        <f t="shared" si="51"/>
        <v>2.1262486857403928</v>
      </c>
      <c r="FF23" s="277">
        <f t="shared" si="51"/>
        <v>2.1365536212403811</v>
      </c>
      <c r="FG23" s="277">
        <f t="shared" si="51"/>
        <v>2.1467415245963934</v>
      </c>
      <c r="FH23" s="277">
        <f t="shared" si="51"/>
        <v>2.1568124349577431</v>
      </c>
      <c r="FI23" s="277">
        <f t="shared" si="51"/>
        <v>2.1667664083179545</v>
      </c>
      <c r="FJ23" s="277">
        <f t="shared" ref="FJ23:GB23" si="52">12*(FJ21-FI21)</f>
        <v>2.1766035171386804</v>
      </c>
      <c r="FK23" s="277">
        <f t="shared" si="52"/>
        <v>2.186323849977434</v>
      </c>
      <c r="FL23" s="277">
        <f t="shared" si="52"/>
        <v>2.1959275111236565</v>
      </c>
      <c r="FM23" s="277">
        <f t="shared" si="52"/>
        <v>2.2054146202397078</v>
      </c>
      <c r="FN23" s="277">
        <f t="shared" si="52"/>
        <v>2.2147853120080399</v>
      </c>
      <c r="FO23" s="277">
        <f t="shared" si="52"/>
        <v>2.2240397357833146</v>
      </c>
      <c r="FP23" s="277">
        <f t="shared" si="52"/>
        <v>2.233178055251706</v>
      </c>
      <c r="FQ23" s="277">
        <f t="shared" si="52"/>
        <v>2.2422004480957654</v>
      </c>
      <c r="FR23" s="277">
        <f t="shared" si="52"/>
        <v>2.2511071056630172</v>
      </c>
      <c r="FS23" s="277">
        <f t="shared" si="52"/>
        <v>2.2598982326426125</v>
      </c>
      <c r="FT23" s="277">
        <f t="shared" si="52"/>
        <v>2.2685740467450088</v>
      </c>
      <c r="FU23" s="277">
        <f t="shared" si="52"/>
        <v>2.2771347783889198</v>
      </c>
      <c r="FV23" s="277">
        <f t="shared" si="52"/>
        <v>2.2855806703929744</v>
      </c>
      <c r="FW23" s="277">
        <f t="shared" si="52"/>
        <v>2.2939119776711721</v>
      </c>
      <c r="FX23" s="277">
        <f t="shared" si="52"/>
        <v>2.3021289669356264</v>
      </c>
      <c r="FY23" s="277">
        <f t="shared" si="52"/>
        <v>2.3102319164034242</v>
      </c>
      <c r="FZ23" s="277">
        <f t="shared" si="52"/>
        <v>2.3182211155076828</v>
      </c>
      <c r="GA23" s="277">
        <f t="shared" si="52"/>
        <v>2.3260968646134472</v>
      </c>
      <c r="GB23" s="277">
        <f t="shared" si="52"/>
        <v>2.3338594747421126</v>
      </c>
      <c r="GC23" s="277"/>
      <c r="GD23" s="277">
        <f t="shared" ref="GD23:IO23" si="53">12*(GD21-GC21)</f>
        <v>2.1712813313624935</v>
      </c>
      <c r="GE23" s="277">
        <f t="shared" si="53"/>
        <v>2.1845237509842406</v>
      </c>
      <c r="GF23" s="277">
        <f t="shared" si="53"/>
        <v>2.197626340929574</v>
      </c>
      <c r="GG23" s="277">
        <f t="shared" si="53"/>
        <v>2.2105885803642167</v>
      </c>
      <c r="GH23" s="277">
        <f t="shared" si="53"/>
        <v>2.2234099844147153</v>
      </c>
      <c r="GI23" s="277">
        <f t="shared" si="53"/>
        <v>2.2360901035475607</v>
      </c>
      <c r="GJ23" s="277">
        <f t="shared" si="53"/>
        <v>2.248628522956345</v>
      </c>
      <c r="GK23" s="277">
        <f t="shared" si="53"/>
        <v>2.2610248619496218</v>
      </c>
      <c r="GL23" s="277">
        <f t="shared" si="53"/>
        <v>2.2732787733428808</v>
      </c>
      <c r="GM23" s="277">
        <f t="shared" si="53"/>
        <v>2.2853899428554456</v>
      </c>
      <c r="GN23" s="277">
        <f t="shared" si="53"/>
        <v>2.2973580885125102</v>
      </c>
      <c r="GO23" s="277">
        <f t="shared" si="53"/>
        <v>2.3091829600473446</v>
      </c>
      <c r="GP23" s="277">
        <f t="shared" si="53"/>
        <v>2.3208643383144789</v>
      </c>
      <c r="GQ23" s="277">
        <f t="shared" si="53"/>
        <v>2.3324020346999887</v>
      </c>
      <c r="GR23" s="277">
        <f t="shared" si="53"/>
        <v>2.3437958905441434</v>
      </c>
      <c r="GS23" s="277">
        <f t="shared" si="53"/>
        <v>2.3550457765614112</v>
      </c>
      <c r="GT23" s="277">
        <f t="shared" si="53"/>
        <v>2.3661515922719119</v>
      </c>
      <c r="GU23" s="277">
        <f t="shared" si="53"/>
        <v>2.3771132654329747</v>
      </c>
      <c r="GV23" s="277">
        <f t="shared" si="53"/>
        <v>2.3879307514785211</v>
      </c>
      <c r="GW23" s="277">
        <f t="shared" si="53"/>
        <v>2.3986040329631777</v>
      </c>
      <c r="GX23" s="277">
        <f t="shared" si="53"/>
        <v>2.4091331190102707</v>
      </c>
      <c r="GY23" s="277">
        <f t="shared" si="53"/>
        <v>2.4195180447669387</v>
      </c>
      <c r="GZ23" s="277">
        <f t="shared" si="53"/>
        <v>2.4297588708636582</v>
      </c>
      <c r="HA23" s="277">
        <f t="shared" si="53"/>
        <v>2.4398556828788855</v>
      </c>
      <c r="HB23" s="277">
        <f t="shared" si="53"/>
        <v>2.4498085908112444</v>
      </c>
      <c r="HC23" s="277">
        <f t="shared" si="53"/>
        <v>2.4596177285529706</v>
      </c>
      <c r="HD23" s="277">
        <f t="shared" si="53"/>
        <v>2.4692832533744422</v>
      </c>
      <c r="HE23" s="277">
        <f t="shared" si="53"/>
        <v>2.4788053454105636</v>
      </c>
      <c r="HF23" s="277">
        <f t="shared" si="53"/>
        <v>2.4881842071523295</v>
      </c>
      <c r="HG23" s="277">
        <f t="shared" si="53"/>
        <v>2.497420062948791</v>
      </c>
      <c r="HH23" s="277">
        <f t="shared" si="53"/>
        <v>2.5065131585088949</v>
      </c>
      <c r="HI23" s="277">
        <f t="shared" si="53"/>
        <v>2.5154637604124019</v>
      </c>
      <c r="HJ23" s="277">
        <f t="shared" si="53"/>
        <v>2.5242721556266474</v>
      </c>
      <c r="HK23" s="277">
        <f t="shared" si="53"/>
        <v>2.5329386510278624</v>
      </c>
      <c r="HL23" s="277">
        <f t="shared" si="53"/>
        <v>2.5414635729291888</v>
      </c>
      <c r="HM23" s="277">
        <f t="shared" si="53"/>
        <v>2.549847266612872</v>
      </c>
      <c r="HN23" s="277">
        <f t="shared" si="53"/>
        <v>2.5580900958720889</v>
      </c>
      <c r="HO23" s="277">
        <f t="shared" si="53"/>
        <v>2.5661924425531595</v>
      </c>
      <c r="HP23" s="277">
        <f t="shared" si="53"/>
        <v>2.5741547061093115</v>
      </c>
      <c r="HQ23" s="277">
        <f t="shared" si="53"/>
        <v>2.581977303155</v>
      </c>
      <c r="HR23" s="277">
        <f t="shared" si="53"/>
        <v>2.5896606670299036</v>
      </c>
      <c r="HS23" s="277">
        <f t="shared" si="53"/>
        <v>2.5972052473686347</v>
      </c>
      <c r="HT23" s="277">
        <f t="shared" si="53"/>
        <v>2.6046115096713862</v>
      </c>
      <c r="HU23" s="277">
        <f t="shared" si="53"/>
        <v>2.6118799348875825</v>
      </c>
      <c r="HV23" s="277">
        <f t="shared" si="53"/>
        <v>2.6190110190004674</v>
      </c>
      <c r="HW23" s="277">
        <f t="shared" si="53"/>
        <v>2.6260052726178316</v>
      </c>
      <c r="HX23" s="277">
        <f t="shared" si="53"/>
        <v>2.632863220571096</v>
      </c>
      <c r="HY23" s="277">
        <f t="shared" si="53"/>
        <v>2.6395854015170812</v>
      </c>
      <c r="HZ23" s="277">
        <f t="shared" si="53"/>
        <v>2.6461723675481323</v>
      </c>
      <c r="IA23" s="277">
        <f t="shared" si="53"/>
        <v>2.6526246838045893</v>
      </c>
      <c r="IB23" s="277">
        <f t="shared" si="53"/>
        <v>2.6589429280977015</v>
      </c>
      <c r="IC23" s="277">
        <f t="shared" si="53"/>
        <v>2.6651276905337369</v>
      </c>
      <c r="ID23" s="277">
        <f t="shared" si="53"/>
        <v>2.6711795731449115</v>
      </c>
      <c r="IE23" s="277">
        <f t="shared" si="53"/>
        <v>2.6770991895285476</v>
      </c>
      <c r="IF23" s="277">
        <f t="shared" si="53"/>
        <v>2.6828871644874681</v>
      </c>
      <c r="IG23" s="277">
        <f t="shared" si="53"/>
        <v>2.6885441336796418</v>
      </c>
      <c r="IH23" s="277">
        <f t="shared" si="53"/>
        <v>2.6940707432703022</v>
      </c>
      <c r="II23" s="277">
        <f t="shared" si="53"/>
        <v>2.6994676495933163</v>
      </c>
      <c r="IJ23" s="277">
        <f t="shared" si="53"/>
        <v>2.7047355188112334</v>
      </c>
      <c r="IK23" s="277">
        <f t="shared" si="53"/>
        <v>2.7098750265910212</v>
      </c>
      <c r="IL23" s="277">
        <f t="shared" si="53"/>
        <v>2.714886857773962</v>
      </c>
      <c r="IM23" s="277">
        <f t="shared" si="53"/>
        <v>2.7197717060582534</v>
      </c>
      <c r="IN23" s="277">
        <f t="shared" si="53"/>
        <v>2.7245302736854029</v>
      </c>
      <c r="IO23" s="277">
        <f t="shared" si="53"/>
        <v>2.7291632711294795</v>
      </c>
      <c r="IP23" s="277">
        <f t="shared" ref="IP23:LA23" si="54">12*(IP21-IO21)</f>
        <v>2.7336714167936975</v>
      </c>
      <c r="IQ23" s="277">
        <f t="shared" si="54"/>
        <v>2.7380554367114343</v>
      </c>
      <c r="IR23" s="277">
        <f t="shared" si="54"/>
        <v>2.742316064254112</v>
      </c>
      <c r="IS23" s="277">
        <f t="shared" si="54"/>
        <v>2.7464540398388237</v>
      </c>
      <c r="IT23" s="277">
        <f t="shared" si="54"/>
        <v>2.7504701106480667</v>
      </c>
      <c r="IU23" s="277">
        <f t="shared" si="54"/>
        <v>2.7543650303494758</v>
      </c>
      <c r="IV23" s="277">
        <f t="shared" si="54"/>
        <v>2.7581395588215258</v>
      </c>
      <c r="IW23" s="277">
        <f t="shared" si="54"/>
        <v>2.7617944618850743</v>
      </c>
      <c r="IX23" s="277">
        <f t="shared" si="54"/>
        <v>2.7653305110389965</v>
      </c>
      <c r="IY23" s="277">
        <f t="shared" si="54"/>
        <v>2.7687484832000422</v>
      </c>
      <c r="IZ23" s="277">
        <f t="shared" si="54"/>
        <v>2.7720491604491286</v>
      </c>
      <c r="JA23" s="277">
        <f t="shared" si="54"/>
        <v>2.7752333297807894</v>
      </c>
      <c r="JB23" s="277">
        <f t="shared" si="54"/>
        <v>2.778301782855948</v>
      </c>
      <c r="JC23" s="277">
        <f t="shared" si="54"/>
        <v>2.7812553157636017</v>
      </c>
      <c r="JD23" s="277">
        <f t="shared" si="54"/>
        <v>2.7840947287834439</v>
      </c>
      <c r="JE23" s="277">
        <f t="shared" si="54"/>
        <v>2.7868208261515974</v>
      </c>
      <c r="JF23" s="277">
        <f t="shared" si="54"/>
        <v>2.7894344158375191</v>
      </c>
      <c r="JG23" s="277">
        <f t="shared" si="54"/>
        <v>2.7919363093147638</v>
      </c>
      <c r="JH23" s="277">
        <f t="shared" si="54"/>
        <v>2.7943273213487601</v>
      </c>
      <c r="JI23" s="277">
        <f t="shared" si="54"/>
        <v>2.7966082697767405</v>
      </c>
      <c r="JJ23" s="277">
        <f t="shared" si="54"/>
        <v>2.7987799752998228</v>
      </c>
      <c r="JK23" s="277">
        <f t="shared" si="54"/>
        <v>2.8008432612757304</v>
      </c>
      <c r="JL23" s="277">
        <f t="shared" si="54"/>
        <v>2.8027989535182485</v>
      </c>
      <c r="JM23" s="277">
        <f t="shared" si="54"/>
        <v>2.8046478800971073</v>
      </c>
      <c r="JN23" s="277">
        <f t="shared" si="54"/>
        <v>2.8063908711436625</v>
      </c>
      <c r="JO23" s="277">
        <f t="shared" si="54"/>
        <v>2.8080287586641219</v>
      </c>
      <c r="JP23" s="277">
        <f t="shared" si="54"/>
        <v>2.8095623763494046</v>
      </c>
      <c r="JQ23" s="277">
        <f t="shared" si="54"/>
        <v>2.810992559394208</v>
      </c>
      <c r="JR23" s="277">
        <f t="shared" si="54"/>
        <v>2.8123201443199122</v>
      </c>
      <c r="JS23" s="277">
        <f t="shared" si="54"/>
        <v>2.8135459687969728</v>
      </c>
      <c r="JT23" s="277">
        <f t="shared" si="54"/>
        <v>2.8146708714760962</v>
      </c>
      <c r="JU23" s="277">
        <f t="shared" si="54"/>
        <v>2.8156956918208209</v>
      </c>
      <c r="JV23" s="277">
        <f t="shared" si="54"/>
        <v>2.8166212699424023</v>
      </c>
      <c r="JW23" s="277">
        <f t="shared" si="54"/>
        <v>2.8174484464395562</v>
      </c>
      <c r="JX23" s="277">
        <f t="shared" si="54"/>
        <v>2.8181780622432768</v>
      </c>
      <c r="JY23" s="277">
        <f t="shared" si="54"/>
        <v>2.818810958464212</v>
      </c>
      <c r="JZ23" s="277">
        <f t="shared" si="54"/>
        <v>2.8193479762383333</v>
      </c>
      <c r="KA23" s="277">
        <f t="shared" si="54"/>
        <v>2.8197899565869307</v>
      </c>
      <c r="KB23" s="277">
        <f t="shared" si="54"/>
        <v>2.8201377402687626</v>
      </c>
      <c r="KC23" s="277">
        <f t="shared" si="54"/>
        <v>2.820392167641586</v>
      </c>
      <c r="KD23" s="277">
        <f t="shared" si="54"/>
        <v>2.820554078527266</v>
      </c>
      <c r="KE23" s="277">
        <f t="shared" si="54"/>
        <v>2.8206243120756938</v>
      </c>
      <c r="KF23" s="277">
        <f t="shared" si="54"/>
        <v>2.8206037066368026</v>
      </c>
      <c r="KG23" s="277">
        <f t="shared" si="54"/>
        <v>2.8204930996321593</v>
      </c>
      <c r="KH23" s="277">
        <f t="shared" si="54"/>
        <v>2.8202933274320117</v>
      </c>
      <c r="KI23" s="277">
        <f t="shared" si="54"/>
        <v>2.820005225232336</v>
      </c>
      <c r="KJ23" s="277">
        <f t="shared" si="54"/>
        <v>2.8196296269390473</v>
      </c>
      <c r="KK23" s="277">
        <f t="shared" si="54"/>
        <v>2.819167365051868</v>
      </c>
      <c r="KL23" s="277">
        <f t="shared" si="54"/>
        <v>2.8186192705511814</v>
      </c>
      <c r="KM23" s="277">
        <f t="shared" si="54"/>
        <v>2.8179861727896593</v>
      </c>
      <c r="KN23" s="277">
        <f t="shared" si="54"/>
        <v>2.8172688993857662</v>
      </c>
      <c r="KO23" s="277">
        <f t="shared" si="54"/>
        <v>2.8164682761182007</v>
      </c>
      <c r="KP23" s="277">
        <f t="shared" si="54"/>
        <v>2.8155851268267327</v>
      </c>
      <c r="KQ23" s="277">
        <f t="shared" si="54"/>
        <v>2.81462027331321</v>
      </c>
      <c r="KR23" s="277">
        <f t="shared" si="54"/>
        <v>2.8135745352422248</v>
      </c>
      <c r="KS23" s="277">
        <f t="shared" si="54"/>
        <v>2.8124487300543137</v>
      </c>
      <c r="KT23" s="277">
        <f t="shared" si="54"/>
        <v>2.8112436728691819</v>
      </c>
      <c r="KU23" s="277">
        <f t="shared" si="54"/>
        <v>2.8099601763989028</v>
      </c>
      <c r="KV23" s="277">
        <f t="shared" si="54"/>
        <v>2.8085990508644443</v>
      </c>
      <c r="KW23" s="277">
        <f t="shared" si="54"/>
        <v>2.8071611039098059</v>
      </c>
      <c r="KX23" s="277">
        <f t="shared" si="54"/>
        <v>2.8056471405191417</v>
      </c>
      <c r="KY23" s="277">
        <f t="shared" si="54"/>
        <v>2.8040579629443698</v>
      </c>
      <c r="KZ23" s="277">
        <f t="shared" si="54"/>
        <v>2.8023943706206751</v>
      </c>
      <c r="LA23" s="277">
        <f t="shared" si="54"/>
        <v>2.8006571600976997</v>
      </c>
      <c r="LB23" s="277">
        <f t="shared" ref="LB23:NM23" si="55">12*(LB21-LA21)</f>
        <v>2.7988471249666418</v>
      </c>
      <c r="LC23" s="277">
        <f t="shared" si="55"/>
        <v>2.7969650557879504</v>
      </c>
      <c r="LD23" s="277">
        <f t="shared" si="55"/>
        <v>2.7950117400260126</v>
      </c>
      <c r="LE23" s="277">
        <f t="shared" si="55"/>
        <v>-486.66729291057879</v>
      </c>
      <c r="LF23" s="277">
        <f t="shared" si="55"/>
        <v>7.134481015098295E-4</v>
      </c>
      <c r="LG23" s="277">
        <f t="shared" si="55"/>
        <v>1.9210599792084484E-3</v>
      </c>
      <c r="LH23" s="277">
        <f t="shared" si="55"/>
        <v>3.710481284722322E-3</v>
      </c>
      <c r="LI23" s="277">
        <f t="shared" si="55"/>
        <v>6.0669647836495387E-3</v>
      </c>
      <c r="LJ23" s="277">
        <f t="shared" si="55"/>
        <v>8.9760199367558934E-3</v>
      </c>
      <c r="LK23" s="277">
        <f t="shared" si="55"/>
        <v>1.2423409050629839E-2</v>
      </c>
      <c r="LL23" s="277">
        <f t="shared" si="55"/>
        <v>1.639514348189999E-2</v>
      </c>
      <c r="LM23" s="277">
        <f t="shared" si="55"/>
        <v>2.0877479894295104E-2</v>
      </c>
      <c r="LN23" s="277">
        <f t="shared" si="55"/>
        <v>2.5856916567853355E-2</v>
      </c>
      <c r="LO23" s="277">
        <f t="shared" si="55"/>
        <v>3.1320189759568823E-2</v>
      </c>
      <c r="LP23" s="277">
        <f t="shared" si="55"/>
        <v>3.7254270114793694E-2</v>
      </c>
      <c r="LQ23" s="277">
        <f t="shared" si="55"/>
        <v>4.3646359128736795E-2</v>
      </c>
      <c r="LR23" s="277">
        <f t="shared" si="55"/>
        <v>5.0483885657353303E-2</v>
      </c>
      <c r="LS23" s="277">
        <f t="shared" si="55"/>
        <v>5.7754502476984215E-2</v>
      </c>
      <c r="LT23" s="277">
        <f t="shared" si="55"/>
        <v>6.5446082892116897E-2</v>
      </c>
      <c r="LU23" s="277">
        <f t="shared" si="55"/>
        <v>7.3546717390580024E-2</v>
      </c>
      <c r="LV23" s="277">
        <f t="shared" si="55"/>
        <v>8.2044710345530431E-2</v>
      </c>
      <c r="LW23" s="277">
        <f t="shared" si="55"/>
        <v>9.0928576763721264E-2</v>
      </c>
      <c r="LX23" s="277">
        <f t="shared" si="55"/>
        <v>0.10018703907923499</v>
      </c>
      <c r="LY23" s="277">
        <f t="shared" si="55"/>
        <v>0.10980902399222769</v>
      </c>
      <c r="LZ23" s="277">
        <f t="shared" si="55"/>
        <v>0.11978365935208451</v>
      </c>
      <c r="MA23" s="277">
        <f t="shared" si="55"/>
        <v>0.13010027108424005</v>
      </c>
      <c r="MB23" s="277">
        <f t="shared" si="55"/>
        <v>0.14074838016022767</v>
      </c>
      <c r="MC23" s="277">
        <f t="shared" si="55"/>
        <v>0.15171769961037596</v>
      </c>
      <c r="MD23" s="277">
        <f t="shared" si="55"/>
        <v>0.16299813157844073</v>
      </c>
      <c r="ME23" s="277">
        <f t="shared" si="55"/>
        <v>0.17457976441771961</v>
      </c>
      <c r="MF23" s="277">
        <f t="shared" si="55"/>
        <v>0.18645286982818121</v>
      </c>
      <c r="MG23" s="277">
        <f t="shared" si="55"/>
        <v>0.19860790003377726</v>
      </c>
      <c r="MH23" s="277">
        <f t="shared" si="55"/>
        <v>0.21103548499968905</v>
      </c>
      <c r="MI23" s="277">
        <f t="shared" si="55"/>
        <v>0.22372642968884082</v>
      </c>
      <c r="MJ23" s="277">
        <f t="shared" si="55"/>
        <v>0.23667171135711573</v>
      </c>
      <c r="MK23" s="277">
        <f t="shared" si="55"/>
        <v>0.24986247688677321</v>
      </c>
      <c r="ML23" s="277">
        <f t="shared" si="55"/>
        <v>0.26329004015779467</v>
      </c>
      <c r="MM23" s="277">
        <f t="shared" si="55"/>
        <v>0.27694587945606508</v>
      </c>
      <c r="MN23" s="277">
        <f t="shared" si="55"/>
        <v>0.29082163491859259</v>
      </c>
      <c r="MO23" s="277">
        <f t="shared" si="55"/>
        <v>0.30490910601482457</v>
      </c>
      <c r="MP23" s="277">
        <f t="shared" si="55"/>
        <v>0.31920024906360722</v>
      </c>
      <c r="MQ23" s="277">
        <f t="shared" si="55"/>
        <v>0.33368717478542353</v>
      </c>
      <c r="MR23" s="277">
        <f t="shared" si="55"/>
        <v>0.34836214588954406</v>
      </c>
      <c r="MS23" s="277">
        <f t="shared" si="55"/>
        <v>0.3632175746952564</v>
      </c>
      <c r="MT23" s="277">
        <f t="shared" si="55"/>
        <v>0.37824602078700154</v>
      </c>
      <c r="MU23" s="277">
        <f t="shared" si="55"/>
        <v>0.39344018870298214</v>
      </c>
      <c r="MV23" s="277">
        <f t="shared" si="55"/>
        <v>0.40879292565658654</v>
      </c>
      <c r="MW23" s="277">
        <f t="shared" si="55"/>
        <v>0.4242972192902168</v>
      </c>
      <c r="MX23" s="277">
        <f t="shared" si="55"/>
        <v>0.43994619546145897</v>
      </c>
      <c r="MY23" s="277">
        <f t="shared" si="55"/>
        <v>0.45573311606052425</v>
      </c>
      <c r="MZ23" s="277">
        <f t="shared" si="55"/>
        <v>0.47165137685887926</v>
      </c>
      <c r="NA23" s="277">
        <f t="shared" si="55"/>
        <v>0.48769450538913528</v>
      </c>
      <c r="NB23" s="277">
        <f t="shared" si="55"/>
        <v>0.50385615885449786</v>
      </c>
      <c r="NC23" s="277">
        <f t="shared" si="55"/>
        <v>0.52013012206869336</v>
      </c>
      <c r="ND23" s="277">
        <f t="shared" si="55"/>
        <v>0.53651030542531863</v>
      </c>
      <c r="NE23" s="277">
        <f t="shared" si="55"/>
        <v>0.55299074289624617</v>
      </c>
      <c r="NF23" s="277">
        <f t="shared" si="55"/>
        <v>0.56956559005861962</v>
      </c>
      <c r="NG23" s="277">
        <f t="shared" si="55"/>
        <v>0.58622912215049583</v>
      </c>
      <c r="NH23" s="277">
        <f t="shared" si="55"/>
        <v>0.60297573215423661</v>
      </c>
      <c r="NI23" s="277">
        <f t="shared" si="55"/>
        <v>0.61979992890742786</v>
      </c>
      <c r="NJ23" s="277">
        <f t="shared" si="55"/>
        <v>0.63669633524113944</v>
      </c>
      <c r="NK23" s="277">
        <f t="shared" si="55"/>
        <v>0.65365968614502901</v>
      </c>
      <c r="NL23" s="277">
        <f t="shared" si="55"/>
        <v>0.6706848269585155</v>
      </c>
      <c r="NM23" s="277">
        <f t="shared" si="55"/>
        <v>0.6877667115888153</v>
      </c>
      <c r="NN23" s="277">
        <f t="shared" ref="NN23:PY23" si="56">12*(NN21-NM21)</f>
        <v>0.70490040075392635</v>
      </c>
      <c r="NO23" s="277">
        <f t="shared" si="56"/>
        <v>0.72208106025137564</v>
      </c>
      <c r="NP23" s="277">
        <f t="shared" si="56"/>
        <v>0.73930395925219994</v>
      </c>
      <c r="NQ23" s="277">
        <f t="shared" si="56"/>
        <v>0.75656446861922966</v>
      </c>
      <c r="NR23" s="277">
        <f t="shared" si="56"/>
        <v>0.77385805924998241</v>
      </c>
      <c r="NS23" s="277">
        <f t="shared" si="56"/>
        <v>0.79118030044360665</v>
      </c>
      <c r="NT23" s="277">
        <f t="shared" si="56"/>
        <v>0.80852685829139848</v>
      </c>
      <c r="NU23" s="277">
        <f t="shared" si="56"/>
        <v>0.82589349409075297</v>
      </c>
      <c r="NV23" s="277">
        <f t="shared" si="56"/>
        <v>0.843276062782361</v>
      </c>
      <c r="NW23" s="277">
        <f t="shared" si="56"/>
        <v>0.86067051140990536</v>
      </c>
      <c r="NX23" s="277">
        <f t="shared" si="56"/>
        <v>0.87807287760212027</v>
      </c>
      <c r="NY23" s="277">
        <f t="shared" si="56"/>
        <v>0.89547928807750488</v>
      </c>
      <c r="NZ23" s="277">
        <f t="shared" si="56"/>
        <v>0.91288595717016108</v>
      </c>
      <c r="OA23" s="277">
        <f t="shared" si="56"/>
        <v>0.93028918537794425</v>
      </c>
      <c r="OB23" s="277">
        <f t="shared" si="56"/>
        <v>0.9476853579307658</v>
      </c>
      <c r="OC23" s="277">
        <f t="shared" si="56"/>
        <v>0.9650709433810114</v>
      </c>
      <c r="OD23" s="277">
        <f t="shared" si="56"/>
        <v>0.98244249221427893</v>
      </c>
      <c r="OE23" s="277">
        <f t="shared" si="56"/>
        <v>0.99979663547927444</v>
      </c>
      <c r="OF23" s="277">
        <f t="shared" si="56"/>
        <v>1.0171300834400743</v>
      </c>
      <c r="OG23" s="277">
        <f t="shared" si="56"/>
        <v>1.0344396242463141</v>
      </c>
      <c r="OH23" s="277">
        <f t="shared" si="56"/>
        <v>1.0517221226233033</v>
      </c>
      <c r="OI23" s="277">
        <f t="shared" si="56"/>
        <v>1.0689745185821664</v>
      </c>
      <c r="OJ23" s="277">
        <f t="shared" si="56"/>
        <v>1.0861938261487687</v>
      </c>
      <c r="OK23" s="277">
        <f t="shared" si="56"/>
        <v>1.103377132109749</v>
      </c>
      <c r="OL23" s="277">
        <f t="shared" si="56"/>
        <v>1.1205215947800493</v>
      </c>
      <c r="OM23" s="277">
        <f t="shared" si="56"/>
        <v>1.1376244427862829</v>
      </c>
      <c r="ON23" s="277">
        <f t="shared" si="56"/>
        <v>1.1546829738684607</v>
      </c>
      <c r="OO23" s="277">
        <f t="shared" si="56"/>
        <v>1.1716945537004069</v>
      </c>
      <c r="OP23" s="277">
        <f t="shared" si="56"/>
        <v>1.1886566147273818</v>
      </c>
      <c r="OQ23" s="277">
        <f t="shared" si="56"/>
        <v>1.2055666550193411</v>
      </c>
      <c r="OR23" s="277">
        <f t="shared" si="56"/>
        <v>1.2224222371439968</v>
      </c>
      <c r="OS23" s="277">
        <f t="shared" si="56"/>
        <v>1.2392209870546242</v>
      </c>
      <c r="OT23" s="277">
        <f t="shared" si="56"/>
        <v>1.2559605929942457</v>
      </c>
      <c r="OU23" s="277">
        <f t="shared" si="56"/>
        <v>1.2726388044180759</v>
      </c>
      <c r="OV23" s="277">
        <f t="shared" si="56"/>
        <v>1.2892534309301915</v>
      </c>
      <c r="OW23" s="277">
        <f t="shared" si="56"/>
        <v>1.3058023412363262</v>
      </c>
      <c r="OX23" s="277">
        <f t="shared" si="56"/>
        <v>1.3222834621134147</v>
      </c>
      <c r="OY23" s="277">
        <f t="shared" si="56"/>
        <v>1.3386947773936058</v>
      </c>
      <c r="OZ23" s="277">
        <f t="shared" si="56"/>
        <v>1.3550343269632812</v>
      </c>
      <c r="PA23" s="277">
        <f t="shared" si="56"/>
        <v>1.371300205777807</v>
      </c>
      <c r="PB23" s="277">
        <f t="shared" si="56"/>
        <v>1.3874905628914078</v>
      </c>
      <c r="PC23" s="277">
        <f t="shared" si="56"/>
        <v>1.4036036004995118</v>
      </c>
      <c r="PD23" s="277">
        <f t="shared" si="56"/>
        <v>1.4196375729982975</v>
      </c>
      <c r="PE23" s="277">
        <f t="shared" si="56"/>
        <v>1.43559078605686</v>
      </c>
      <c r="PF23" s="277">
        <f t="shared" si="56"/>
        <v>1.4514615957027317</v>
      </c>
      <c r="PG23" s="277">
        <f t="shared" si="56"/>
        <v>1.4672484074229963</v>
      </c>
      <c r="PH23" s="277">
        <f t="shared" si="56"/>
        <v>1.4829496752781388</v>
      </c>
      <c r="PI23" s="277">
        <f t="shared" si="56"/>
        <v>1.4985639010280138</v>
      </c>
      <c r="PJ23" s="277">
        <f t="shared" si="56"/>
        <v>1.5140896332733753</v>
      </c>
      <c r="PK23" s="277">
        <f t="shared" si="56"/>
        <v>1.5295254666096945</v>
      </c>
      <c r="PL23" s="277">
        <f t="shared" si="56"/>
        <v>1.5448700407915936</v>
      </c>
      <c r="PM23" s="277">
        <f t="shared" si="56"/>
        <v>1.5601220399137254</v>
      </c>
      <c r="PN23" s="277">
        <f t="shared" si="56"/>
        <v>1.5752801916014576</v>
      </c>
      <c r="PO23" s="277">
        <f t="shared" si="56"/>
        <v>1.590343266214294</v>
      </c>
      <c r="PP23" s="277">
        <f t="shared" si="56"/>
        <v>1.605310076062576</v>
      </c>
      <c r="PQ23" s="277">
        <f t="shared" si="56"/>
        <v>1.6201794746350977</v>
      </c>
      <c r="PR23" s="277">
        <f t="shared" si="56"/>
        <v>1.6349503558382956</v>
      </c>
      <c r="PS23" s="277">
        <f t="shared" si="56"/>
        <v>1.6496216532484738</v>
      </c>
      <c r="PT23" s="277">
        <f t="shared" si="56"/>
        <v>1.6641923393744946</v>
      </c>
      <c r="PU23" s="277">
        <f t="shared" si="56"/>
        <v>1.6786614249311178</v>
      </c>
      <c r="PV23" s="277">
        <f t="shared" si="56"/>
        <v>1.6930279581252243</v>
      </c>
      <c r="PW23" s="277">
        <f t="shared" si="56"/>
        <v>1.7072910239524752</v>
      </c>
      <c r="PX23" s="277">
        <f t="shared" si="56"/>
        <v>1.7214497435028271</v>
      </c>
      <c r="PY23" s="277">
        <f t="shared" si="56"/>
        <v>1.7355032732801163</v>
      </c>
      <c r="PZ23" s="277">
        <f t="shared" ref="PZ23:RP23" si="57">12*(PZ21-PY21)</f>
        <v>1.7494508045302659</v>
      </c>
      <c r="QA23" s="277">
        <f t="shared" si="57"/>
        <v>1.7632915625787646</v>
      </c>
      <c r="QB23" s="277">
        <f t="shared" si="57"/>
        <v>1.7770248061812026</v>
      </c>
      <c r="QC23" s="277">
        <f t="shared" si="57"/>
        <v>1.7906498268824507</v>
      </c>
      <c r="QD23" s="277">
        <f t="shared" si="57"/>
        <v>1.804165948383897</v>
      </c>
      <c r="QE23" s="277">
        <f t="shared" si="57"/>
        <v>1.8175725259251791</v>
      </c>
      <c r="QF23" s="277">
        <f t="shared" si="57"/>
        <v>1.8308689456708294</v>
      </c>
      <c r="QG23" s="277">
        <f t="shared" si="57"/>
        <v>1.8440546241087077</v>
      </c>
      <c r="QH23" s="277">
        <f t="shared" si="57"/>
        <v>1.8571290074586244</v>
      </c>
      <c r="QI23" s="277">
        <f t="shared" si="57"/>
        <v>1.8700915710883379</v>
      </c>
      <c r="QJ23" s="277">
        <f t="shared" si="57"/>
        <v>1.8829418189391234</v>
      </c>
      <c r="QK23" s="277">
        <f t="shared" si="57"/>
        <v>1.8956792829621278</v>
      </c>
      <c r="QL23" s="277">
        <f t="shared" si="57"/>
        <v>1.9083035225618019</v>
      </c>
      <c r="QM23" s="277">
        <f t="shared" si="57"/>
        <v>1.9208141240470695</v>
      </c>
      <c r="QN23" s="277">
        <f t="shared" si="57"/>
        <v>1.9332107000950316</v>
      </c>
      <c r="QO23" s="277">
        <f t="shared" si="57"/>
        <v>1.9454928892194872</v>
      </c>
      <c r="QP23" s="277">
        <f t="shared" si="57"/>
        <v>1.957660355248791</v>
      </c>
      <c r="QQ23" s="277">
        <f t="shared" si="57"/>
        <v>1.9697127868128135</v>
      </c>
      <c r="QR23" s="277">
        <f t="shared" si="57"/>
        <v>1.9816498968382987</v>
      </c>
      <c r="QS23" s="277">
        <f t="shared" si="57"/>
        <v>1.9934714220498719</v>
      </c>
      <c r="QT23" s="277">
        <f t="shared" si="57"/>
        <v>2.0051771224817259</v>
      </c>
      <c r="QU23" s="277">
        <f t="shared" si="57"/>
        <v>2.0167667809964271</v>
      </c>
      <c r="QV23" s="277">
        <f t="shared" si="57"/>
        <v>2.0282402028093074</v>
      </c>
      <c r="QW23" s="277">
        <f t="shared" si="57"/>
        <v>2.0395972150235977</v>
      </c>
      <c r="QX23" s="277">
        <f t="shared" si="57"/>
        <v>2.0508376661715957</v>
      </c>
      <c r="QY23" s="277">
        <f t="shared" si="57"/>
        <v>2.0619614257616519</v>
      </c>
      <c r="QZ23" s="277">
        <f t="shared" si="57"/>
        <v>2.0729683838356223</v>
      </c>
      <c r="RA23" s="277">
        <f t="shared" si="57"/>
        <v>2.0838584505315012</v>
      </c>
      <c r="RB23" s="277">
        <f t="shared" si="57"/>
        <v>2.0946315556516808</v>
      </c>
      <c r="RC23" s="277">
        <f t="shared" si="57"/>
        <v>2.1052876482420615</v>
      </c>
      <c r="RD23" s="277">
        <f t="shared" si="57"/>
        <v>2.1158266961755317</v>
      </c>
      <c r="RE23" s="277">
        <f t="shared" si="57"/>
        <v>2.1262486857403928</v>
      </c>
      <c r="RF23" s="277">
        <f t="shared" si="57"/>
        <v>2.1365536212402532</v>
      </c>
      <c r="RG23" s="277">
        <f t="shared" si="57"/>
        <v>2.1467415245965213</v>
      </c>
      <c r="RH23" s="277">
        <f t="shared" si="57"/>
        <v>2.1568124349578497</v>
      </c>
      <c r="RI23" s="277">
        <f t="shared" si="57"/>
        <v>2.1667664083178479</v>
      </c>
      <c r="RJ23" s="277">
        <f t="shared" si="57"/>
        <v>2.1766035171386804</v>
      </c>
      <c r="RK23" s="277">
        <f t="shared" si="57"/>
        <v>2.186323849977434</v>
      </c>
      <c r="RL23" s="277">
        <f t="shared" si="57"/>
        <v>2.1959275111235286</v>
      </c>
      <c r="RM23" s="277">
        <f t="shared" si="57"/>
        <v>2.2054146202398357</v>
      </c>
      <c r="RN23" s="277">
        <f t="shared" si="57"/>
        <v>2.2147853120081678</v>
      </c>
      <c r="RO23" s="277">
        <f t="shared" si="57"/>
        <v>2.2240397357831867</v>
      </c>
      <c r="RP23" s="277">
        <f t="shared" si="57"/>
        <v>2.233178055251706</v>
      </c>
    </row>
    <row r="24" spans="2:484" ht="12.95" customHeight="1" x14ac:dyDescent="0.2">
      <c r="B24" s="21"/>
      <c r="C24" s="21"/>
      <c r="D24" s="21"/>
      <c r="E24" s="146"/>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77"/>
      <c r="BF24" s="277"/>
      <c r="BG24" s="277"/>
      <c r="BH24" s="277"/>
      <c r="BI24" s="277"/>
      <c r="BJ24" s="277"/>
      <c r="BK24" s="277"/>
      <c r="BL24" s="277"/>
      <c r="BM24" s="277"/>
      <c r="BN24" s="277"/>
      <c r="BO24" s="277"/>
      <c r="BP24" s="277"/>
      <c r="BQ24" s="277"/>
      <c r="BR24" s="277"/>
      <c r="BS24" s="277"/>
      <c r="BT24" s="277"/>
      <c r="BU24" s="277"/>
      <c r="BV24" s="277"/>
      <c r="BW24" s="277"/>
      <c r="BX24" s="277"/>
      <c r="BY24" s="277"/>
      <c r="BZ24" s="277"/>
      <c r="CA24" s="277"/>
      <c r="CB24" s="277"/>
      <c r="CC24" s="277"/>
      <c r="CD24" s="277"/>
      <c r="CE24" s="277"/>
      <c r="CF24" s="277"/>
      <c r="CG24" s="277"/>
      <c r="CH24" s="277"/>
      <c r="CI24" s="277"/>
      <c r="CJ24" s="277"/>
      <c r="CK24" s="277"/>
      <c r="CL24" s="277"/>
      <c r="CM24" s="277"/>
      <c r="CN24" s="277"/>
      <c r="CO24" s="277"/>
      <c r="CP24" s="277"/>
      <c r="CQ24" s="277"/>
      <c r="CR24" s="277"/>
      <c r="CS24" s="277"/>
      <c r="CT24" s="277"/>
      <c r="CU24" s="277"/>
      <c r="CV24" s="277"/>
      <c r="CW24" s="277"/>
      <c r="CX24" s="277"/>
      <c r="CY24" s="277"/>
      <c r="CZ24" s="277"/>
      <c r="DA24" s="277"/>
      <c r="DB24" s="277"/>
      <c r="DC24" s="277"/>
      <c r="DD24" s="277"/>
      <c r="DE24" s="277"/>
      <c r="DF24" s="277"/>
      <c r="DG24" s="277"/>
      <c r="DH24" s="277"/>
      <c r="DI24" s="277"/>
      <c r="DJ24" s="277"/>
      <c r="DK24" s="277"/>
      <c r="DL24" s="277"/>
      <c r="DM24" s="277"/>
      <c r="DN24" s="277"/>
      <c r="DO24" s="277"/>
      <c r="DP24" s="277"/>
      <c r="DQ24" s="277"/>
      <c r="DR24" s="277"/>
      <c r="DS24" s="277"/>
      <c r="DT24" s="277"/>
      <c r="DU24" s="277"/>
      <c r="DV24" s="277"/>
      <c r="DW24" s="277"/>
      <c r="DX24" s="277"/>
      <c r="DY24" s="277"/>
      <c r="DZ24" s="277"/>
      <c r="EA24" s="277"/>
      <c r="EB24" s="277"/>
      <c r="EC24" s="277"/>
      <c r="ED24" s="277"/>
      <c r="EE24" s="277"/>
      <c r="EF24" s="277"/>
      <c r="EG24" s="277"/>
      <c r="EH24" s="277"/>
      <c r="EI24" s="277"/>
      <c r="EJ24" s="277"/>
      <c r="EK24" s="277"/>
      <c r="EL24" s="277"/>
      <c r="EM24" s="277"/>
      <c r="EN24" s="277"/>
      <c r="EO24" s="277"/>
      <c r="EP24" s="277"/>
      <c r="EQ24" s="277"/>
      <c r="ER24" s="277"/>
      <c r="ES24" s="277"/>
      <c r="ET24" s="277"/>
      <c r="EU24" s="277"/>
      <c r="EV24" s="277"/>
      <c r="EW24" s="277"/>
      <c r="EX24" s="277"/>
      <c r="EY24" s="277"/>
      <c r="EZ24" s="277"/>
      <c r="FA24" s="277"/>
      <c r="FB24" s="277"/>
      <c r="FC24" s="277"/>
      <c r="FD24" s="277"/>
      <c r="FE24" s="277"/>
      <c r="FF24" s="277"/>
      <c r="FG24" s="277"/>
      <c r="FH24" s="277"/>
      <c r="FI24" s="277"/>
      <c r="FJ24" s="277"/>
      <c r="FK24" s="277"/>
      <c r="FL24" s="277"/>
      <c r="FM24" s="277"/>
      <c r="FN24" s="277"/>
      <c r="FO24" s="277"/>
      <c r="FP24" s="277"/>
      <c r="FQ24" s="277"/>
      <c r="FR24" s="277"/>
      <c r="FS24" s="277"/>
      <c r="FT24" s="277"/>
      <c r="FU24" s="277"/>
      <c r="FV24" s="277"/>
      <c r="FW24" s="277"/>
      <c r="FX24" s="277"/>
      <c r="FY24" s="277"/>
      <c r="FZ24" s="277"/>
      <c r="GA24" s="277"/>
      <c r="GB24" s="277"/>
      <c r="GC24" s="277"/>
      <c r="GD24" s="277"/>
      <c r="GE24" s="277"/>
      <c r="GF24" s="277"/>
      <c r="GG24" s="277"/>
      <c r="GH24" s="277"/>
      <c r="GI24" s="277"/>
      <c r="GJ24" s="277"/>
      <c r="GK24" s="277"/>
      <c r="GL24" s="277"/>
      <c r="GM24" s="277"/>
      <c r="GN24" s="277"/>
      <c r="GO24" s="277"/>
      <c r="GP24" s="277"/>
      <c r="GQ24" s="277"/>
      <c r="GR24" s="277"/>
      <c r="GS24" s="277"/>
      <c r="GT24" s="277"/>
      <c r="GU24" s="277"/>
      <c r="GV24" s="277"/>
      <c r="GW24" s="277"/>
      <c r="GX24" s="277"/>
      <c r="GY24" s="277"/>
      <c r="GZ24" s="277"/>
      <c r="HA24" s="277"/>
      <c r="HB24" s="277"/>
      <c r="HC24" s="277"/>
      <c r="HD24" s="277"/>
      <c r="HE24" s="277"/>
      <c r="HF24" s="277"/>
      <c r="HG24" s="277"/>
      <c r="HH24" s="277"/>
      <c r="HI24" s="277"/>
      <c r="HJ24" s="277"/>
      <c r="HK24" s="277"/>
      <c r="HL24" s="277"/>
      <c r="HM24" s="277"/>
      <c r="HN24" s="277"/>
      <c r="HO24" s="277"/>
      <c r="HP24" s="277"/>
      <c r="HQ24" s="277"/>
      <c r="HR24" s="277"/>
      <c r="HS24" s="277"/>
      <c r="HT24" s="277"/>
      <c r="HU24" s="277"/>
      <c r="HV24" s="277"/>
      <c r="HW24" s="277"/>
      <c r="HX24" s="277"/>
      <c r="HY24" s="277"/>
      <c r="HZ24" s="277"/>
      <c r="IA24" s="277"/>
      <c r="IB24" s="277"/>
      <c r="IC24" s="277"/>
      <c r="ID24" s="277"/>
      <c r="IE24" s="277"/>
      <c r="IF24" s="277"/>
      <c r="IG24" s="277"/>
      <c r="IH24" s="277"/>
      <c r="II24" s="277"/>
      <c r="IJ24" s="277"/>
      <c r="IK24" s="277"/>
      <c r="IL24" s="277"/>
      <c r="IM24" s="277"/>
      <c r="IN24" s="277"/>
      <c r="IO24" s="277"/>
      <c r="IP24" s="277"/>
      <c r="IQ24" s="277"/>
      <c r="IR24" s="277"/>
      <c r="IS24" s="277"/>
      <c r="IT24" s="277"/>
      <c r="IU24" s="277"/>
      <c r="IV24" s="277"/>
      <c r="IW24" s="277"/>
      <c r="IX24" s="277"/>
      <c r="IY24" s="277"/>
      <c r="IZ24" s="277"/>
      <c r="JA24" s="277"/>
      <c r="JB24" s="277"/>
      <c r="JC24" s="277"/>
      <c r="JD24" s="277"/>
      <c r="JE24" s="277"/>
      <c r="JF24" s="277"/>
      <c r="JG24" s="277"/>
      <c r="JH24" s="277"/>
      <c r="JI24" s="277"/>
      <c r="JJ24" s="277"/>
      <c r="JK24" s="277"/>
      <c r="JL24" s="277"/>
      <c r="JM24" s="277"/>
      <c r="JN24" s="277"/>
      <c r="JO24" s="277"/>
      <c r="JP24" s="277"/>
      <c r="JQ24" s="277"/>
      <c r="JR24" s="277"/>
      <c r="JS24" s="277"/>
      <c r="JT24" s="277"/>
      <c r="JU24" s="277"/>
      <c r="JV24" s="277"/>
      <c r="JW24" s="277"/>
      <c r="JX24" s="277"/>
      <c r="JY24" s="277"/>
      <c r="JZ24" s="277"/>
      <c r="KA24" s="277"/>
      <c r="KB24" s="277"/>
      <c r="KC24" s="277"/>
      <c r="KD24" s="277"/>
      <c r="KE24" s="277"/>
      <c r="KF24" s="277"/>
      <c r="KG24" s="277"/>
      <c r="KH24" s="277"/>
      <c r="KI24" s="277"/>
      <c r="KJ24" s="277"/>
      <c r="KK24" s="277"/>
      <c r="KL24" s="277"/>
      <c r="KM24" s="277"/>
      <c r="KN24" s="277"/>
      <c r="KO24" s="277"/>
      <c r="KP24" s="277"/>
      <c r="KQ24" s="277"/>
      <c r="KR24" s="277"/>
      <c r="KS24" s="277"/>
      <c r="KT24" s="277"/>
      <c r="KU24" s="277"/>
      <c r="KV24" s="277"/>
      <c r="KW24" s="277"/>
      <c r="KX24" s="277"/>
      <c r="KY24" s="277"/>
      <c r="KZ24" s="277"/>
      <c r="LA24" s="277"/>
      <c r="LB24" s="277"/>
      <c r="LC24" s="277"/>
      <c r="LD24" s="277"/>
      <c r="LE24" s="277"/>
      <c r="LF24" s="277"/>
      <c r="LG24" s="277"/>
      <c r="LH24" s="277"/>
      <c r="LI24" s="277"/>
      <c r="LJ24" s="277"/>
      <c r="LK24" s="277"/>
      <c r="LL24" s="277"/>
      <c r="LM24" s="277"/>
      <c r="LN24" s="277"/>
      <c r="LO24" s="277"/>
      <c r="LP24" s="277"/>
      <c r="LQ24" s="277"/>
      <c r="LR24" s="277"/>
      <c r="LS24" s="277"/>
      <c r="LT24" s="277"/>
      <c r="LU24" s="277"/>
      <c r="LV24" s="277"/>
      <c r="LW24" s="277"/>
      <c r="LX24" s="277"/>
      <c r="LY24" s="277"/>
      <c r="LZ24" s="277"/>
      <c r="MA24" s="277"/>
      <c r="MB24" s="277"/>
      <c r="MC24" s="277"/>
      <c r="MD24" s="277"/>
      <c r="ME24" s="277"/>
      <c r="MF24" s="277"/>
      <c r="MG24" s="277"/>
      <c r="MH24" s="277"/>
      <c r="MI24" s="277"/>
      <c r="MJ24" s="277"/>
      <c r="MK24" s="277"/>
      <c r="ML24" s="277"/>
      <c r="MM24" s="277"/>
      <c r="MN24" s="277"/>
      <c r="MO24" s="277"/>
      <c r="MP24" s="277"/>
      <c r="MQ24" s="277"/>
      <c r="MR24" s="277"/>
      <c r="MS24" s="277"/>
      <c r="MT24" s="277"/>
      <c r="MU24" s="277"/>
      <c r="MV24" s="277"/>
      <c r="MW24" s="277"/>
      <c r="MX24" s="277"/>
      <c r="MY24" s="277"/>
      <c r="MZ24" s="277"/>
      <c r="NA24" s="277"/>
      <c r="NB24" s="277"/>
      <c r="NC24" s="277"/>
      <c r="ND24" s="277"/>
      <c r="NE24" s="277"/>
      <c r="NF24" s="277"/>
      <c r="NG24" s="277"/>
      <c r="NH24" s="277"/>
      <c r="NI24" s="277"/>
      <c r="NJ24" s="277"/>
      <c r="NK24" s="277"/>
      <c r="NL24" s="277"/>
      <c r="NM24" s="277"/>
      <c r="NN24" s="277"/>
      <c r="NO24" s="277"/>
      <c r="NP24" s="277"/>
      <c r="NQ24" s="277"/>
      <c r="NR24" s="277"/>
      <c r="NS24" s="277"/>
      <c r="NT24" s="277"/>
      <c r="NU24" s="277"/>
      <c r="NV24" s="277"/>
      <c r="NW24" s="277"/>
      <c r="NX24" s="277"/>
      <c r="NY24" s="277"/>
      <c r="NZ24" s="277"/>
      <c r="OA24" s="277"/>
      <c r="OB24" s="277"/>
      <c r="OC24" s="277"/>
      <c r="OD24" s="277"/>
      <c r="OE24" s="277"/>
      <c r="OF24" s="277"/>
      <c r="OG24" s="277"/>
      <c r="OH24" s="277"/>
      <c r="OI24" s="277"/>
      <c r="OJ24" s="277"/>
      <c r="OK24" s="277"/>
      <c r="OL24" s="277"/>
      <c r="OM24" s="277"/>
      <c r="ON24" s="277"/>
      <c r="OO24" s="277"/>
      <c r="OP24" s="277"/>
      <c r="OQ24" s="277"/>
      <c r="OR24" s="277"/>
      <c r="OS24" s="277"/>
      <c r="OT24" s="277"/>
      <c r="OU24" s="277"/>
      <c r="OV24" s="277"/>
      <c r="OW24" s="277"/>
      <c r="OX24" s="277"/>
      <c r="OY24" s="277"/>
      <c r="OZ24" s="277"/>
      <c r="PA24" s="277"/>
      <c r="PB24" s="277"/>
      <c r="PC24" s="277"/>
      <c r="PD24" s="277"/>
      <c r="PE24" s="277"/>
      <c r="PF24" s="277"/>
      <c r="PG24" s="277"/>
      <c r="PH24" s="277"/>
      <c r="PI24" s="277"/>
      <c r="PJ24" s="277"/>
      <c r="PK24" s="277"/>
      <c r="PL24" s="277"/>
      <c r="PM24" s="277"/>
      <c r="PN24" s="277"/>
      <c r="PO24" s="277"/>
      <c r="PP24" s="277"/>
      <c r="PQ24" s="277"/>
      <c r="PR24" s="277"/>
      <c r="PS24" s="277"/>
      <c r="PT24" s="277"/>
      <c r="PU24" s="277"/>
      <c r="PV24" s="277"/>
      <c r="PW24" s="277"/>
      <c r="PX24" s="277"/>
      <c r="PY24" s="277"/>
      <c r="PZ24" s="277"/>
      <c r="QA24" s="277"/>
      <c r="QB24" s="277"/>
      <c r="QC24" s="277"/>
      <c r="QD24" s="277"/>
      <c r="QE24" s="277"/>
      <c r="QF24" s="277"/>
      <c r="QG24" s="277"/>
      <c r="QH24" s="277"/>
      <c r="QI24" s="277"/>
      <c r="QJ24" s="277"/>
      <c r="QK24" s="277"/>
      <c r="QL24" s="277"/>
      <c r="QM24" s="277"/>
      <c r="QN24" s="277"/>
      <c r="QO24" s="277"/>
      <c r="QP24" s="277"/>
      <c r="QQ24" s="277"/>
      <c r="QR24" s="277"/>
      <c r="QS24" s="277"/>
      <c r="QT24" s="277"/>
      <c r="QU24" s="277"/>
      <c r="QV24" s="277"/>
      <c r="QW24" s="277"/>
      <c r="QX24" s="277"/>
      <c r="QY24" s="277"/>
      <c r="QZ24" s="277"/>
      <c r="RA24" s="277"/>
      <c r="RB24" s="277"/>
      <c r="RC24" s="277"/>
      <c r="RD24" s="277"/>
      <c r="RE24" s="277"/>
      <c r="RF24" s="277"/>
      <c r="RG24" s="277"/>
      <c r="RH24" s="277"/>
      <c r="RI24" s="277"/>
      <c r="RJ24" s="277"/>
      <c r="RK24" s="277"/>
      <c r="RL24" s="277"/>
      <c r="RM24" s="277"/>
      <c r="RN24" s="277"/>
      <c r="RO24" s="277"/>
      <c r="RP24" s="277"/>
    </row>
    <row r="25" spans="2:484" ht="12.95" customHeight="1" x14ac:dyDescent="0.2">
      <c r="B25" s="21"/>
      <c r="C25" s="21"/>
      <c r="D25" s="21"/>
      <c r="E25" s="146"/>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7"/>
      <c r="BG25" s="277"/>
      <c r="BH25" s="277"/>
      <c r="BI25" s="277"/>
      <c r="BJ25" s="277"/>
      <c r="BK25" s="277"/>
      <c r="BL25" s="277"/>
      <c r="BM25" s="277"/>
      <c r="BN25" s="277"/>
      <c r="BO25" s="277"/>
      <c r="BP25" s="277"/>
      <c r="BQ25" s="277"/>
      <c r="BR25" s="277"/>
      <c r="BS25" s="277"/>
      <c r="BT25" s="277"/>
      <c r="BU25" s="277"/>
      <c r="BV25" s="277"/>
      <c r="BW25" s="277"/>
      <c r="BX25" s="277"/>
      <c r="BY25" s="277"/>
      <c r="BZ25" s="277"/>
      <c r="CA25" s="277"/>
      <c r="CB25" s="277"/>
      <c r="CC25" s="277"/>
      <c r="CD25" s="277"/>
      <c r="CE25" s="277"/>
      <c r="CF25" s="277"/>
      <c r="CG25" s="277"/>
      <c r="CH25" s="277"/>
      <c r="CI25" s="277"/>
      <c r="CJ25" s="277"/>
      <c r="CK25" s="277"/>
      <c r="CL25" s="277"/>
      <c r="CM25" s="277"/>
      <c r="CN25" s="277"/>
      <c r="CO25" s="277"/>
      <c r="CP25" s="277"/>
      <c r="CQ25" s="277"/>
      <c r="CR25" s="277"/>
      <c r="CS25" s="277"/>
      <c r="CT25" s="277"/>
      <c r="CU25" s="277"/>
      <c r="CV25" s="277"/>
      <c r="CW25" s="277"/>
      <c r="CX25" s="277"/>
      <c r="CY25" s="277"/>
      <c r="CZ25" s="277"/>
      <c r="DA25" s="277"/>
      <c r="DB25" s="277"/>
      <c r="DC25" s="277"/>
      <c r="DD25" s="277"/>
      <c r="DE25" s="277"/>
      <c r="DF25" s="277"/>
      <c r="DG25" s="277"/>
      <c r="DH25" s="277"/>
      <c r="DI25" s="277"/>
      <c r="DJ25" s="277"/>
      <c r="DK25" s="277"/>
      <c r="DL25" s="277"/>
      <c r="DM25" s="277"/>
      <c r="DN25" s="277"/>
      <c r="DO25" s="277"/>
      <c r="DP25" s="277"/>
      <c r="DQ25" s="277"/>
      <c r="DR25" s="277"/>
      <c r="DS25" s="277"/>
      <c r="DT25" s="277"/>
      <c r="DU25" s="277"/>
      <c r="DV25" s="277"/>
      <c r="DW25" s="277"/>
      <c r="DX25" s="277"/>
      <c r="DY25" s="277"/>
      <c r="DZ25" s="277"/>
      <c r="EA25" s="277"/>
      <c r="EB25" s="277"/>
      <c r="EC25" s="277"/>
      <c r="ED25" s="277"/>
      <c r="EE25" s="277"/>
      <c r="EF25" s="277"/>
      <c r="EG25" s="277"/>
      <c r="EH25" s="277"/>
      <c r="EI25" s="277"/>
      <c r="EJ25" s="277"/>
      <c r="EK25" s="277"/>
      <c r="EL25" s="277"/>
      <c r="EM25" s="277"/>
      <c r="EN25" s="277"/>
      <c r="EO25" s="277"/>
      <c r="EP25" s="277"/>
      <c r="EQ25" s="277"/>
      <c r="ER25" s="277"/>
      <c r="ES25" s="277"/>
      <c r="ET25" s="277"/>
      <c r="EU25" s="277"/>
      <c r="EV25" s="277"/>
      <c r="EW25" s="277"/>
      <c r="EX25" s="277"/>
      <c r="EY25" s="277"/>
      <c r="EZ25" s="277"/>
      <c r="FA25" s="277"/>
      <c r="FB25" s="277"/>
      <c r="FC25" s="277"/>
      <c r="FD25" s="277"/>
      <c r="FE25" s="277"/>
      <c r="FF25" s="277"/>
      <c r="FG25" s="277"/>
      <c r="FH25" s="277"/>
      <c r="FI25" s="277"/>
      <c r="FJ25" s="277"/>
      <c r="FK25" s="277"/>
      <c r="FL25" s="277"/>
      <c r="FM25" s="277"/>
      <c r="FN25" s="277"/>
      <c r="FO25" s="277"/>
      <c r="FP25" s="277"/>
      <c r="FQ25" s="277"/>
      <c r="FR25" s="277"/>
      <c r="FS25" s="277"/>
      <c r="FT25" s="277"/>
      <c r="FU25" s="277"/>
      <c r="FV25" s="277"/>
      <c r="FW25" s="277"/>
      <c r="FX25" s="277"/>
      <c r="FY25" s="277"/>
      <c r="FZ25" s="277"/>
      <c r="GA25" s="277"/>
      <c r="GB25" s="277"/>
      <c r="GC25" s="277"/>
      <c r="GD25" s="277"/>
      <c r="GE25" s="277"/>
      <c r="GF25" s="277"/>
      <c r="GG25" s="277"/>
      <c r="GH25" s="277"/>
      <c r="GI25" s="277"/>
      <c r="GJ25" s="277"/>
      <c r="GK25" s="277"/>
      <c r="GL25" s="277"/>
      <c r="GM25" s="277"/>
      <c r="GN25" s="277"/>
      <c r="GO25" s="277"/>
      <c r="GP25" s="277"/>
      <c r="GQ25" s="277"/>
      <c r="GR25" s="277"/>
      <c r="GS25" s="277"/>
      <c r="GT25" s="277"/>
      <c r="GU25" s="277"/>
      <c r="GV25" s="277"/>
      <c r="GW25" s="277"/>
      <c r="GX25" s="277"/>
      <c r="GY25" s="277"/>
      <c r="GZ25" s="277"/>
      <c r="HA25" s="277"/>
      <c r="HB25" s="277"/>
      <c r="HC25" s="277"/>
      <c r="HD25" s="277"/>
      <c r="HE25" s="277"/>
      <c r="HF25" s="277"/>
      <c r="HG25" s="277"/>
      <c r="HH25" s="277"/>
      <c r="HI25" s="277"/>
      <c r="HJ25" s="277"/>
      <c r="HK25" s="277"/>
      <c r="HL25" s="277"/>
      <c r="HM25" s="277"/>
      <c r="HN25" s="277"/>
      <c r="HO25" s="277"/>
      <c r="HP25" s="277"/>
      <c r="HQ25" s="277"/>
      <c r="HR25" s="277"/>
      <c r="HS25" s="277"/>
      <c r="HT25" s="277"/>
      <c r="HU25" s="277"/>
      <c r="HV25" s="277"/>
      <c r="HW25" s="277"/>
      <c r="HX25" s="277"/>
      <c r="HY25" s="277"/>
      <c r="HZ25" s="277"/>
      <c r="IA25" s="277"/>
      <c r="IB25" s="277"/>
      <c r="IC25" s="277"/>
      <c r="ID25" s="277"/>
      <c r="IE25" s="277"/>
      <c r="IF25" s="277"/>
      <c r="IG25" s="277"/>
      <c r="IH25" s="277"/>
      <c r="II25" s="277"/>
      <c r="IJ25" s="277"/>
      <c r="IK25" s="277"/>
      <c r="IL25" s="277"/>
      <c r="IM25" s="277"/>
      <c r="IN25" s="277"/>
      <c r="IO25" s="277"/>
      <c r="IP25" s="277"/>
      <c r="IQ25" s="277"/>
      <c r="IR25" s="277"/>
      <c r="IS25" s="277"/>
      <c r="IT25" s="277"/>
      <c r="IU25" s="277"/>
      <c r="IV25" s="277"/>
      <c r="IW25" s="277"/>
      <c r="IX25" s="277"/>
      <c r="IY25" s="277"/>
      <c r="IZ25" s="277"/>
      <c r="JA25" s="277"/>
      <c r="JB25" s="277"/>
      <c r="JC25" s="277"/>
      <c r="JD25" s="277"/>
      <c r="JE25" s="277"/>
      <c r="JF25" s="277"/>
      <c r="JG25" s="277"/>
      <c r="JH25" s="277"/>
      <c r="JI25" s="277"/>
      <c r="JJ25" s="277"/>
      <c r="JK25" s="277"/>
      <c r="JL25" s="277"/>
      <c r="JM25" s="277"/>
      <c r="JN25" s="277"/>
      <c r="JO25" s="277"/>
      <c r="JP25" s="277"/>
      <c r="JQ25" s="277"/>
      <c r="JR25" s="277"/>
      <c r="JS25" s="277"/>
      <c r="JT25" s="277"/>
      <c r="JU25" s="277"/>
      <c r="JV25" s="277"/>
      <c r="JW25" s="277"/>
      <c r="JX25" s="277"/>
      <c r="JY25" s="277"/>
      <c r="JZ25" s="277"/>
      <c r="KA25" s="277"/>
      <c r="KB25" s="277"/>
      <c r="KC25" s="277"/>
      <c r="KD25" s="277"/>
      <c r="KE25" s="277"/>
      <c r="KF25" s="277"/>
      <c r="KG25" s="277"/>
      <c r="KH25" s="277"/>
      <c r="KI25" s="277"/>
      <c r="KJ25" s="277"/>
      <c r="KK25" s="277"/>
      <c r="KL25" s="277"/>
      <c r="KM25" s="277"/>
      <c r="KN25" s="277"/>
      <c r="KO25" s="277"/>
      <c r="KP25" s="277"/>
      <c r="KQ25" s="277"/>
      <c r="KR25" s="277"/>
      <c r="KS25" s="277"/>
      <c r="KT25" s="277"/>
      <c r="KU25" s="277"/>
      <c r="KV25" s="277"/>
      <c r="KW25" s="277"/>
      <c r="KX25" s="277"/>
      <c r="KY25" s="277"/>
      <c r="KZ25" s="277"/>
      <c r="LA25" s="277"/>
      <c r="LB25" s="277"/>
      <c r="LC25" s="277"/>
      <c r="LD25" s="277"/>
      <c r="LE25" s="277"/>
      <c r="LF25" s="277"/>
      <c r="LG25" s="277"/>
      <c r="LH25" s="277"/>
      <c r="LI25" s="277"/>
      <c r="LJ25" s="277"/>
      <c r="LK25" s="277"/>
      <c r="LL25" s="277"/>
      <c r="LM25" s="277"/>
      <c r="LN25" s="277"/>
      <c r="LO25" s="277"/>
      <c r="LP25" s="277"/>
      <c r="LQ25" s="277"/>
      <c r="LR25" s="277"/>
      <c r="LS25" s="277"/>
      <c r="LT25" s="277"/>
      <c r="LU25" s="277"/>
      <c r="LV25" s="277"/>
      <c r="LW25" s="277"/>
      <c r="LX25" s="277"/>
      <c r="LY25" s="277"/>
      <c r="LZ25" s="277"/>
      <c r="MA25" s="277"/>
      <c r="MB25" s="277"/>
      <c r="MC25" s="277"/>
      <c r="MD25" s="277"/>
      <c r="ME25" s="277"/>
      <c r="MF25" s="277"/>
      <c r="MG25" s="277"/>
      <c r="MH25" s="277"/>
      <c r="MI25" s="277"/>
      <c r="MJ25" s="277"/>
      <c r="MK25" s="277"/>
      <c r="ML25" s="277"/>
      <c r="MM25" s="277"/>
      <c r="MN25" s="277"/>
      <c r="MO25" s="277"/>
      <c r="MP25" s="277"/>
      <c r="MQ25" s="277"/>
      <c r="MR25" s="277"/>
      <c r="MS25" s="277"/>
      <c r="MT25" s="277"/>
      <c r="MU25" s="277"/>
      <c r="MV25" s="277"/>
      <c r="MW25" s="277"/>
      <c r="MX25" s="277"/>
      <c r="MY25" s="277"/>
      <c r="MZ25" s="277"/>
      <c r="NA25" s="277"/>
      <c r="NB25" s="277"/>
      <c r="NC25" s="277"/>
      <c r="ND25" s="277"/>
      <c r="NE25" s="277"/>
      <c r="NF25" s="277"/>
      <c r="NG25" s="277"/>
      <c r="NH25" s="277"/>
      <c r="NI25" s="277"/>
      <c r="NJ25" s="277"/>
      <c r="NK25" s="277"/>
      <c r="NL25" s="277"/>
      <c r="NM25" s="277"/>
      <c r="NN25" s="277"/>
      <c r="NO25" s="277"/>
      <c r="NP25" s="277"/>
      <c r="NQ25" s="277"/>
      <c r="NR25" s="277"/>
      <c r="NS25" s="277"/>
      <c r="NT25" s="277"/>
      <c r="NU25" s="277"/>
      <c r="NV25" s="277"/>
      <c r="NW25" s="277"/>
      <c r="NX25" s="277"/>
      <c r="NY25" s="277"/>
      <c r="NZ25" s="277"/>
      <c r="OA25" s="277"/>
      <c r="OB25" s="277"/>
      <c r="OC25" s="277"/>
      <c r="OD25" s="277"/>
      <c r="OE25" s="277"/>
      <c r="OF25" s="277"/>
      <c r="OG25" s="277"/>
      <c r="OH25" s="277"/>
      <c r="OI25" s="277"/>
      <c r="OJ25" s="277"/>
      <c r="OK25" s="277"/>
      <c r="OL25" s="277"/>
      <c r="OM25" s="277"/>
      <c r="ON25" s="277"/>
      <c r="OO25" s="277"/>
      <c r="OP25" s="277"/>
      <c r="OQ25" s="277"/>
      <c r="OR25" s="277"/>
      <c r="OS25" s="277"/>
      <c r="OT25" s="277"/>
      <c r="OU25" s="277"/>
      <c r="OV25" s="277"/>
      <c r="OW25" s="277"/>
      <c r="OX25" s="277"/>
      <c r="OY25" s="277"/>
      <c r="OZ25" s="277"/>
      <c r="PA25" s="277"/>
      <c r="PB25" s="277"/>
      <c r="PC25" s="277"/>
      <c r="PD25" s="277"/>
      <c r="PE25" s="277"/>
      <c r="PF25" s="277"/>
      <c r="PG25" s="277"/>
      <c r="PH25" s="277"/>
      <c r="PI25" s="277"/>
      <c r="PJ25" s="277"/>
      <c r="PK25" s="277"/>
      <c r="PL25" s="277"/>
      <c r="PM25" s="277"/>
      <c r="PN25" s="277"/>
      <c r="PO25" s="277"/>
      <c r="PP25" s="277"/>
      <c r="PQ25" s="277"/>
      <c r="PR25" s="277"/>
      <c r="PS25" s="277"/>
      <c r="PT25" s="277"/>
      <c r="PU25" s="277"/>
      <c r="PV25" s="277"/>
      <c r="PW25" s="277"/>
      <c r="PX25" s="277"/>
      <c r="PY25" s="277"/>
      <c r="PZ25" s="277"/>
      <c r="QA25" s="277"/>
      <c r="QB25" s="277"/>
      <c r="QC25" s="277"/>
      <c r="QD25" s="277"/>
      <c r="QE25" s="277"/>
      <c r="QF25" s="277"/>
      <c r="QG25" s="277"/>
      <c r="QH25" s="277"/>
      <c r="QI25" s="277"/>
      <c r="QJ25" s="277"/>
      <c r="QK25" s="277"/>
      <c r="QL25" s="277"/>
      <c r="QM25" s="277"/>
      <c r="QN25" s="277"/>
      <c r="QO25" s="277"/>
      <c r="QP25" s="277"/>
      <c r="QQ25" s="277"/>
      <c r="QR25" s="277"/>
      <c r="QS25" s="277"/>
      <c r="QT25" s="277"/>
      <c r="QU25" s="277"/>
      <c r="QV25" s="277"/>
      <c r="QW25" s="277"/>
      <c r="QX25" s="277"/>
      <c r="QY25" s="277"/>
      <c r="QZ25" s="277"/>
      <c r="RA25" s="277"/>
      <c r="RB25" s="277"/>
      <c r="RC25" s="277"/>
      <c r="RD25" s="277"/>
      <c r="RE25" s="277"/>
      <c r="RF25" s="277"/>
      <c r="RG25" s="277"/>
      <c r="RH25" s="277"/>
      <c r="RI25" s="277"/>
      <c r="RJ25" s="277"/>
      <c r="RK25" s="277"/>
      <c r="RL25" s="277"/>
      <c r="RM25" s="277"/>
      <c r="RN25" s="277"/>
      <c r="RO25" s="277"/>
      <c r="RP25" s="277"/>
    </row>
    <row r="27" spans="2:484" ht="12.95" customHeight="1" x14ac:dyDescent="0.2">
      <c r="GC27" s="146">
        <f>0.75*GB13</f>
        <v>13.07223237849435</v>
      </c>
      <c r="GD27" s="253" t="s">
        <v>395</v>
      </c>
      <c r="GN27" s="250" t="s">
        <v>910</v>
      </c>
    </row>
    <row r="28" spans="2:484" ht="12.95" customHeight="1" x14ac:dyDescent="0.2">
      <c r="GC28" s="250" t="s">
        <v>907</v>
      </c>
      <c r="GN28" s="250" t="s">
        <v>909</v>
      </c>
    </row>
    <row r="29" spans="2:484" ht="12.95" customHeight="1" x14ac:dyDescent="0.2">
      <c r="GN29" s="147">
        <f>GN13-GC27</f>
        <v>0.59253502187002027</v>
      </c>
      <c r="GO29" s="253" t="s">
        <v>395</v>
      </c>
    </row>
  </sheetData>
  <hyperlinks>
    <hyperlink ref="B2" location="cover!B18" display="return to TOC" xr:uid="{F909E7A6-1BCD-4EE0-8327-05278ACF8C44}"/>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145A2-D0A3-4E1C-845A-20E06CA17BF5}">
  <sheetPr published="0" codeName="Sheet9">
    <tabColor rgb="FF238B45"/>
  </sheetPr>
  <dimension ref="A1:AY102"/>
  <sheetViews>
    <sheetView workbookViewId="0"/>
  </sheetViews>
  <sheetFormatPr defaultColWidth="10.83203125" defaultRowHeight="12.95" customHeight="1" x14ac:dyDescent="0.2"/>
  <cols>
    <col min="1" max="1" width="1.83203125" style="54" customWidth="1"/>
    <col min="2" max="4" width="2.83203125" style="54" customWidth="1"/>
    <col min="5" max="5" width="26.83203125" style="54" customWidth="1"/>
    <col min="6" max="7" width="10.83203125" style="54" customWidth="1"/>
    <col min="8" max="8" width="10.83203125" style="12" customWidth="1"/>
    <col min="9" max="9" width="80.83203125" style="54" customWidth="1"/>
    <col min="10" max="10" width="10.83203125" style="54" customWidth="1"/>
    <col min="11" max="16384" width="10.83203125" style="54"/>
  </cols>
  <sheetData>
    <row r="1" spans="1:51" ht="30" customHeight="1" x14ac:dyDescent="0.2">
      <c r="A1" s="85"/>
      <c r="B1" s="86" t="s">
        <v>1256</v>
      </c>
      <c r="C1" s="149"/>
      <c r="D1" s="149"/>
      <c r="E1" s="149"/>
      <c r="F1" s="14"/>
      <c r="G1" s="14"/>
      <c r="H1" s="14"/>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14"/>
      <c r="AY1" s="14"/>
    </row>
    <row r="2" spans="1:51" ht="12.95" customHeight="1" x14ac:dyDescent="0.2">
      <c r="A2" s="85"/>
      <c r="B2" s="81" t="s">
        <v>349</v>
      </c>
      <c r="C2" s="21"/>
      <c r="D2" s="21"/>
      <c r="E2" s="21"/>
      <c r="H2" s="54"/>
    </row>
    <row r="3" spans="1:51" ht="12.95" customHeight="1" x14ac:dyDescent="0.2">
      <c r="B3" s="14"/>
      <c r="F3" s="132"/>
      <c r="H3" s="54"/>
    </row>
    <row r="4" spans="1:51" ht="12.95" customHeight="1" x14ac:dyDescent="0.25">
      <c r="B4" s="105" t="s">
        <v>478</v>
      </c>
      <c r="C4" s="106"/>
      <c r="D4" s="106"/>
      <c r="E4" s="106"/>
      <c r="F4" s="106"/>
      <c r="G4" s="106"/>
      <c r="H4" s="107"/>
      <c r="I4" s="108"/>
    </row>
    <row r="5" spans="1:51" ht="12.95" customHeight="1" x14ac:dyDescent="0.25">
      <c r="B5" s="19" t="s">
        <v>300</v>
      </c>
      <c r="C5" s="75"/>
      <c r="D5" s="75"/>
      <c r="E5" s="74"/>
      <c r="F5" s="46" t="s">
        <v>0</v>
      </c>
      <c r="G5" s="20" t="s">
        <v>1</v>
      </c>
      <c r="H5" s="56" t="s">
        <v>305</v>
      </c>
      <c r="I5" s="5" t="s">
        <v>2</v>
      </c>
      <c r="J5" s="14"/>
    </row>
    <row r="6" spans="1:51" ht="12.95" customHeight="1" x14ac:dyDescent="0.2">
      <c r="F6" s="84"/>
      <c r="H6" s="54"/>
    </row>
    <row r="7" spans="1:51" s="253" customFormat="1" ht="12.95" customHeight="1" x14ac:dyDescent="0.2">
      <c r="B7" s="253" t="s">
        <v>1241</v>
      </c>
      <c r="F7" s="29"/>
      <c r="H7" s="250"/>
    </row>
    <row r="8" spans="1:51" customFormat="1" ht="12.95" customHeight="1" x14ac:dyDescent="0.2">
      <c r="C8" t="s">
        <v>1229</v>
      </c>
      <c r="F8" s="59">
        <v>146756</v>
      </c>
      <c r="G8" t="s">
        <v>1231</v>
      </c>
      <c r="H8" s="78" t="s">
        <v>1230</v>
      </c>
      <c r="I8" t="s">
        <v>1240</v>
      </c>
    </row>
    <row r="9" spans="1:51" customFormat="1" ht="12.95" customHeight="1" x14ac:dyDescent="0.2">
      <c r="C9" t="s">
        <v>1232</v>
      </c>
      <c r="H9" s="250"/>
    </row>
    <row r="10" spans="1:51" customFormat="1" ht="12.95" customHeight="1" x14ac:dyDescent="0.2">
      <c r="D10" t="s">
        <v>1233</v>
      </c>
      <c r="H10" s="250"/>
    </row>
    <row r="11" spans="1:51" customFormat="1" ht="12.95" customHeight="1" x14ac:dyDescent="0.2">
      <c r="E11" t="s">
        <v>1234</v>
      </c>
      <c r="F11" s="59">
        <v>21654</v>
      </c>
      <c r="G11" s="253" t="s">
        <v>1231</v>
      </c>
      <c r="H11" s="78" t="s">
        <v>1230</v>
      </c>
      <c r="I11" s="253" t="s">
        <v>1240</v>
      </c>
    </row>
    <row r="12" spans="1:51" customFormat="1" ht="12.95" customHeight="1" x14ac:dyDescent="0.2">
      <c r="E12" t="s">
        <v>1235</v>
      </c>
      <c r="F12" s="59">
        <v>64100</v>
      </c>
      <c r="G12" s="253" t="s">
        <v>1231</v>
      </c>
      <c r="H12" s="78" t="s">
        <v>1230</v>
      </c>
      <c r="I12" s="253" t="s">
        <v>1240</v>
      </c>
    </row>
    <row r="13" spans="1:51" customFormat="1" ht="12.95" customHeight="1" x14ac:dyDescent="0.2">
      <c r="E13" t="s">
        <v>1236</v>
      </c>
      <c r="F13" s="30">
        <f>SUM(F11:F12)</f>
        <v>85754</v>
      </c>
      <c r="G13" t="s">
        <v>1231</v>
      </c>
    </row>
    <row r="14" spans="1:51" customFormat="1" ht="12.95" customHeight="1" x14ac:dyDescent="0.2">
      <c r="D14" t="s">
        <v>1237</v>
      </c>
      <c r="F14" s="59">
        <v>3493</v>
      </c>
      <c r="G14" s="253" t="s">
        <v>1231</v>
      </c>
      <c r="H14" s="78" t="s">
        <v>1230</v>
      </c>
      <c r="I14" s="253" t="s">
        <v>1240</v>
      </c>
    </row>
    <row r="15" spans="1:51" customFormat="1" ht="12.95" customHeight="1" x14ac:dyDescent="0.2">
      <c r="D15" t="s">
        <v>1238</v>
      </c>
      <c r="F15" s="59">
        <v>445</v>
      </c>
      <c r="G15" s="253" t="s">
        <v>1231</v>
      </c>
      <c r="H15" s="78" t="s">
        <v>1230</v>
      </c>
      <c r="I15" s="253" t="s">
        <v>1240</v>
      </c>
    </row>
    <row r="16" spans="1:51" customFormat="1" ht="12.95" customHeight="1" x14ac:dyDescent="0.2">
      <c r="D16" t="s">
        <v>1239</v>
      </c>
      <c r="F16" s="30">
        <f>SUM(F13:F15)</f>
        <v>89692</v>
      </c>
      <c r="G16" s="253" t="s">
        <v>1231</v>
      </c>
    </row>
    <row r="17" spans="2:9" s="253" customFormat="1" ht="12.95" customHeight="1" x14ac:dyDescent="0.2">
      <c r="B17" s="253" t="s">
        <v>1242</v>
      </c>
      <c r="F17" s="29"/>
      <c r="H17" s="250"/>
    </row>
    <row r="18" spans="2:9" s="253" customFormat="1" ht="12.95" customHeight="1" x14ac:dyDescent="0.2">
      <c r="C18" s="253" t="s">
        <v>1229</v>
      </c>
      <c r="F18" s="30">
        <f>F8*1000*acreTOha</f>
        <v>59390245.372000001</v>
      </c>
      <c r="G18" s="253" t="s">
        <v>5</v>
      </c>
      <c r="H18"/>
      <c r="I18"/>
    </row>
    <row r="19" spans="2:9" s="253" customFormat="1" ht="12.95" customHeight="1" x14ac:dyDescent="0.2">
      <c r="C19" s="253" t="s">
        <v>1232</v>
      </c>
      <c r="F19" s="30"/>
      <c r="H19"/>
      <c r="I19"/>
    </row>
    <row r="20" spans="2:9" s="253" customFormat="1" ht="12.95" customHeight="1" x14ac:dyDescent="0.2">
      <c r="D20" s="253" t="s">
        <v>1233</v>
      </c>
      <c r="F20" s="30"/>
      <c r="H20"/>
      <c r="I20"/>
    </row>
    <row r="21" spans="2:9" s="253" customFormat="1" ht="12.95" customHeight="1" x14ac:dyDescent="0.2">
      <c r="E21" s="253" t="s">
        <v>1234</v>
      </c>
      <c r="F21" s="30">
        <f t="shared" ref="F21:F26" si="0">F11*1000*acreTOha</f>
        <v>8763092.2980000004</v>
      </c>
      <c r="G21" s="253" t="s">
        <v>5</v>
      </c>
      <c r="H21"/>
      <c r="I21"/>
    </row>
    <row r="22" spans="2:9" s="253" customFormat="1" ht="12.95" customHeight="1" x14ac:dyDescent="0.2">
      <c r="E22" s="253" t="s">
        <v>1235</v>
      </c>
      <c r="F22" s="30">
        <f t="shared" si="0"/>
        <v>25940436.700000003</v>
      </c>
      <c r="G22" s="253" t="s">
        <v>5</v>
      </c>
      <c r="H22"/>
      <c r="I22"/>
    </row>
    <row r="23" spans="2:9" s="253" customFormat="1" ht="12.95" customHeight="1" x14ac:dyDescent="0.2">
      <c r="E23" s="253" t="s">
        <v>1236</v>
      </c>
      <c r="F23" s="30">
        <f t="shared" si="0"/>
        <v>34703528.998000003</v>
      </c>
      <c r="G23" s="253" t="s">
        <v>5</v>
      </c>
      <c r="H23"/>
      <c r="I23"/>
    </row>
    <row r="24" spans="2:9" s="253" customFormat="1" ht="12.95" customHeight="1" x14ac:dyDescent="0.2">
      <c r="D24" s="253" t="s">
        <v>1237</v>
      </c>
      <c r="F24" s="30">
        <f t="shared" si="0"/>
        <v>1413571.6910000001</v>
      </c>
      <c r="G24" s="253" t="s">
        <v>5</v>
      </c>
      <c r="H24"/>
      <c r="I24"/>
    </row>
    <row r="25" spans="2:9" s="253" customFormat="1" ht="12.95" customHeight="1" x14ac:dyDescent="0.2">
      <c r="D25" s="253" t="s">
        <v>1238</v>
      </c>
      <c r="F25" s="30">
        <f t="shared" si="0"/>
        <v>180085.715</v>
      </c>
      <c r="G25" s="253" t="s">
        <v>5</v>
      </c>
      <c r="H25"/>
      <c r="I25"/>
    </row>
    <row r="26" spans="2:9" s="253" customFormat="1" ht="12.95" customHeight="1" x14ac:dyDescent="0.2">
      <c r="D26" s="253" t="s">
        <v>1239</v>
      </c>
      <c r="F26" s="30">
        <f t="shared" si="0"/>
        <v>36297186.403999999</v>
      </c>
      <c r="G26" s="253" t="s">
        <v>5</v>
      </c>
      <c r="H26"/>
      <c r="I26"/>
    </row>
    <row r="27" spans="2:9" customFormat="1" ht="12.95" customHeight="1" x14ac:dyDescent="0.2">
      <c r="B27" t="s">
        <v>1243</v>
      </c>
      <c r="F27" s="59">
        <v>25000</v>
      </c>
      <c r="G27" t="s">
        <v>215</v>
      </c>
      <c r="H27" s="78" t="s">
        <v>652</v>
      </c>
      <c r="I27" s="253" t="s">
        <v>1244</v>
      </c>
    </row>
    <row r="28" spans="2:9" customFormat="1" ht="12.95" customHeight="1" x14ac:dyDescent="0.2">
      <c r="C28" t="s">
        <v>515</v>
      </c>
      <c r="F28" s="29">
        <f>F27/yrTOhr</f>
        <v>2.8538812785388128</v>
      </c>
      <c r="G28" t="s">
        <v>1245</v>
      </c>
    </row>
    <row r="29" spans="2:9" customFormat="1" ht="12.95" customHeight="1" x14ac:dyDescent="0.2">
      <c r="C29" t="s">
        <v>515</v>
      </c>
      <c r="F29" s="30">
        <f>F28*1000</f>
        <v>2853.8812785388127</v>
      </c>
      <c r="G29" t="s">
        <v>1246</v>
      </c>
    </row>
    <row r="30" spans="2:9" customFormat="1" ht="12.95" customHeight="1" x14ac:dyDescent="0.2"/>
    <row r="31" spans="2:9" customFormat="1" ht="12.95" customHeight="1" x14ac:dyDescent="0.2"/>
    <row r="32" spans="2:9" customFormat="1" ht="12.95" customHeight="1" x14ac:dyDescent="0.2"/>
    <row r="33" customFormat="1" ht="12.95" customHeight="1" x14ac:dyDescent="0.2"/>
    <row r="34" customFormat="1" ht="12.95" customHeight="1" x14ac:dyDescent="0.2"/>
    <row r="35" customFormat="1" ht="12.95" customHeight="1" x14ac:dyDescent="0.2"/>
    <row r="36" customFormat="1" ht="12.95" customHeight="1" x14ac:dyDescent="0.2"/>
    <row r="37" customFormat="1" ht="12.95" customHeight="1" x14ac:dyDescent="0.2"/>
    <row r="38" customFormat="1" ht="12.95" customHeight="1" x14ac:dyDescent="0.2"/>
    <row r="39" customFormat="1" ht="12.95" customHeight="1" x14ac:dyDescent="0.2"/>
    <row r="40" customFormat="1" ht="12.95" customHeight="1" x14ac:dyDescent="0.2"/>
    <row r="41" customFormat="1" ht="12.95" customHeight="1" x14ac:dyDescent="0.2"/>
    <row r="42" customFormat="1" ht="12.95" customHeight="1" x14ac:dyDescent="0.2"/>
    <row r="43" customFormat="1" ht="12.95" customHeight="1" x14ac:dyDescent="0.2"/>
    <row r="44" customFormat="1" ht="12.95" customHeight="1" x14ac:dyDescent="0.2"/>
    <row r="45" customFormat="1" ht="12.95" customHeight="1" x14ac:dyDescent="0.2"/>
    <row r="46" customFormat="1" ht="12.95" customHeight="1" x14ac:dyDescent="0.2"/>
    <row r="47" customFormat="1" ht="12.95" customHeight="1" x14ac:dyDescent="0.2"/>
    <row r="48" customFormat="1" ht="12.95" customHeight="1" x14ac:dyDescent="0.2"/>
    <row r="49" customFormat="1" ht="12.95" customHeight="1" x14ac:dyDescent="0.2"/>
    <row r="50" customFormat="1" ht="12.95" customHeight="1" x14ac:dyDescent="0.2"/>
    <row r="51" customFormat="1" ht="12.95" customHeight="1" x14ac:dyDescent="0.2"/>
    <row r="52" customFormat="1" ht="12.95" customHeight="1" x14ac:dyDescent="0.2"/>
    <row r="53" customFormat="1" ht="12.95" customHeight="1" x14ac:dyDescent="0.2"/>
    <row r="54" customFormat="1" ht="12.95" customHeight="1" x14ac:dyDescent="0.2"/>
    <row r="55" customFormat="1" ht="12.95" customHeight="1" x14ac:dyDescent="0.2"/>
    <row r="56" customFormat="1" ht="12.95" customHeight="1" x14ac:dyDescent="0.2"/>
    <row r="57" customFormat="1" ht="12.95" customHeight="1" x14ac:dyDescent="0.2"/>
    <row r="58" customFormat="1" ht="12.95" customHeight="1" x14ac:dyDescent="0.2"/>
    <row r="59" customFormat="1" ht="12.95" customHeight="1" x14ac:dyDescent="0.2"/>
    <row r="60" customFormat="1" ht="12.95" customHeight="1" x14ac:dyDescent="0.2"/>
    <row r="61" customFormat="1" ht="12.95" customHeight="1" x14ac:dyDescent="0.2"/>
    <row r="62" customFormat="1" ht="12.95" customHeight="1" x14ac:dyDescent="0.2"/>
    <row r="63" customFormat="1" ht="12.95" customHeight="1" x14ac:dyDescent="0.2"/>
    <row r="64" customFormat="1" ht="12.95" customHeight="1" x14ac:dyDescent="0.2"/>
    <row r="65" customFormat="1" ht="12.95" customHeight="1" x14ac:dyDescent="0.2"/>
    <row r="66" customFormat="1" ht="12.95" customHeight="1" x14ac:dyDescent="0.2"/>
    <row r="67" customFormat="1" ht="12.95" customHeight="1" x14ac:dyDescent="0.2"/>
    <row r="68" customFormat="1" ht="12.95" customHeight="1" x14ac:dyDescent="0.2"/>
    <row r="69" customFormat="1" ht="12.95" customHeight="1" x14ac:dyDescent="0.2"/>
    <row r="70" customFormat="1" ht="12.95" customHeight="1" x14ac:dyDescent="0.2"/>
    <row r="71" customFormat="1" ht="12.95" customHeight="1" x14ac:dyDescent="0.2"/>
    <row r="72" customFormat="1" ht="12.95" customHeight="1" x14ac:dyDescent="0.2"/>
    <row r="73" customFormat="1" ht="12.95" customHeight="1" x14ac:dyDescent="0.2"/>
    <row r="74" customFormat="1" ht="12.95" customHeight="1" x14ac:dyDescent="0.2"/>
    <row r="75" customFormat="1" ht="12.95" customHeight="1" x14ac:dyDescent="0.2"/>
    <row r="76" customFormat="1" ht="12.95" customHeight="1" x14ac:dyDescent="0.2"/>
    <row r="77" customFormat="1" ht="12.95" customHeight="1" x14ac:dyDescent="0.2"/>
    <row r="78" customFormat="1" ht="12.95" customHeight="1" x14ac:dyDescent="0.2"/>
    <row r="79" customFormat="1" ht="12.95" customHeight="1" x14ac:dyDescent="0.2"/>
    <row r="80" customFormat="1" ht="12.95" customHeight="1" x14ac:dyDescent="0.2"/>
    <row r="81" customFormat="1" ht="12.95" customHeight="1" x14ac:dyDescent="0.2"/>
    <row r="82" customFormat="1" ht="12.95" customHeight="1" x14ac:dyDescent="0.2"/>
    <row r="83" customFormat="1" ht="12.95" customHeight="1" x14ac:dyDescent="0.2"/>
    <row r="84" customFormat="1" ht="12.95" customHeight="1" x14ac:dyDescent="0.2"/>
    <row r="85" customFormat="1" ht="12.95" customHeight="1" x14ac:dyDescent="0.2"/>
    <row r="86" customFormat="1" ht="12.95" customHeight="1" x14ac:dyDescent="0.2"/>
    <row r="87" customFormat="1" ht="12.95" customHeight="1" x14ac:dyDescent="0.2"/>
    <row r="88" customFormat="1" ht="12.95" customHeight="1" x14ac:dyDescent="0.2"/>
    <row r="89" customFormat="1" ht="12.95" customHeight="1" x14ac:dyDescent="0.2"/>
    <row r="90" customFormat="1" ht="12.95" customHeight="1" x14ac:dyDescent="0.2"/>
    <row r="91" customFormat="1" ht="12.95" customHeight="1" x14ac:dyDescent="0.2"/>
    <row r="92" customFormat="1" ht="12.95" customHeight="1" x14ac:dyDescent="0.2"/>
    <row r="93" customFormat="1" ht="12.95" customHeight="1" x14ac:dyDescent="0.2"/>
    <row r="94" customFormat="1" ht="12.95" customHeight="1" x14ac:dyDescent="0.2"/>
    <row r="95" customFormat="1" ht="12.95" customHeight="1" x14ac:dyDescent="0.2"/>
    <row r="96" customFormat="1" ht="12.95" customHeight="1" x14ac:dyDescent="0.2"/>
    <row r="97" customFormat="1" ht="12.95" customHeight="1" x14ac:dyDescent="0.2"/>
    <row r="98" customFormat="1" ht="12.95" customHeight="1" x14ac:dyDescent="0.2"/>
    <row r="99" customFormat="1" ht="12.95" customHeight="1" x14ac:dyDescent="0.2"/>
    <row r="100" customFormat="1" ht="12.95" customHeight="1" x14ac:dyDescent="0.2"/>
    <row r="101" customFormat="1" ht="12.95" customHeight="1" x14ac:dyDescent="0.2"/>
    <row r="102" customFormat="1" ht="12.95" customHeight="1" x14ac:dyDescent="0.2"/>
  </sheetData>
  <hyperlinks>
    <hyperlink ref="B2" location="cover!B18" display="return to TOC" xr:uid="{76B95AC9-C478-4AD0-996D-090425654C60}"/>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CF8F7-F8BA-4E64-A1FE-7D2BFC61BD09}">
  <sheetPr published="0" codeName="Sheet16">
    <tabColor rgb="FFFED976"/>
  </sheetPr>
  <dimension ref="A1:J65"/>
  <sheetViews>
    <sheetView workbookViewId="0"/>
  </sheetViews>
  <sheetFormatPr defaultColWidth="10.83203125" defaultRowHeight="12.95" customHeight="1" x14ac:dyDescent="0.2"/>
  <cols>
    <col min="1" max="1" width="1.83203125" style="54" customWidth="1"/>
    <col min="2" max="4" width="2.83203125" style="54" customWidth="1"/>
    <col min="5" max="5" width="32.83203125" style="54" customWidth="1"/>
    <col min="6" max="6" width="10.83203125" style="54" customWidth="1"/>
    <col min="7" max="7" width="11.83203125" style="54" customWidth="1"/>
    <col min="8" max="8" width="8.83203125" style="12" customWidth="1"/>
    <col min="9" max="9" width="75.83203125" style="54" customWidth="1"/>
    <col min="10" max="10" width="10.83203125" style="54" customWidth="1"/>
    <col min="11" max="16384" width="10.83203125" style="54"/>
  </cols>
  <sheetData>
    <row r="1" spans="1:10" ht="30" customHeight="1" x14ac:dyDescent="0.2">
      <c r="A1" s="85"/>
      <c r="B1" s="162" t="s">
        <v>988</v>
      </c>
      <c r="C1" s="189"/>
      <c r="D1" s="189"/>
      <c r="E1" s="189"/>
      <c r="F1" s="14"/>
      <c r="G1" s="14"/>
      <c r="H1" s="55"/>
      <c r="I1" s="14"/>
      <c r="J1" s="14"/>
    </row>
    <row r="2" spans="1:10" ht="12.95" customHeight="1" x14ac:dyDescent="0.2">
      <c r="A2" s="85"/>
      <c r="B2" s="81" t="s">
        <v>349</v>
      </c>
      <c r="C2" s="21"/>
      <c r="D2" s="21"/>
      <c r="E2" s="21"/>
      <c r="H2" s="54"/>
    </row>
    <row r="3" spans="1:10" ht="12.95" customHeight="1" x14ac:dyDescent="0.2">
      <c r="B3" s="21"/>
      <c r="C3" s="21"/>
      <c r="D3" s="21"/>
      <c r="E3" s="21"/>
      <c r="G3" s="81"/>
      <c r="H3" s="54"/>
    </row>
    <row r="4" spans="1:10" ht="12.95" customHeight="1" x14ac:dyDescent="0.25">
      <c r="B4" s="105" t="s">
        <v>476</v>
      </c>
      <c r="C4" s="106"/>
      <c r="D4" s="106"/>
      <c r="E4" s="106"/>
      <c r="F4" s="106"/>
      <c r="G4" s="106"/>
      <c r="H4" s="107"/>
      <c r="I4" s="108"/>
    </row>
    <row r="5" spans="1:10" ht="12.95" customHeight="1" x14ac:dyDescent="0.25">
      <c r="B5" s="19" t="s">
        <v>300</v>
      </c>
      <c r="C5" s="75"/>
      <c r="D5" s="75"/>
      <c r="E5" s="74"/>
      <c r="F5" s="46" t="s">
        <v>0</v>
      </c>
      <c r="G5" s="20" t="s">
        <v>1</v>
      </c>
      <c r="H5" s="56" t="s">
        <v>305</v>
      </c>
      <c r="I5" s="5" t="s">
        <v>2</v>
      </c>
      <c r="J5" s="14"/>
    </row>
    <row r="6" spans="1:10" ht="12.95" customHeight="1" x14ac:dyDescent="0.2">
      <c r="F6" s="84"/>
      <c r="H6" s="54"/>
    </row>
    <row r="7" spans="1:10" ht="12.95" customHeight="1" x14ac:dyDescent="0.2">
      <c r="B7" s="54" t="s">
        <v>475</v>
      </c>
      <c r="F7" s="369" t="s">
        <v>587</v>
      </c>
      <c r="G7" s="370"/>
      <c r="H7" s="371"/>
    </row>
    <row r="8" spans="1:10" ht="12.95" customHeight="1" x14ac:dyDescent="0.2">
      <c r="B8" s="54" t="s">
        <v>449</v>
      </c>
      <c r="F8" s="194">
        <v>0.47770000000000001</v>
      </c>
      <c r="G8" s="54" t="s">
        <v>1102</v>
      </c>
      <c r="H8" s="54"/>
    </row>
    <row r="9" spans="1:10" ht="12.95" customHeight="1" x14ac:dyDescent="0.2">
      <c r="B9" s="54" t="s">
        <v>442</v>
      </c>
      <c r="F9" s="88">
        <v>15.991</v>
      </c>
      <c r="G9" s="54" t="s">
        <v>1103</v>
      </c>
      <c r="H9" s="54"/>
    </row>
    <row r="10" spans="1:10" ht="12.95" customHeight="1" x14ac:dyDescent="0.2">
      <c r="B10" s="14" t="s">
        <v>1028</v>
      </c>
      <c r="F10" s="88">
        <f>0.8*F57</f>
        <v>4.8533563076923079</v>
      </c>
      <c r="G10" s="54" t="s">
        <v>395</v>
      </c>
      <c r="H10" s="54"/>
    </row>
    <row r="11" spans="1:10" ht="12.95" customHeight="1" x14ac:dyDescent="0.2">
      <c r="B11" s="54" t="s">
        <v>593</v>
      </c>
      <c r="F11" s="328">
        <f>1-dashboard!C28</f>
        <v>0.8</v>
      </c>
      <c r="G11" s="14"/>
      <c r="H11" s="54"/>
      <c r="I11" s="54" t="s">
        <v>578</v>
      </c>
    </row>
    <row r="12" spans="1:10" ht="12.95" customHeight="1" x14ac:dyDescent="0.2">
      <c r="B12" s="54" t="s">
        <v>536</v>
      </c>
      <c r="F12" s="328">
        <f>dashboard!D28</f>
        <v>0.25</v>
      </c>
      <c r="G12" s="14" t="s">
        <v>1227</v>
      </c>
      <c r="H12" s="54"/>
      <c r="I12" s="14" t="s">
        <v>597</v>
      </c>
    </row>
    <row r="13" spans="1:10" ht="12.95" customHeight="1" x14ac:dyDescent="0.2">
      <c r="B13" s="54" t="s">
        <v>596</v>
      </c>
      <c r="F13" s="329">
        <f>dashboard!E28</f>
        <v>50</v>
      </c>
      <c r="G13" s="54" t="s">
        <v>23</v>
      </c>
      <c r="H13" s="54"/>
    </row>
    <row r="14" spans="1:10" ht="12.95" customHeight="1" x14ac:dyDescent="0.2">
      <c r="B14" s="197"/>
      <c r="C14" s="21"/>
      <c r="D14" s="21"/>
      <c r="E14" s="21"/>
      <c r="G14" s="81"/>
      <c r="H14" s="54"/>
    </row>
    <row r="15" spans="1:10" ht="12.95" customHeight="1" x14ac:dyDescent="0.25">
      <c r="B15" s="105" t="s">
        <v>477</v>
      </c>
      <c r="C15" s="106"/>
      <c r="D15" s="106"/>
      <c r="E15" s="106"/>
      <c r="F15" s="106"/>
      <c r="G15" s="106"/>
      <c r="H15" s="107"/>
      <c r="I15" s="108"/>
    </row>
    <row r="16" spans="1:10" ht="12.95" customHeight="1" x14ac:dyDescent="0.25">
      <c r="B16" s="19" t="s">
        <v>300</v>
      </c>
      <c r="C16" s="75"/>
      <c r="D16" s="75"/>
      <c r="E16" s="74"/>
      <c r="F16" s="46" t="s">
        <v>0</v>
      </c>
      <c r="G16" s="20" t="s">
        <v>1</v>
      </c>
      <c r="H16" s="56" t="s">
        <v>305</v>
      </c>
      <c r="I16" s="5" t="s">
        <v>2</v>
      </c>
      <c r="J16" s="14"/>
    </row>
    <row r="17" spans="2:9" ht="12.95" customHeight="1" x14ac:dyDescent="0.2">
      <c r="B17" s="21"/>
      <c r="C17" s="21"/>
      <c r="D17" s="21"/>
      <c r="E17" s="21"/>
      <c r="F17" s="172"/>
      <c r="G17" s="81"/>
      <c r="H17" s="54"/>
    </row>
    <row r="18" spans="2:9" ht="12.95" customHeight="1" x14ac:dyDescent="0.2">
      <c r="B18" s="121" t="s">
        <v>563</v>
      </c>
      <c r="F18" s="168"/>
      <c r="H18" s="54"/>
    </row>
    <row r="19" spans="2:9" s="73" customFormat="1" ht="12.95" customHeight="1" x14ac:dyDescent="0.2">
      <c r="B19" s="73" t="s">
        <v>454</v>
      </c>
      <c r="F19" s="168">
        <f>F9/F8</f>
        <v>33.47498429976973</v>
      </c>
      <c r="G19" s="73" t="s">
        <v>455</v>
      </c>
    </row>
    <row r="20" spans="2:9" s="73" customFormat="1" ht="12.95" customHeight="1" x14ac:dyDescent="0.2">
      <c r="B20" s="73" t="s">
        <v>527</v>
      </c>
      <c r="F20" s="168">
        <f>F19*F11</f>
        <v>26.779987439815784</v>
      </c>
      <c r="G20" s="73" t="s">
        <v>455</v>
      </c>
    </row>
    <row r="21" spans="2:9" s="73" customFormat="1" ht="12.95" customHeight="1" x14ac:dyDescent="0.2">
      <c r="B21" s="73" t="s">
        <v>543</v>
      </c>
      <c r="F21" s="168">
        <f>params!$F$74*dashboard!$E$15</f>
        <v>0</v>
      </c>
      <c r="G21" s="73" t="s">
        <v>184</v>
      </c>
    </row>
    <row r="22" spans="2:9" s="73" customFormat="1" ht="12.95" customHeight="1" x14ac:dyDescent="0.2">
      <c r="B22" s="73" t="s">
        <v>533</v>
      </c>
      <c r="F22" s="168">
        <f>F21+F37</f>
        <v>0</v>
      </c>
      <c r="G22" s="73" t="s">
        <v>184</v>
      </c>
      <c r="I22" s="73" t="s">
        <v>1114</v>
      </c>
    </row>
    <row r="23" spans="2:9" s="73" customFormat="1" ht="12.95" customHeight="1" x14ac:dyDescent="0.2">
      <c r="B23" s="73" t="s">
        <v>534</v>
      </c>
      <c r="F23" s="168">
        <f>1000*F22/F19</f>
        <v>0</v>
      </c>
      <c r="G23" s="73" t="s">
        <v>432</v>
      </c>
    </row>
    <row r="24" spans="2:9" s="73" customFormat="1" ht="12.95" customHeight="1" x14ac:dyDescent="0.2">
      <c r="B24" s="73" t="s">
        <v>535</v>
      </c>
      <c r="F24" s="168">
        <f>F23/F11</f>
        <v>0</v>
      </c>
      <c r="G24" s="73" t="s">
        <v>432</v>
      </c>
      <c r="I24" s="73" t="s">
        <v>594</v>
      </c>
    </row>
    <row r="25" spans="2:9" s="73" customFormat="1" ht="12.95" customHeight="1" x14ac:dyDescent="0.2">
      <c r="B25" s="73" t="s">
        <v>595</v>
      </c>
      <c r="F25" s="168">
        <f>F24/F10</f>
        <v>0</v>
      </c>
      <c r="G25" s="73" t="s">
        <v>5</v>
      </c>
      <c r="I25" s="167"/>
    </row>
    <row r="26" spans="2:9" ht="12.95" customHeight="1" x14ac:dyDescent="0.2">
      <c r="B26" s="163" t="s">
        <v>519</v>
      </c>
      <c r="F26" s="168">
        <f>F24-F23</f>
        <v>0</v>
      </c>
      <c r="G26" s="73" t="s">
        <v>432</v>
      </c>
      <c r="H26" s="54"/>
    </row>
    <row r="27" spans="2:9" ht="12.95" customHeight="1" x14ac:dyDescent="0.2">
      <c r="B27" s="21"/>
      <c r="C27" s="21"/>
      <c r="D27" s="21"/>
      <c r="E27" s="21"/>
      <c r="F27" s="172"/>
      <c r="G27" s="81"/>
      <c r="H27" s="54"/>
      <c r="I27" s="129"/>
    </row>
    <row r="28" spans="2:9" ht="12.95" customHeight="1" x14ac:dyDescent="0.2">
      <c r="B28" s="121" t="s">
        <v>505</v>
      </c>
      <c r="F28" s="168"/>
      <c r="H28" s="54"/>
    </row>
    <row r="29" spans="2:9" ht="12.95" customHeight="1" x14ac:dyDescent="0.2">
      <c r="B29" s="73" t="s">
        <v>603</v>
      </c>
      <c r="F29" s="168"/>
      <c r="H29" s="54"/>
    </row>
    <row r="30" spans="2:9" ht="12.95" customHeight="1" x14ac:dyDescent="0.2">
      <c r="B30" s="73"/>
      <c r="C30" s="54" t="s">
        <v>558</v>
      </c>
      <c r="F30" s="183">
        <f>(1+F12)/F8</f>
        <v>2.6167050450073268</v>
      </c>
      <c r="H30" s="54"/>
    </row>
    <row r="31" spans="2:9" ht="12.95" customHeight="1" x14ac:dyDescent="0.2">
      <c r="B31" s="73"/>
      <c r="C31" s="54" t="s">
        <v>537</v>
      </c>
      <c r="F31" s="168">
        <f>F30*F23</f>
        <v>0</v>
      </c>
      <c r="G31" s="54" t="s">
        <v>37</v>
      </c>
      <c r="H31" s="54"/>
    </row>
    <row r="32" spans="2:9" ht="12.95" customHeight="1" x14ac:dyDescent="0.2">
      <c r="B32" s="73"/>
      <c r="C32" s="54" t="s">
        <v>538</v>
      </c>
      <c r="F32" s="168">
        <f>$F$31*$F$13*params!$F$239/1000</f>
        <v>0</v>
      </c>
      <c r="G32" s="54" t="s">
        <v>539</v>
      </c>
      <c r="H32" s="54"/>
    </row>
    <row r="33" spans="2:10" s="253" customFormat="1" ht="12.95" customHeight="1" x14ac:dyDescent="0.2">
      <c r="B33" s="73" t="s">
        <v>1098</v>
      </c>
      <c r="F33" s="168"/>
    </row>
    <row r="34" spans="2:10" s="253" customFormat="1" ht="12.95" customHeight="1" x14ac:dyDescent="0.2">
      <c r="B34" s="73"/>
      <c r="C34" s="253" t="s">
        <v>1101</v>
      </c>
      <c r="F34" s="175">
        <f>MAX(F12-params!$F$8,0)</f>
        <v>0.13</v>
      </c>
      <c r="G34" s="253" t="s">
        <v>1108</v>
      </c>
    </row>
    <row r="35" spans="2:10" s="253" customFormat="1" ht="12.95" customHeight="1" x14ac:dyDescent="0.2">
      <c r="B35" s="73"/>
      <c r="C35" s="253" t="s">
        <v>1112</v>
      </c>
      <c r="F35" s="168">
        <f>F34*params!$F$322</f>
        <v>498.62843333333331</v>
      </c>
      <c r="G35" s="253" t="s">
        <v>1109</v>
      </c>
    </row>
    <row r="36" spans="2:10" s="253" customFormat="1" ht="12.95" customHeight="1" x14ac:dyDescent="0.2">
      <c r="B36" s="73"/>
      <c r="D36" s="253" t="s">
        <v>515</v>
      </c>
      <c r="F36" s="175">
        <f>0.001*F35/F9</f>
        <v>3.1181816855314449E-2</v>
      </c>
      <c r="G36" s="253" t="s">
        <v>1110</v>
      </c>
    </row>
    <row r="37" spans="2:10" s="253" customFormat="1" ht="12.95" customHeight="1" x14ac:dyDescent="0.2">
      <c r="B37" s="73"/>
      <c r="C37" s="253" t="s">
        <v>1113</v>
      </c>
      <c r="E37" s="80"/>
      <c r="F37" s="168">
        <f>F21*F36*(1+F36)</f>
        <v>0</v>
      </c>
      <c r="G37" s="253" t="s">
        <v>184</v>
      </c>
      <c r="I37" s="73" t="s">
        <v>1111</v>
      </c>
    </row>
    <row r="38" spans="2:10" s="73" customFormat="1" ht="12.95" customHeight="1" x14ac:dyDescent="0.2">
      <c r="C38" s="73" t="s">
        <v>541</v>
      </c>
      <c r="F38" s="168">
        <f>1000*F37/F19*c_CO2.C</f>
        <v>0</v>
      </c>
      <c r="G38" s="54" t="s">
        <v>542</v>
      </c>
    </row>
    <row r="39" spans="2:10" s="73" customFormat="1" ht="12.95" customHeight="1" x14ac:dyDescent="0.2">
      <c r="B39" s="73" t="s">
        <v>559</v>
      </c>
      <c r="F39" s="173">
        <f>F9/(1+params!$F$9)</f>
        <v>14.944859813084111</v>
      </c>
      <c r="G39" s="73" t="s">
        <v>560</v>
      </c>
    </row>
    <row r="40" spans="2:10" s="73" customFormat="1" ht="12.95" customHeight="1" x14ac:dyDescent="0.2">
      <c r="B40" s="73" t="s">
        <v>506</v>
      </c>
      <c r="F40" s="168">
        <f>1000*c_CO2.C/F19</f>
        <v>109.45759523106987</v>
      </c>
      <c r="G40" s="73" t="s">
        <v>540</v>
      </c>
    </row>
    <row r="41" spans="2:10" s="73" customFormat="1" ht="12.95" customHeight="1" x14ac:dyDescent="0.2">
      <c r="B41" s="73" t="s">
        <v>981</v>
      </c>
      <c r="F41" s="183">
        <f>F40*F21/10^6</f>
        <v>0</v>
      </c>
      <c r="G41" s="73" t="s">
        <v>982</v>
      </c>
    </row>
    <row r="42" spans="2:10" ht="12.95" customHeight="1" x14ac:dyDescent="0.2">
      <c r="B42" s="21"/>
      <c r="C42" s="21"/>
      <c r="D42" s="21"/>
      <c r="E42" s="21"/>
      <c r="G42" s="81"/>
      <c r="H42" s="54"/>
    </row>
    <row r="43" spans="2:10" ht="12.95" customHeight="1" x14ac:dyDescent="0.25">
      <c r="B43" s="105" t="s">
        <v>392</v>
      </c>
      <c r="C43" s="106"/>
      <c r="D43" s="106"/>
      <c r="E43" s="106"/>
      <c r="F43" s="106"/>
      <c r="G43" s="106"/>
      <c r="H43" s="107"/>
      <c r="I43" s="108"/>
    </row>
    <row r="44" spans="2:10" ht="12.95" customHeight="1" x14ac:dyDescent="0.25">
      <c r="B44" s="19" t="s">
        <v>300</v>
      </c>
      <c r="C44" s="75"/>
      <c r="D44" s="75"/>
      <c r="E44" s="74"/>
      <c r="F44" s="46" t="s">
        <v>0</v>
      </c>
      <c r="G44" s="20" t="s">
        <v>1</v>
      </c>
      <c r="H44" s="56" t="s">
        <v>305</v>
      </c>
      <c r="I44" s="5" t="s">
        <v>2</v>
      </c>
      <c r="J44" s="14"/>
    </row>
    <row r="45" spans="2:10" ht="12.95" customHeight="1" x14ac:dyDescent="0.2">
      <c r="F45" s="80"/>
      <c r="H45" s="54"/>
    </row>
    <row r="46" spans="2:10" s="253" customFormat="1" ht="12.95" customHeight="1" x14ac:dyDescent="0.2">
      <c r="B46" s="121" t="s">
        <v>449</v>
      </c>
      <c r="F46" s="80"/>
    </row>
    <row r="47" spans="2:10" ht="12.95" customHeight="1" x14ac:dyDescent="0.2">
      <c r="B47" s="54" t="s">
        <v>591</v>
      </c>
      <c r="F47" s="192">
        <v>0.4204</v>
      </c>
      <c r="H47" s="78" t="s">
        <v>589</v>
      </c>
      <c r="I47" s="54" t="s">
        <v>592</v>
      </c>
    </row>
    <row r="48" spans="2:10" ht="12.95" customHeight="1" x14ac:dyDescent="0.2">
      <c r="B48" s="14" t="s">
        <v>591</v>
      </c>
      <c r="F48" s="193">
        <f>F47/(1-0.1199)</f>
        <v>0.47767299170548799</v>
      </c>
      <c r="I48" s="14" t="s">
        <v>448</v>
      </c>
    </row>
    <row r="49" spans="2:9" s="253" customFormat="1" ht="12.95" customHeight="1" x14ac:dyDescent="0.2">
      <c r="B49" s="14"/>
      <c r="F49" s="193"/>
      <c r="H49" s="250"/>
      <c r="I49" s="14"/>
    </row>
    <row r="50" spans="2:9" s="253" customFormat="1" ht="12.95" customHeight="1" x14ac:dyDescent="0.2">
      <c r="B50" s="121" t="s">
        <v>442</v>
      </c>
      <c r="F50" s="80"/>
    </row>
    <row r="51" spans="2:9" ht="12.95" customHeight="1" x14ac:dyDescent="0.2">
      <c r="B51" s="54" t="s">
        <v>442</v>
      </c>
      <c r="F51" s="164">
        <v>15991</v>
      </c>
      <c r="G51" s="54" t="s">
        <v>588</v>
      </c>
      <c r="H51" s="78" t="s">
        <v>589</v>
      </c>
      <c r="I51" s="54" t="s">
        <v>590</v>
      </c>
    </row>
    <row r="52" spans="2:9" s="253" customFormat="1" ht="12.95" customHeight="1" x14ac:dyDescent="0.2">
      <c r="B52" s="121"/>
      <c r="F52" s="80"/>
    </row>
    <row r="53" spans="2:9" s="253" customFormat="1" ht="12.95" customHeight="1" x14ac:dyDescent="0.2">
      <c r="B53" s="121" t="s">
        <v>1028</v>
      </c>
      <c r="F53" s="80"/>
    </row>
    <row r="54" spans="2:9" ht="12.95" customHeight="1" x14ac:dyDescent="0.2">
      <c r="B54" s="14" t="s">
        <v>1029</v>
      </c>
      <c r="F54" s="308">
        <v>2.9</v>
      </c>
      <c r="G54" s="54" t="s">
        <v>1030</v>
      </c>
      <c r="H54" s="78" t="s">
        <v>643</v>
      </c>
      <c r="I54" s="14" t="s">
        <v>1031</v>
      </c>
    </row>
    <row r="55" spans="2:9" s="253" customFormat="1" ht="12.95" customHeight="1" x14ac:dyDescent="0.2">
      <c r="B55" s="14"/>
      <c r="C55" s="253" t="s">
        <v>515</v>
      </c>
      <c r="F55" s="173">
        <f>F54*$F$48*tonTOMg</f>
        <v>1.2566726153846153</v>
      </c>
      <c r="G55" s="253" t="s">
        <v>395</v>
      </c>
      <c r="I55" s="14"/>
    </row>
    <row r="56" spans="2:9" s="253" customFormat="1" ht="12.95" customHeight="1" x14ac:dyDescent="0.2">
      <c r="B56" s="14" t="s">
        <v>1032</v>
      </c>
      <c r="F56" s="308">
        <v>14</v>
      </c>
      <c r="G56" s="253" t="s">
        <v>1030</v>
      </c>
      <c r="H56" s="78" t="s">
        <v>643</v>
      </c>
      <c r="I56" s="14" t="s">
        <v>1031</v>
      </c>
    </row>
    <row r="57" spans="2:9" s="253" customFormat="1" ht="12.95" customHeight="1" x14ac:dyDescent="0.2">
      <c r="B57" s="14"/>
      <c r="C57" s="253" t="s">
        <v>515</v>
      </c>
      <c r="F57" s="173">
        <f>F56*$F$48*tonTOMg</f>
        <v>6.0666953846153842</v>
      </c>
      <c r="G57" s="253" t="s">
        <v>395</v>
      </c>
      <c r="I57" s="14"/>
    </row>
    <row r="58" spans="2:9" s="253" customFormat="1" ht="12.95" customHeight="1" x14ac:dyDescent="0.2">
      <c r="B58" s="14" t="s">
        <v>1033</v>
      </c>
      <c r="F58" s="308">
        <v>5.4</v>
      </c>
      <c r="G58" s="253" t="s">
        <v>1030</v>
      </c>
      <c r="H58" s="78" t="s">
        <v>643</v>
      </c>
      <c r="I58" s="14" t="s">
        <v>1031</v>
      </c>
    </row>
    <row r="59" spans="2:9" s="253" customFormat="1" ht="12.95" customHeight="1" x14ac:dyDescent="0.2">
      <c r="B59" s="14"/>
      <c r="C59" s="253" t="s">
        <v>515</v>
      </c>
      <c r="F59" s="173">
        <f>F58*$F$48*tonTOMg</f>
        <v>2.3400110769230769</v>
      </c>
      <c r="G59" s="253" t="s">
        <v>395</v>
      </c>
      <c r="I59" s="14"/>
    </row>
    <row r="60" spans="2:9" s="253" customFormat="1" ht="12.95" customHeight="1" x14ac:dyDescent="0.2">
      <c r="B60" s="14" t="s">
        <v>1034</v>
      </c>
      <c r="F60" s="308">
        <v>13.7</v>
      </c>
      <c r="G60" s="253" t="s">
        <v>1030</v>
      </c>
      <c r="H60" s="78" t="s">
        <v>643</v>
      </c>
      <c r="I60" s="14" t="s">
        <v>1031</v>
      </c>
    </row>
    <row r="61" spans="2:9" s="253" customFormat="1" ht="12.95" customHeight="1" x14ac:dyDescent="0.2">
      <c r="B61" s="14"/>
      <c r="C61" s="253" t="s">
        <v>515</v>
      </c>
      <c r="F61" s="173">
        <f>F60*$F$48*tonTOMg</f>
        <v>5.936694769230769</v>
      </c>
      <c r="G61" s="253" t="s">
        <v>395</v>
      </c>
      <c r="I61" s="14"/>
    </row>
    <row r="62" spans="2:9" s="253" customFormat="1" ht="12.95" customHeight="1" x14ac:dyDescent="0.2">
      <c r="B62" s="14" t="s">
        <v>1035</v>
      </c>
      <c r="F62" s="308">
        <v>20.399999999999999</v>
      </c>
      <c r="G62" s="253" t="s">
        <v>1030</v>
      </c>
      <c r="H62" s="78" t="s">
        <v>643</v>
      </c>
      <c r="I62" s="14" t="s">
        <v>1031</v>
      </c>
    </row>
    <row r="63" spans="2:9" s="253" customFormat="1" ht="12.95" customHeight="1" x14ac:dyDescent="0.2">
      <c r="B63" s="14"/>
      <c r="C63" s="253" t="s">
        <v>515</v>
      </c>
      <c r="F63" s="173">
        <f>F62*$F$48*tonTOMg</f>
        <v>8.840041846153845</v>
      </c>
      <c r="G63" s="253" t="s">
        <v>395</v>
      </c>
      <c r="I63" s="14"/>
    </row>
    <row r="64" spans="2:9" s="253" customFormat="1" ht="12.95" customHeight="1" x14ac:dyDescent="0.2">
      <c r="B64" s="14" t="s">
        <v>1036</v>
      </c>
      <c r="F64" s="308">
        <v>28.3</v>
      </c>
      <c r="G64" s="253" t="s">
        <v>1030</v>
      </c>
      <c r="H64" s="78" t="s">
        <v>643</v>
      </c>
      <c r="I64" s="14" t="s">
        <v>1031</v>
      </c>
    </row>
    <row r="65" spans="2:9" s="253" customFormat="1" ht="12.95" customHeight="1" x14ac:dyDescent="0.2">
      <c r="B65" s="14"/>
      <c r="C65" s="253" t="s">
        <v>515</v>
      </c>
      <c r="F65" s="173">
        <f>F64*$F$48*tonTOMg</f>
        <v>12.263391384615383</v>
      </c>
      <c r="G65" s="253" t="s">
        <v>395</v>
      </c>
      <c r="I65" s="14"/>
    </row>
  </sheetData>
  <mergeCells count="1">
    <mergeCell ref="F7:H7"/>
  </mergeCells>
  <hyperlinks>
    <hyperlink ref="B2" location="cover!B18" display="return to TOC" xr:uid="{F072F799-A9FB-4046-A67D-AD0A41E9ECE1}"/>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ublished="0" codeName="Sheet5">
    <tabColor rgb="FF2171B5"/>
  </sheetPr>
  <dimension ref="A1:D18"/>
  <sheetViews>
    <sheetView workbookViewId="0"/>
  </sheetViews>
  <sheetFormatPr defaultColWidth="10.83203125" defaultRowHeight="12" x14ac:dyDescent="0.2"/>
  <cols>
    <col min="1" max="1" width="1.83203125" style="4" customWidth="1"/>
    <col min="2" max="2" width="20.83203125" style="4" customWidth="1"/>
    <col min="3" max="3" width="90.83203125" style="16" customWidth="1"/>
    <col min="4" max="4" width="48.83203125" style="17" customWidth="1"/>
    <col min="5" max="16384" width="10.83203125" style="4"/>
  </cols>
  <sheetData>
    <row r="1" spans="1:4" s="14" customFormat="1" ht="32.1" customHeight="1" x14ac:dyDescent="0.2">
      <c r="A1" s="15"/>
      <c r="B1" s="117" t="s">
        <v>435</v>
      </c>
      <c r="C1" s="16"/>
      <c r="D1" s="17"/>
    </row>
    <row r="2" spans="1:4" s="14" customFormat="1" ht="12.95" customHeight="1" x14ac:dyDescent="0.2">
      <c r="A2" s="15"/>
      <c r="B2" s="81" t="s">
        <v>349</v>
      </c>
      <c r="C2" s="16"/>
      <c r="D2" s="17"/>
    </row>
    <row r="3" spans="1:4" s="14" customFormat="1" x14ac:dyDescent="0.2">
      <c r="A3" s="4"/>
      <c r="B3" s="85"/>
      <c r="C3" s="87"/>
      <c r="D3" s="87"/>
    </row>
    <row r="4" spans="1:4" s="14" customFormat="1" ht="12.75" x14ac:dyDescent="0.25">
      <c r="A4" s="4"/>
      <c r="B4" s="122" t="s">
        <v>443</v>
      </c>
      <c r="C4" s="87"/>
      <c r="D4" s="87"/>
    </row>
    <row r="5" spans="1:4" s="14" customFormat="1" x14ac:dyDescent="0.2">
      <c r="A5" s="4"/>
      <c r="B5" s="85" t="s">
        <v>446</v>
      </c>
      <c r="C5" s="87"/>
      <c r="D5" s="87"/>
    </row>
    <row r="6" spans="1:4" s="14" customFormat="1" x14ac:dyDescent="0.2">
      <c r="A6" s="4"/>
      <c r="B6" s="85" t="s">
        <v>434</v>
      </c>
      <c r="C6" s="87"/>
      <c r="D6" s="87"/>
    </row>
    <row r="7" spans="1:4" s="14" customFormat="1" x14ac:dyDescent="0.2">
      <c r="A7" s="4"/>
      <c r="B7" s="73" t="s">
        <v>450</v>
      </c>
      <c r="C7" s="87"/>
      <c r="D7" s="87"/>
    </row>
    <row r="8" spans="1:4" x14ac:dyDescent="0.2">
      <c r="B8" s="73" t="s">
        <v>451</v>
      </c>
    </row>
    <row r="9" spans="1:4" x14ac:dyDescent="0.2">
      <c r="B9" s="73" t="s">
        <v>444</v>
      </c>
    </row>
    <row r="10" spans="1:4" x14ac:dyDescent="0.2">
      <c r="B10" s="73" t="s">
        <v>445</v>
      </c>
    </row>
    <row r="12" spans="1:4" ht="12.75" x14ac:dyDescent="0.25">
      <c r="B12" s="122" t="s">
        <v>609</v>
      </c>
    </row>
    <row r="13" spans="1:4" x14ac:dyDescent="0.2">
      <c r="B13" s="85" t="s">
        <v>610</v>
      </c>
    </row>
    <row r="14" spans="1:4" x14ac:dyDescent="0.2">
      <c r="B14" s="85" t="s">
        <v>611</v>
      </c>
    </row>
    <row r="15" spans="1:4" x14ac:dyDescent="0.2">
      <c r="B15" s="73"/>
    </row>
    <row r="16" spans="1:4" x14ac:dyDescent="0.2">
      <c r="B16" s="73"/>
    </row>
    <row r="17" spans="2:2" x14ac:dyDescent="0.2">
      <c r="B17" s="73"/>
    </row>
    <row r="18" spans="2:2" x14ac:dyDescent="0.2">
      <c r="B18" s="73"/>
    </row>
  </sheetData>
  <hyperlinks>
    <hyperlink ref="B2" location="cover!B18" display="return to TOC" xr:uid="{00000000-0004-0000-08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Sheet7">
    <tabColor rgb="FF2171B5"/>
  </sheetPr>
  <dimension ref="B1:I233"/>
  <sheetViews>
    <sheetView workbookViewId="0"/>
  </sheetViews>
  <sheetFormatPr defaultColWidth="10.83203125" defaultRowHeight="12.95" customHeight="1" x14ac:dyDescent="0.2"/>
  <cols>
    <col min="1" max="1" width="1.83203125" style="1" customWidth="1"/>
    <col min="2" max="3" width="12.83203125" style="2" customWidth="1"/>
    <col min="4" max="4" width="21.33203125" style="2" customWidth="1"/>
    <col min="5" max="5" width="11.1640625" style="2" customWidth="1"/>
    <col min="6" max="7" width="10.83203125" style="1" customWidth="1"/>
    <col min="8" max="8" width="10.83203125" style="1"/>
    <col min="9" max="9" width="10.83203125" style="1" customWidth="1"/>
    <col min="10" max="16384" width="10.83203125" style="1"/>
  </cols>
  <sheetData>
    <row r="1" spans="2:9" ht="30" customHeight="1" x14ac:dyDescent="0.2">
      <c r="B1" s="13" t="s">
        <v>6</v>
      </c>
      <c r="C1" s="13"/>
      <c r="D1" s="13"/>
      <c r="E1" s="13"/>
    </row>
    <row r="2" spans="2:9" s="54" customFormat="1" ht="12.95" customHeight="1" x14ac:dyDescent="0.2">
      <c r="B2" s="81" t="s">
        <v>349</v>
      </c>
      <c r="C2" s="13"/>
      <c r="D2" s="13"/>
      <c r="E2" s="13"/>
    </row>
    <row r="3" spans="2:9" ht="12.95" customHeight="1" x14ac:dyDescent="0.25">
      <c r="B3" s="8" t="s">
        <v>7</v>
      </c>
      <c r="C3" s="9"/>
      <c r="D3" s="12"/>
      <c r="E3" s="10" t="s">
        <v>8</v>
      </c>
    </row>
    <row r="4" spans="2:9" ht="12.95" customHeight="1" x14ac:dyDescent="0.25">
      <c r="B4" s="6" t="s">
        <v>9</v>
      </c>
      <c r="C4" s="7" t="s">
        <v>10</v>
      </c>
      <c r="D4" s="79" t="s">
        <v>11</v>
      </c>
      <c r="E4" s="11" t="s">
        <v>12</v>
      </c>
    </row>
    <row r="5" spans="2:9" ht="12.95" customHeight="1" x14ac:dyDescent="0.2">
      <c r="D5" s="18"/>
    </row>
    <row r="6" spans="2:9" ht="12.95" customHeight="1" x14ac:dyDescent="0.25">
      <c r="B6" s="109" t="s">
        <v>13</v>
      </c>
      <c r="C6" s="110"/>
      <c r="D6" s="110"/>
      <c r="E6" s="111"/>
    </row>
    <row r="7" spans="2:9" ht="12.95" customHeight="1" x14ac:dyDescent="0.2">
      <c r="B7" s="1" t="s">
        <v>14</v>
      </c>
      <c r="C7" s="1" t="s">
        <v>15</v>
      </c>
      <c r="D7" s="1" t="s">
        <v>16</v>
      </c>
      <c r="E7" s="31">
        <f>1/E9</f>
        <v>0.39370078740157477</v>
      </c>
    </row>
    <row r="8" spans="2:9" ht="12.95" customHeight="1" x14ac:dyDescent="0.2">
      <c r="B8" s="1" t="s">
        <v>17</v>
      </c>
      <c r="C8" s="1" t="s">
        <v>18</v>
      </c>
      <c r="D8" s="1" t="s">
        <v>19</v>
      </c>
      <c r="E8" s="58">
        <v>0.30480000000000002</v>
      </c>
    </row>
    <row r="9" spans="2:9" ht="12.95" customHeight="1" x14ac:dyDescent="0.2">
      <c r="B9" s="1" t="s">
        <v>15</v>
      </c>
      <c r="C9" s="1" t="s">
        <v>14</v>
      </c>
      <c r="D9" s="1" t="s">
        <v>20</v>
      </c>
      <c r="E9" s="32">
        <f>E10/10</f>
        <v>2.54</v>
      </c>
    </row>
    <row r="10" spans="2:9" ht="12.95" customHeight="1" x14ac:dyDescent="0.2">
      <c r="B10" s="1" t="s">
        <v>15</v>
      </c>
      <c r="C10" s="1" t="s">
        <v>21</v>
      </c>
      <c r="D10" s="1" t="s">
        <v>22</v>
      </c>
      <c r="E10" s="58">
        <v>25.4</v>
      </c>
    </row>
    <row r="11" spans="2:9" ht="12.95" customHeight="1" x14ac:dyDescent="0.2">
      <c r="B11" s="1" t="s">
        <v>23</v>
      </c>
      <c r="C11" s="1" t="s">
        <v>24</v>
      </c>
      <c r="D11" s="1" t="s">
        <v>25</v>
      </c>
      <c r="E11" s="31">
        <f>1/E12</f>
        <v>0.62150403977625857</v>
      </c>
    </row>
    <row r="12" spans="2:9" ht="12.95" customHeight="1" x14ac:dyDescent="0.2">
      <c r="B12" s="1" t="s">
        <v>24</v>
      </c>
      <c r="C12" s="1" t="s">
        <v>23</v>
      </c>
      <c r="D12" s="1" t="s">
        <v>26</v>
      </c>
      <c r="E12" s="58">
        <v>1.609</v>
      </c>
    </row>
    <row r="13" spans="2:9" ht="12.95" customHeight="1" x14ac:dyDescent="0.2">
      <c r="B13" s="1" t="s">
        <v>21</v>
      </c>
      <c r="C13" s="1" t="s">
        <v>15</v>
      </c>
      <c r="D13" s="1" t="s">
        <v>27</v>
      </c>
      <c r="E13" s="33">
        <f>1/E10</f>
        <v>3.937007874015748E-2</v>
      </c>
    </row>
    <row r="14" spans="2:9" ht="12.95" customHeight="1" x14ac:dyDescent="0.2">
      <c r="B14" s="1"/>
      <c r="C14" s="1"/>
      <c r="D14" s="1"/>
      <c r="E14" s="1"/>
    </row>
    <row r="15" spans="2:9" ht="12.95" customHeight="1" x14ac:dyDescent="0.25">
      <c r="B15" s="109" t="s">
        <v>28</v>
      </c>
      <c r="C15" s="110"/>
      <c r="D15" s="110"/>
      <c r="E15" s="111"/>
    </row>
    <row r="16" spans="2:9" ht="12.95" customHeight="1" x14ac:dyDescent="0.2">
      <c r="B16" s="1" t="s">
        <v>29</v>
      </c>
      <c r="C16" s="1" t="s">
        <v>30</v>
      </c>
      <c r="D16" s="1" t="s">
        <v>31</v>
      </c>
      <c r="E16" s="58">
        <v>2.2049999999999999E-3</v>
      </c>
      <c r="I16" s="47"/>
    </row>
    <row r="17" spans="2:9" ht="12.95" customHeight="1" x14ac:dyDescent="0.2">
      <c r="B17" s="1" t="s">
        <v>32</v>
      </c>
      <c r="C17" s="1" t="s">
        <v>29</v>
      </c>
      <c r="D17" s="1" t="s">
        <v>33</v>
      </c>
      <c r="E17" s="58">
        <v>1000</v>
      </c>
      <c r="H17" s="47"/>
      <c r="I17" s="47"/>
    </row>
    <row r="18" spans="2:9" ht="12.95" customHeight="1" x14ac:dyDescent="0.2">
      <c r="B18" s="1" t="s">
        <v>32</v>
      </c>
      <c r="C18" s="1" t="s">
        <v>30</v>
      </c>
      <c r="D18" s="1" t="s">
        <v>34</v>
      </c>
      <c r="E18" s="32">
        <f>1/E20</f>
        <v>2.204585537918871</v>
      </c>
      <c r="H18" s="47"/>
      <c r="I18" s="47"/>
    </row>
    <row r="19" spans="2:9" ht="12.95" customHeight="1" x14ac:dyDescent="0.2">
      <c r="B19" s="1" t="s">
        <v>30</v>
      </c>
      <c r="C19" s="1" t="s">
        <v>29</v>
      </c>
      <c r="D19" s="1" t="s">
        <v>35</v>
      </c>
      <c r="E19" s="29">
        <f>lbTOkg*1000</f>
        <v>453.6</v>
      </c>
      <c r="H19" s="47"/>
      <c r="I19" s="47"/>
    </row>
    <row r="20" spans="2:9" ht="12.95" customHeight="1" x14ac:dyDescent="0.2">
      <c r="B20" s="1" t="s">
        <v>30</v>
      </c>
      <c r="C20" s="1" t="s">
        <v>32</v>
      </c>
      <c r="D20" s="1" t="s">
        <v>36</v>
      </c>
      <c r="E20" s="58">
        <v>0.4536</v>
      </c>
      <c r="H20" s="47"/>
      <c r="I20" s="47"/>
    </row>
    <row r="21" spans="2:9" ht="12.95" customHeight="1" x14ac:dyDescent="0.2">
      <c r="B21" s="1" t="s">
        <v>30</v>
      </c>
      <c r="C21" s="1" t="s">
        <v>37</v>
      </c>
      <c r="D21" s="1" t="s">
        <v>38</v>
      </c>
      <c r="E21" s="34">
        <f>lbTOkg/1000</f>
        <v>4.5360000000000002E-4</v>
      </c>
      <c r="G21" s="47"/>
      <c r="H21" s="47"/>
      <c r="I21" s="47"/>
    </row>
    <row r="22" spans="2:9" ht="12.95" customHeight="1" x14ac:dyDescent="0.2">
      <c r="B22" s="1" t="s">
        <v>30</v>
      </c>
      <c r="C22" s="1" t="s">
        <v>39</v>
      </c>
      <c r="D22" s="1" t="s">
        <v>40</v>
      </c>
      <c r="E22" s="34">
        <f>1/E27</f>
        <v>5.0000000000000001E-4</v>
      </c>
      <c r="G22" s="47"/>
      <c r="H22" s="47"/>
      <c r="I22" s="47"/>
    </row>
    <row r="23" spans="2:9" ht="12.95" customHeight="1" x14ac:dyDescent="0.2">
      <c r="B23" s="1" t="s">
        <v>37</v>
      </c>
      <c r="C23" s="1" t="s">
        <v>32</v>
      </c>
      <c r="D23" s="1" t="s">
        <v>41</v>
      </c>
      <c r="E23" s="58">
        <v>1000</v>
      </c>
      <c r="G23" s="47"/>
      <c r="H23" s="47"/>
      <c r="I23" s="47"/>
    </row>
    <row r="24" spans="2:9" ht="12.95" customHeight="1" x14ac:dyDescent="0.2">
      <c r="B24" s="1" t="s">
        <v>37</v>
      </c>
      <c r="C24" s="1" t="s">
        <v>39</v>
      </c>
      <c r="D24" s="1" t="s">
        <v>42</v>
      </c>
      <c r="E24" s="32">
        <f>1/E29</f>
        <v>1.1023170704821534</v>
      </c>
      <c r="G24" s="47"/>
      <c r="H24" s="47"/>
      <c r="I24" s="47"/>
    </row>
    <row r="25" spans="2:9" ht="12.95" customHeight="1" x14ac:dyDescent="0.2">
      <c r="B25" s="1" t="s">
        <v>30</v>
      </c>
      <c r="C25" s="1" t="s">
        <v>43</v>
      </c>
      <c r="D25" s="1" t="s">
        <v>44</v>
      </c>
      <c r="E25" s="58">
        <v>16</v>
      </c>
      <c r="G25" s="47"/>
      <c r="H25" s="47"/>
      <c r="I25" s="47"/>
    </row>
    <row r="26" spans="2:9" ht="12.95" customHeight="1" x14ac:dyDescent="0.2">
      <c r="B26" s="1" t="s">
        <v>43</v>
      </c>
      <c r="C26" s="1" t="s">
        <v>32</v>
      </c>
      <c r="D26" s="1" t="s">
        <v>45</v>
      </c>
      <c r="E26" s="35">
        <f>lbTOkg/lbTOoz</f>
        <v>2.835E-2</v>
      </c>
      <c r="G26" s="47"/>
      <c r="H26" s="47"/>
      <c r="I26" s="47"/>
    </row>
    <row r="27" spans="2:9" ht="12.95" customHeight="1" x14ac:dyDescent="0.2">
      <c r="B27" s="1" t="s">
        <v>39</v>
      </c>
      <c r="C27" s="1" t="s">
        <v>30</v>
      </c>
      <c r="D27" s="1" t="s">
        <v>46</v>
      </c>
      <c r="E27" s="58">
        <v>2000</v>
      </c>
      <c r="G27" s="47"/>
      <c r="H27" s="47"/>
      <c r="I27" s="47"/>
    </row>
    <row r="28" spans="2:9" ht="12.95" customHeight="1" x14ac:dyDescent="0.2">
      <c r="B28" s="1" t="s">
        <v>39</v>
      </c>
      <c r="C28" s="1" t="s">
        <v>32</v>
      </c>
      <c r="D28" s="1" t="s">
        <v>47</v>
      </c>
      <c r="E28" s="29">
        <f>tonTOMg*1000</f>
        <v>907.18</v>
      </c>
      <c r="G28" s="47"/>
      <c r="H28" s="47"/>
      <c r="I28" s="47"/>
    </row>
    <row r="29" spans="2:9" ht="12.95" customHeight="1" x14ac:dyDescent="0.2">
      <c r="B29" s="1" t="s">
        <v>39</v>
      </c>
      <c r="C29" s="1" t="s">
        <v>37</v>
      </c>
      <c r="D29" s="1" t="s">
        <v>48</v>
      </c>
      <c r="E29" s="58">
        <v>0.90717999999999999</v>
      </c>
      <c r="G29" s="47"/>
      <c r="H29" s="47"/>
      <c r="I29" s="47"/>
    </row>
    <row r="30" spans="2:9" ht="12.95" customHeight="1" x14ac:dyDescent="0.2">
      <c r="E30" s="43"/>
    </row>
    <row r="31" spans="2:9" ht="12.95" customHeight="1" x14ac:dyDescent="0.25">
      <c r="B31" s="109" t="s">
        <v>49</v>
      </c>
      <c r="C31" s="110"/>
      <c r="D31" s="110"/>
      <c r="E31" s="111"/>
    </row>
    <row r="32" spans="2:9" ht="12.95" customHeight="1" x14ac:dyDescent="0.2">
      <c r="B32" s="1" t="s">
        <v>50</v>
      </c>
      <c r="C32" s="1" t="s">
        <v>51</v>
      </c>
      <c r="D32" s="1" t="s">
        <v>52</v>
      </c>
      <c r="E32" s="59">
        <v>1440</v>
      </c>
    </row>
    <row r="33" spans="2:5" ht="12.95" customHeight="1" x14ac:dyDescent="0.2">
      <c r="B33" s="1" t="s">
        <v>50</v>
      </c>
      <c r="C33" s="1" t="s">
        <v>4</v>
      </c>
      <c r="D33" s="1" t="s">
        <v>53</v>
      </c>
      <c r="E33" s="36">
        <f>1/E44</f>
        <v>2.7379257474537291E-3</v>
      </c>
    </row>
    <row r="34" spans="2:5" ht="12.95" customHeight="1" x14ac:dyDescent="0.2">
      <c r="B34" s="1" t="s">
        <v>54</v>
      </c>
      <c r="C34" s="1" t="s">
        <v>50</v>
      </c>
      <c r="D34" s="1" t="s">
        <v>55</v>
      </c>
      <c r="E34" s="60">
        <v>4.1669999999999999E-2</v>
      </c>
    </row>
    <row r="35" spans="2:5" ht="12.95" customHeight="1" x14ac:dyDescent="0.2">
      <c r="B35" s="1" t="s">
        <v>54</v>
      </c>
      <c r="C35" s="1" t="s">
        <v>51</v>
      </c>
      <c r="D35" s="1" t="s">
        <v>304</v>
      </c>
      <c r="E35" s="59">
        <v>60</v>
      </c>
    </row>
    <row r="36" spans="2:5" ht="12.95" customHeight="1" x14ac:dyDescent="0.2">
      <c r="B36" s="1" t="s">
        <v>54</v>
      </c>
      <c r="C36" s="1" t="s">
        <v>56</v>
      </c>
      <c r="D36" s="1" t="s">
        <v>57</v>
      </c>
      <c r="E36" s="58">
        <v>3600</v>
      </c>
    </row>
    <row r="37" spans="2:5" ht="12.95" customHeight="1" x14ac:dyDescent="0.2">
      <c r="B37" s="1" t="s">
        <v>54</v>
      </c>
      <c r="C37" s="1" t="s">
        <v>4</v>
      </c>
      <c r="D37" s="1" t="s">
        <v>58</v>
      </c>
      <c r="E37" s="34">
        <f>1/E45</f>
        <v>1.1415525114155251E-4</v>
      </c>
    </row>
    <row r="38" spans="2:5" ht="12.95" customHeight="1" x14ac:dyDescent="0.2">
      <c r="B38" s="1" t="s">
        <v>51</v>
      </c>
      <c r="C38" s="1" t="s">
        <v>50</v>
      </c>
      <c r="D38" s="1" t="s">
        <v>59</v>
      </c>
      <c r="E38" s="27">
        <f>1/dayTOmin</f>
        <v>6.9444444444444447E-4</v>
      </c>
    </row>
    <row r="39" spans="2:5" ht="12.95" customHeight="1" x14ac:dyDescent="0.2">
      <c r="B39" s="1" t="s">
        <v>60</v>
      </c>
      <c r="C39" s="1" t="s">
        <v>50</v>
      </c>
      <c r="D39" s="1" t="s">
        <v>61</v>
      </c>
      <c r="E39" s="28">
        <f>yrTOday/yrTOmo</f>
        <v>30.436666666666667</v>
      </c>
    </row>
    <row r="40" spans="2:5" ht="12.95" customHeight="1" x14ac:dyDescent="0.2">
      <c r="B40" s="1" t="s">
        <v>60</v>
      </c>
      <c r="C40" s="1" t="s">
        <v>4</v>
      </c>
      <c r="D40" s="1" t="s">
        <v>62</v>
      </c>
      <c r="E40" s="35">
        <f>1/yrTOmo</f>
        <v>8.3333333333333329E-2</v>
      </c>
    </row>
    <row r="41" spans="2:5" ht="12.95" customHeight="1" x14ac:dyDescent="0.2">
      <c r="B41" s="1" t="s">
        <v>56</v>
      </c>
      <c r="C41" s="1" t="s">
        <v>50</v>
      </c>
      <c r="D41" s="1" t="s">
        <v>63</v>
      </c>
      <c r="E41" s="61">
        <v>1.1574E-5</v>
      </c>
    </row>
    <row r="42" spans="2:5" ht="12.95" customHeight="1" x14ac:dyDescent="0.2">
      <c r="B42" s="1" t="s">
        <v>56</v>
      </c>
      <c r="C42" s="1" t="s">
        <v>54</v>
      </c>
      <c r="D42" s="1" t="s">
        <v>64</v>
      </c>
      <c r="E42" s="34">
        <f>1/E36</f>
        <v>2.7777777777777778E-4</v>
      </c>
    </row>
    <row r="43" spans="2:5" ht="12.95" customHeight="1" x14ac:dyDescent="0.2">
      <c r="B43" s="1" t="s">
        <v>56</v>
      </c>
      <c r="C43" s="1" t="s">
        <v>4</v>
      </c>
      <c r="D43" s="1" t="s">
        <v>65</v>
      </c>
      <c r="E43" s="37">
        <f>1/E47</f>
        <v>3.1709791983764586E-8</v>
      </c>
    </row>
    <row r="44" spans="2:5" ht="12.95" customHeight="1" x14ac:dyDescent="0.2">
      <c r="B44" s="1" t="s">
        <v>4</v>
      </c>
      <c r="C44" s="1" t="s">
        <v>50</v>
      </c>
      <c r="D44" s="1" t="s">
        <v>66</v>
      </c>
      <c r="E44" s="62">
        <v>365.24</v>
      </c>
    </row>
    <row r="45" spans="2:5" ht="12.95" customHeight="1" x14ac:dyDescent="0.2">
      <c r="B45" s="1" t="s">
        <v>4</v>
      </c>
      <c r="C45" s="1" t="s">
        <v>54</v>
      </c>
      <c r="D45" s="1" t="s">
        <v>67</v>
      </c>
      <c r="E45" s="58">
        <v>8760</v>
      </c>
    </row>
    <row r="46" spans="2:5" ht="12.95" customHeight="1" x14ac:dyDescent="0.2">
      <c r="B46" s="1" t="s">
        <v>4</v>
      </c>
      <c r="C46" s="1" t="s">
        <v>60</v>
      </c>
      <c r="D46" s="1" t="s">
        <v>68</v>
      </c>
      <c r="E46" s="58">
        <v>12</v>
      </c>
    </row>
    <row r="47" spans="2:5" ht="12.95" customHeight="1" x14ac:dyDescent="0.2">
      <c r="B47" s="1" t="s">
        <v>4</v>
      </c>
      <c r="C47" s="1" t="s">
        <v>56</v>
      </c>
      <c r="D47" s="1" t="s">
        <v>69</v>
      </c>
      <c r="E47" s="37">
        <f>yrTOhr*hrTOs</f>
        <v>31536000</v>
      </c>
    </row>
    <row r="48" spans="2:5" ht="12.95" customHeight="1" x14ac:dyDescent="0.2">
      <c r="B48" s="1"/>
      <c r="C48" s="1"/>
      <c r="D48" s="1"/>
      <c r="E48" s="1"/>
    </row>
    <row r="49" spans="2:5" ht="12.95" customHeight="1" x14ac:dyDescent="0.25">
      <c r="B49" s="109" t="s">
        <v>70</v>
      </c>
      <c r="C49" s="110"/>
      <c r="D49" s="110"/>
      <c r="E49" s="111"/>
    </row>
    <row r="50" spans="2:5" ht="12.95" customHeight="1" x14ac:dyDescent="0.2">
      <c r="B50" s="1" t="s">
        <v>71</v>
      </c>
      <c r="C50" s="1" t="s">
        <v>72</v>
      </c>
      <c r="D50" s="1" t="s">
        <v>73</v>
      </c>
      <c r="E50" s="58">
        <v>43560</v>
      </c>
    </row>
    <row r="51" spans="2:5" ht="12.95" customHeight="1" x14ac:dyDescent="0.2">
      <c r="B51" s="1" t="s">
        <v>71</v>
      </c>
      <c r="C51" s="1" t="s">
        <v>5</v>
      </c>
      <c r="D51" s="1" t="s">
        <v>74</v>
      </c>
      <c r="E51" s="58">
        <v>0.40468700000000002</v>
      </c>
    </row>
    <row r="52" spans="2:5" ht="12.95" customHeight="1" x14ac:dyDescent="0.2">
      <c r="B52" s="1" t="s">
        <v>71</v>
      </c>
      <c r="C52" s="1" t="s">
        <v>75</v>
      </c>
      <c r="D52" s="1" t="s">
        <v>76</v>
      </c>
      <c r="E52" s="58">
        <v>4.0468600000000002E-3</v>
      </c>
    </row>
    <row r="53" spans="2:5" ht="12.95" customHeight="1" x14ac:dyDescent="0.2">
      <c r="B53" s="1" t="s">
        <v>71</v>
      </c>
      <c r="C53" s="1" t="s">
        <v>77</v>
      </c>
      <c r="D53" s="1" t="s">
        <v>78</v>
      </c>
      <c r="E53" s="58">
        <v>4046.856421</v>
      </c>
    </row>
    <row r="54" spans="2:5" ht="12.95" customHeight="1" x14ac:dyDescent="0.2">
      <c r="B54" s="1" t="s">
        <v>71</v>
      </c>
      <c r="C54" s="1" t="s">
        <v>79</v>
      </c>
      <c r="D54" s="1" t="s">
        <v>80</v>
      </c>
      <c r="E54" s="58">
        <v>1.5625000000000001E-3</v>
      </c>
    </row>
    <row r="55" spans="2:5" ht="12.95" customHeight="1" x14ac:dyDescent="0.2">
      <c r="B55" s="1" t="s">
        <v>72</v>
      </c>
      <c r="C55" s="1" t="s">
        <v>77</v>
      </c>
      <c r="D55" s="1" t="s">
        <v>81</v>
      </c>
      <c r="E55" s="58">
        <v>9.2899999999999996E-2</v>
      </c>
    </row>
    <row r="56" spans="2:5" ht="12.95" customHeight="1" x14ac:dyDescent="0.2">
      <c r="B56" s="1" t="s">
        <v>72</v>
      </c>
      <c r="C56" s="1" t="s">
        <v>82</v>
      </c>
      <c r="D56" s="1" t="s">
        <v>83</v>
      </c>
      <c r="E56" s="38">
        <f>1/E68</f>
        <v>0.1111111111111111</v>
      </c>
    </row>
    <row r="57" spans="2:5" ht="12.95" customHeight="1" x14ac:dyDescent="0.2">
      <c r="B57" s="1" t="s">
        <v>5</v>
      </c>
      <c r="C57" s="1" t="s">
        <v>71</v>
      </c>
      <c r="D57" s="1" t="s">
        <v>84</v>
      </c>
      <c r="E57" s="32">
        <f>1/E51</f>
        <v>2.4710455240716898</v>
      </c>
    </row>
    <row r="58" spans="2:5" ht="12.95" customHeight="1" x14ac:dyDescent="0.2">
      <c r="B58" s="1" t="s">
        <v>5</v>
      </c>
      <c r="C58" s="1" t="s">
        <v>75</v>
      </c>
      <c r="D58" s="1" t="s">
        <v>85</v>
      </c>
      <c r="E58" s="62">
        <v>0.01</v>
      </c>
    </row>
    <row r="59" spans="2:5" ht="12.95" customHeight="1" x14ac:dyDescent="0.2">
      <c r="B59" s="1" t="s">
        <v>75</v>
      </c>
      <c r="C59" s="1" t="s">
        <v>71</v>
      </c>
      <c r="D59" s="1" t="s">
        <v>86</v>
      </c>
      <c r="E59" s="29">
        <f>1/acreTOkm2</f>
        <v>247.10516301527602</v>
      </c>
    </row>
    <row r="60" spans="2:5" ht="12.95" customHeight="1" x14ac:dyDescent="0.2">
      <c r="B60" s="1" t="s">
        <v>75</v>
      </c>
      <c r="C60" s="1" t="s">
        <v>5</v>
      </c>
      <c r="D60" s="1" t="s">
        <v>87</v>
      </c>
      <c r="E60" s="29">
        <f>1/haTOkm2</f>
        <v>100</v>
      </c>
    </row>
    <row r="61" spans="2:5" ht="12.95" customHeight="1" x14ac:dyDescent="0.2">
      <c r="B61" s="1" t="s">
        <v>75</v>
      </c>
      <c r="C61" s="1" t="s">
        <v>77</v>
      </c>
      <c r="D61" s="1" t="s">
        <v>88</v>
      </c>
      <c r="E61" s="63">
        <v>1000000</v>
      </c>
    </row>
    <row r="62" spans="2:5" ht="12.95" customHeight="1" x14ac:dyDescent="0.2">
      <c r="B62" s="1" t="s">
        <v>75</v>
      </c>
      <c r="C62" s="1" t="s">
        <v>79</v>
      </c>
      <c r="D62" s="1" t="s">
        <v>89</v>
      </c>
      <c r="E62" s="64">
        <v>0.3861</v>
      </c>
    </row>
    <row r="63" spans="2:5" ht="12.95" customHeight="1" x14ac:dyDescent="0.2">
      <c r="B63" s="1" t="s">
        <v>77</v>
      </c>
      <c r="C63" s="1" t="s">
        <v>71</v>
      </c>
      <c r="D63" s="1" t="s">
        <v>90</v>
      </c>
      <c r="E63" s="34">
        <f>1/E53</f>
        <v>2.4710538155265082E-4</v>
      </c>
    </row>
    <row r="64" spans="2:5" ht="12.95" customHeight="1" x14ac:dyDescent="0.2">
      <c r="B64" s="1" t="s">
        <v>77</v>
      </c>
      <c r="C64" s="1" t="s">
        <v>72</v>
      </c>
      <c r="D64" s="1" t="s">
        <v>91</v>
      </c>
      <c r="E64" s="25">
        <f>1/E55</f>
        <v>10.764262648008613</v>
      </c>
    </row>
    <row r="65" spans="2:6" ht="12.95" customHeight="1" x14ac:dyDescent="0.2">
      <c r="B65" s="1" t="s">
        <v>77</v>
      </c>
      <c r="C65" s="1" t="s">
        <v>5</v>
      </c>
      <c r="D65" s="1" t="s">
        <v>92</v>
      </c>
      <c r="E65" s="58">
        <v>1E-4</v>
      </c>
    </row>
    <row r="66" spans="2:6" ht="12.95" customHeight="1" x14ac:dyDescent="0.2">
      <c r="B66" s="1" t="s">
        <v>77</v>
      </c>
      <c r="C66" s="1" t="s">
        <v>75</v>
      </c>
      <c r="D66" s="1" t="s">
        <v>93</v>
      </c>
      <c r="E66" s="61">
        <v>9.9999999999999995E-7</v>
      </c>
    </row>
    <row r="67" spans="2:6" ht="12.95" customHeight="1" x14ac:dyDescent="0.2">
      <c r="B67" s="1" t="s">
        <v>79</v>
      </c>
      <c r="C67" s="1" t="s">
        <v>71</v>
      </c>
      <c r="D67" s="1" t="s">
        <v>94</v>
      </c>
      <c r="E67" s="39">
        <f>1/E54</f>
        <v>640</v>
      </c>
    </row>
    <row r="68" spans="2:6" ht="12.95" customHeight="1" x14ac:dyDescent="0.2">
      <c r="B68" s="1" t="s">
        <v>82</v>
      </c>
      <c r="C68" s="1" t="s">
        <v>72</v>
      </c>
      <c r="D68" s="1" t="s">
        <v>95</v>
      </c>
      <c r="E68" s="59">
        <v>9</v>
      </c>
    </row>
    <row r="69" spans="2:6" ht="12.95" customHeight="1" x14ac:dyDescent="0.2">
      <c r="B69" s="1" t="s">
        <v>79</v>
      </c>
      <c r="C69" s="1" t="s">
        <v>75</v>
      </c>
      <c r="D69" s="1" t="s">
        <v>96</v>
      </c>
      <c r="E69" s="60">
        <v>2.5899899999999998</v>
      </c>
    </row>
    <row r="70" spans="2:6" ht="12.95" customHeight="1" x14ac:dyDescent="0.2">
      <c r="B70" s="1"/>
      <c r="C70" s="1"/>
      <c r="D70" s="1"/>
      <c r="E70" s="1"/>
    </row>
    <row r="71" spans="2:6" ht="12.95" customHeight="1" x14ac:dyDescent="0.25">
      <c r="B71" s="109" t="s">
        <v>97</v>
      </c>
      <c r="C71" s="110"/>
      <c r="D71" s="110"/>
      <c r="E71" s="111"/>
    </row>
    <row r="72" spans="2:6" ht="12.95" customHeight="1" x14ac:dyDescent="0.2">
      <c r="B72" s="1" t="s">
        <v>98</v>
      </c>
      <c r="C72" s="1" t="s">
        <v>99</v>
      </c>
      <c r="D72" s="1" t="s">
        <v>100</v>
      </c>
      <c r="E72" s="65">
        <v>325900</v>
      </c>
    </row>
    <row r="73" spans="2:6" ht="12.95" customHeight="1" x14ac:dyDescent="0.2">
      <c r="B73" s="1" t="s">
        <v>98</v>
      </c>
      <c r="C73" s="1" t="s">
        <v>101</v>
      </c>
      <c r="D73" s="1" t="s">
        <v>102</v>
      </c>
      <c r="E73" s="66">
        <v>1233.482</v>
      </c>
    </row>
    <row r="74" spans="2:6" ht="12.95" customHeight="1" x14ac:dyDescent="0.2">
      <c r="B74" s="1" t="s">
        <v>103</v>
      </c>
      <c r="C74" s="1" t="s">
        <v>99</v>
      </c>
      <c r="D74" s="1" t="s">
        <v>104</v>
      </c>
      <c r="E74" s="58">
        <v>27154.286</v>
      </c>
    </row>
    <row r="75" spans="2:6" ht="12.95" customHeight="1" x14ac:dyDescent="0.2">
      <c r="B75" s="1" t="s">
        <v>105</v>
      </c>
      <c r="C75" s="1" t="s">
        <v>99</v>
      </c>
      <c r="D75" s="1" t="s">
        <v>106</v>
      </c>
      <c r="E75" s="59">
        <v>42</v>
      </c>
    </row>
    <row r="76" spans="2:6" ht="12.95" customHeight="1" x14ac:dyDescent="0.2">
      <c r="B76" s="1" t="s">
        <v>105</v>
      </c>
      <c r="C76" s="1" t="s">
        <v>107</v>
      </c>
      <c r="D76" s="1" t="s">
        <v>108</v>
      </c>
      <c r="E76" s="29">
        <f>bblTOgal*galTOL</f>
        <v>158.98680000000002</v>
      </c>
    </row>
    <row r="77" spans="2:6" s="54" customFormat="1" ht="12.95" customHeight="1" x14ac:dyDescent="0.2">
      <c r="B77" s="54" t="s">
        <v>634</v>
      </c>
      <c r="C77" s="54" t="s">
        <v>635</v>
      </c>
      <c r="D77" s="14" t="s">
        <v>636</v>
      </c>
      <c r="E77" s="58">
        <v>144</v>
      </c>
    </row>
    <row r="78" spans="2:6" s="215" customFormat="1" ht="12.95" customHeight="1" x14ac:dyDescent="0.2">
      <c r="B78" s="215" t="s">
        <v>634</v>
      </c>
      <c r="C78" s="215" t="s">
        <v>742</v>
      </c>
      <c r="D78" s="14" t="s">
        <v>743</v>
      </c>
      <c r="E78" s="58">
        <v>2359.7399999999998</v>
      </c>
    </row>
    <row r="79" spans="2:6" s="215" customFormat="1" ht="12.95" customHeight="1" x14ac:dyDescent="0.2">
      <c r="B79" s="215" t="s">
        <v>634</v>
      </c>
      <c r="C79" s="215" t="s">
        <v>101</v>
      </c>
      <c r="D79" s="14" t="s">
        <v>741</v>
      </c>
      <c r="E79" s="36">
        <f>E78/10^6</f>
        <v>2.3597399999999999E-3</v>
      </c>
      <c r="F79" s="215">
        <f>1/bfTOm3</f>
        <v>423.77550069075409</v>
      </c>
    </row>
    <row r="80" spans="2:6" s="215" customFormat="1" ht="12.95" customHeight="1" x14ac:dyDescent="0.2">
      <c r="B80" s="215" t="s">
        <v>775</v>
      </c>
      <c r="C80" s="215" t="s">
        <v>109</v>
      </c>
      <c r="D80" s="215" t="s">
        <v>776</v>
      </c>
      <c r="E80" s="58">
        <v>128</v>
      </c>
    </row>
    <row r="81" spans="2:5" s="215" customFormat="1" ht="12.95" customHeight="1" x14ac:dyDescent="0.2">
      <c r="B81" s="215" t="s">
        <v>775</v>
      </c>
      <c r="C81" s="215" t="s">
        <v>101</v>
      </c>
      <c r="D81" s="215" t="s">
        <v>777</v>
      </c>
      <c r="E81" s="58">
        <v>3.6246</v>
      </c>
    </row>
    <row r="82" spans="2:5" ht="12.95" customHeight="1" x14ac:dyDescent="0.2">
      <c r="B82" s="1" t="s">
        <v>109</v>
      </c>
      <c r="C82" s="1" t="s">
        <v>99</v>
      </c>
      <c r="D82" s="1" t="s">
        <v>110</v>
      </c>
      <c r="E82" s="58">
        <v>7.4805200000000003</v>
      </c>
    </row>
    <row r="83" spans="2:5" ht="12.95" customHeight="1" x14ac:dyDescent="0.2">
      <c r="B83" s="1" t="s">
        <v>109</v>
      </c>
      <c r="C83" s="1" t="s">
        <v>107</v>
      </c>
      <c r="D83" s="1" t="s">
        <v>111</v>
      </c>
      <c r="E83" s="58">
        <v>28.316870000000002</v>
      </c>
    </row>
    <row r="84" spans="2:5" ht="12.95" customHeight="1" x14ac:dyDescent="0.2">
      <c r="B84" s="1" t="s">
        <v>109</v>
      </c>
      <c r="C84" s="1" t="s">
        <v>101</v>
      </c>
      <c r="D84" s="1" t="s">
        <v>112</v>
      </c>
      <c r="E84" s="58">
        <v>2.8320000000000001E-2</v>
      </c>
    </row>
    <row r="85" spans="2:5" ht="12.95" customHeight="1" x14ac:dyDescent="0.2">
      <c r="B85" s="1" t="s">
        <v>99</v>
      </c>
      <c r="C85" s="1" t="s">
        <v>98</v>
      </c>
      <c r="D85" s="1" t="s">
        <v>113</v>
      </c>
      <c r="E85" s="37">
        <f>1/E72</f>
        <v>3.068425897514575E-6</v>
      </c>
    </row>
    <row r="86" spans="2:5" ht="12.95" customHeight="1" x14ac:dyDescent="0.2">
      <c r="B86" s="1" t="s">
        <v>99</v>
      </c>
      <c r="C86" s="1" t="s">
        <v>103</v>
      </c>
      <c r="D86" s="1" t="s">
        <v>114</v>
      </c>
      <c r="E86" s="37">
        <f>1/E74</f>
        <v>3.6826598939114067E-5</v>
      </c>
    </row>
    <row r="87" spans="2:5" ht="12.95" customHeight="1" x14ac:dyDescent="0.2">
      <c r="B87" s="1" t="s">
        <v>99</v>
      </c>
      <c r="C87" s="1" t="s">
        <v>105</v>
      </c>
      <c r="D87" s="1" t="s">
        <v>115</v>
      </c>
      <c r="E87" s="35">
        <f>1/bblTOgal</f>
        <v>2.3809523809523808E-2</v>
      </c>
    </row>
    <row r="88" spans="2:5" ht="12.95" customHeight="1" x14ac:dyDescent="0.2">
      <c r="B88" s="1" t="s">
        <v>99</v>
      </c>
      <c r="C88" s="1" t="s">
        <v>107</v>
      </c>
      <c r="D88" s="1" t="s">
        <v>116</v>
      </c>
      <c r="E88" s="58">
        <v>3.7854000000000001</v>
      </c>
    </row>
    <row r="89" spans="2:5" ht="12.95" customHeight="1" x14ac:dyDescent="0.2">
      <c r="B89" s="1" t="s">
        <v>99</v>
      </c>
      <c r="C89" s="1" t="s">
        <v>101</v>
      </c>
      <c r="D89" s="1" t="s">
        <v>117</v>
      </c>
      <c r="E89" s="58">
        <v>3.7850000000000002E-3</v>
      </c>
    </row>
    <row r="90" spans="2:5" ht="12.95" customHeight="1" x14ac:dyDescent="0.2">
      <c r="B90" s="1" t="s">
        <v>107</v>
      </c>
      <c r="C90" s="1" t="s">
        <v>109</v>
      </c>
      <c r="D90" s="1" t="s">
        <v>118</v>
      </c>
      <c r="E90" s="58">
        <v>3.5310000000000001E-2</v>
      </c>
    </row>
    <row r="91" spans="2:5" ht="12.95" customHeight="1" x14ac:dyDescent="0.2">
      <c r="B91" s="1" t="s">
        <v>107</v>
      </c>
      <c r="C91" s="1" t="s">
        <v>99</v>
      </c>
      <c r="D91" s="1" t="s">
        <v>119</v>
      </c>
      <c r="E91" s="38">
        <f>1/galTOliter</f>
        <v>0.2641728747292228</v>
      </c>
    </row>
    <row r="92" spans="2:5" ht="12.95" customHeight="1" x14ac:dyDescent="0.2">
      <c r="B92" s="1" t="s">
        <v>107</v>
      </c>
      <c r="C92" s="1" t="s">
        <v>101</v>
      </c>
      <c r="D92" s="1" t="s">
        <v>120</v>
      </c>
      <c r="E92" s="58">
        <v>1E-3</v>
      </c>
    </row>
    <row r="93" spans="2:5" ht="12.95" customHeight="1" x14ac:dyDescent="0.2">
      <c r="B93" s="1" t="s">
        <v>101</v>
      </c>
      <c r="C93" s="1" t="s">
        <v>98</v>
      </c>
      <c r="D93" s="1" t="s">
        <v>121</v>
      </c>
      <c r="E93" s="34">
        <f>1/E73</f>
        <v>8.1071308701707845E-4</v>
      </c>
    </row>
    <row r="94" spans="2:5" ht="12.95" customHeight="1" x14ac:dyDescent="0.2">
      <c r="B94" s="1" t="s">
        <v>101</v>
      </c>
      <c r="C94" s="1" t="s">
        <v>109</v>
      </c>
      <c r="D94" s="1" t="s">
        <v>122</v>
      </c>
      <c r="E94" s="25">
        <f>1/E84</f>
        <v>35.310734463276837</v>
      </c>
    </row>
    <row r="95" spans="2:5" ht="12.95" customHeight="1" x14ac:dyDescent="0.2">
      <c r="B95" s="1" t="s">
        <v>101</v>
      </c>
      <c r="C95" s="1" t="s">
        <v>99</v>
      </c>
      <c r="D95" s="1" t="s">
        <v>123</v>
      </c>
      <c r="E95" s="39">
        <f>1/E89</f>
        <v>264.20079260237782</v>
      </c>
    </row>
    <row r="96" spans="2:5" ht="12.95" customHeight="1" x14ac:dyDescent="0.2">
      <c r="B96" s="1" t="s">
        <v>101</v>
      </c>
      <c r="C96" s="1" t="s">
        <v>124</v>
      </c>
      <c r="D96" s="1" t="s">
        <v>125</v>
      </c>
      <c r="E96" s="30">
        <f>1/LTOm3</f>
        <v>1000</v>
      </c>
    </row>
    <row r="97" spans="2:5" ht="12.95" customHeight="1" x14ac:dyDescent="0.2">
      <c r="B97" s="1" t="s">
        <v>126</v>
      </c>
      <c r="C97" s="1" t="s">
        <v>101</v>
      </c>
      <c r="D97" s="1" t="s">
        <v>127</v>
      </c>
      <c r="E97" s="58">
        <v>0.76454999999999995</v>
      </c>
    </row>
    <row r="98" spans="2:5" ht="12.95" customHeight="1" x14ac:dyDescent="0.2">
      <c r="B98" s="1"/>
      <c r="C98" s="1"/>
      <c r="D98" s="1"/>
      <c r="E98" s="44"/>
    </row>
    <row r="99" spans="2:5" ht="12.95" customHeight="1" x14ac:dyDescent="0.25">
      <c r="B99" s="109" t="s">
        <v>128</v>
      </c>
      <c r="C99" s="110"/>
      <c r="D99" s="110"/>
      <c r="E99" s="111"/>
    </row>
    <row r="100" spans="2:5" ht="12.95" customHeight="1" x14ac:dyDescent="0.2">
      <c r="B100" s="1" t="s">
        <v>30</v>
      </c>
      <c r="C100" s="1" t="s">
        <v>3</v>
      </c>
      <c r="D100" s="1" t="s">
        <v>129</v>
      </c>
      <c r="E100" s="60">
        <v>4.4482200000000001</v>
      </c>
    </row>
    <row r="101" spans="2:5" ht="12.95" customHeight="1" x14ac:dyDescent="0.2">
      <c r="B101" s="1"/>
      <c r="C101" s="1"/>
      <c r="D101" s="1"/>
      <c r="E101" s="44"/>
    </row>
    <row r="102" spans="2:5" ht="12.95" customHeight="1" x14ac:dyDescent="0.25">
      <c r="B102" s="109" t="s">
        <v>130</v>
      </c>
      <c r="C102" s="110"/>
      <c r="D102" s="110"/>
      <c r="E102" s="111"/>
    </row>
    <row r="103" spans="2:5" ht="12.95" customHeight="1" x14ac:dyDescent="0.2">
      <c r="B103" s="1" t="s">
        <v>131</v>
      </c>
      <c r="C103" s="1" t="s">
        <v>132</v>
      </c>
      <c r="D103" s="1" t="s">
        <v>133</v>
      </c>
      <c r="E103" s="67">
        <v>1.01325</v>
      </c>
    </row>
    <row r="104" spans="2:5" ht="12.95" customHeight="1" x14ac:dyDescent="0.2">
      <c r="B104" s="1" t="s">
        <v>131</v>
      </c>
      <c r="C104" s="1" t="s">
        <v>134</v>
      </c>
      <c r="D104" s="1" t="s">
        <v>135</v>
      </c>
      <c r="E104" s="64">
        <v>14.696</v>
      </c>
    </row>
    <row r="105" spans="2:5" ht="12.95" customHeight="1" x14ac:dyDescent="0.2">
      <c r="B105" s="1" t="s">
        <v>132</v>
      </c>
      <c r="C105" s="1" t="s">
        <v>136</v>
      </c>
      <c r="D105" s="1" t="s">
        <v>137</v>
      </c>
      <c r="E105" s="58">
        <v>100000</v>
      </c>
    </row>
    <row r="106" spans="2:5" ht="12.95" customHeight="1" x14ac:dyDescent="0.2">
      <c r="B106" s="1" t="s">
        <v>132</v>
      </c>
      <c r="C106" s="1" t="s">
        <v>134</v>
      </c>
      <c r="D106" s="1" t="s">
        <v>138</v>
      </c>
      <c r="E106" s="64">
        <v>14.5038</v>
      </c>
    </row>
    <row r="107" spans="2:5" ht="12.95" customHeight="1" x14ac:dyDescent="0.2">
      <c r="B107" s="1" t="s">
        <v>134</v>
      </c>
      <c r="C107" s="1" t="s">
        <v>136</v>
      </c>
      <c r="D107" s="1" t="s">
        <v>139</v>
      </c>
      <c r="E107" s="62">
        <v>6894.76</v>
      </c>
    </row>
    <row r="108" spans="2:5" ht="12.95" customHeight="1" x14ac:dyDescent="0.2">
      <c r="B108" s="1"/>
      <c r="C108" s="1"/>
      <c r="D108" s="1"/>
      <c r="E108" s="1"/>
    </row>
    <row r="109" spans="2:5" ht="12.95" customHeight="1" x14ac:dyDescent="0.25">
      <c r="B109" s="109" t="s">
        <v>140</v>
      </c>
      <c r="C109" s="110"/>
      <c r="D109" s="110"/>
      <c r="E109" s="111"/>
    </row>
    <row r="110" spans="2:5" ht="12.95" customHeight="1" x14ac:dyDescent="0.2">
      <c r="B110" s="1" t="s">
        <v>141</v>
      </c>
      <c r="C110" s="1" t="s">
        <v>142</v>
      </c>
      <c r="D110" s="1" t="s">
        <v>143</v>
      </c>
      <c r="E110" s="66">
        <v>251.99600000000001</v>
      </c>
    </row>
    <row r="111" spans="2:5" ht="12.95" customHeight="1" x14ac:dyDescent="0.2">
      <c r="B111" s="1" t="s">
        <v>141</v>
      </c>
      <c r="C111" s="1" t="s">
        <v>144</v>
      </c>
      <c r="D111" s="1" t="s">
        <v>145</v>
      </c>
      <c r="E111" s="66">
        <v>1054.18</v>
      </c>
    </row>
    <row r="112" spans="2:5" ht="12.95" customHeight="1" x14ac:dyDescent="0.2">
      <c r="B112" s="1" t="s">
        <v>141</v>
      </c>
      <c r="C112" s="1" t="s">
        <v>146</v>
      </c>
      <c r="D112" s="1" t="s">
        <v>147</v>
      </c>
      <c r="E112" s="32">
        <f>E111/1000</f>
        <v>1.0541800000000001</v>
      </c>
    </row>
    <row r="113" spans="2:5" ht="12.95" customHeight="1" x14ac:dyDescent="0.2">
      <c r="B113" s="1" t="s">
        <v>141</v>
      </c>
      <c r="C113" s="1" t="s">
        <v>148</v>
      </c>
      <c r="D113" s="1" t="s">
        <v>149</v>
      </c>
      <c r="E113" s="58">
        <v>2.92875E-4</v>
      </c>
    </row>
    <row r="114" spans="2:5" ht="12.95" customHeight="1" x14ac:dyDescent="0.2">
      <c r="B114" s="1" t="s">
        <v>141</v>
      </c>
      <c r="C114" s="1" t="s">
        <v>150</v>
      </c>
      <c r="D114" s="1" t="s">
        <v>151</v>
      </c>
      <c r="E114" s="36">
        <f>E111/1000000</f>
        <v>1.05418E-3</v>
      </c>
    </row>
    <row r="115" spans="2:5" s="54" customFormat="1" ht="12.95" customHeight="1" x14ac:dyDescent="0.2">
      <c r="B115" s="54" t="s">
        <v>141</v>
      </c>
      <c r="C115" s="54" t="s">
        <v>166</v>
      </c>
      <c r="D115" s="14" t="s">
        <v>370</v>
      </c>
      <c r="E115" s="33">
        <f>1/thermTOBtu</f>
        <v>1.0000000000000001E-5</v>
      </c>
    </row>
    <row r="116" spans="2:5" ht="12.95" customHeight="1" x14ac:dyDescent="0.2">
      <c r="B116" s="1" t="s">
        <v>141</v>
      </c>
      <c r="C116" s="1" t="s">
        <v>152</v>
      </c>
      <c r="D116" s="1" t="s">
        <v>153</v>
      </c>
      <c r="E116" s="31">
        <f>E113*1000</f>
        <v>0.292875</v>
      </c>
    </row>
    <row r="117" spans="2:5" ht="12.95" customHeight="1" x14ac:dyDescent="0.2">
      <c r="B117" s="1" t="s">
        <v>142</v>
      </c>
      <c r="C117" s="1" t="s">
        <v>141</v>
      </c>
      <c r="D117" s="1" t="s">
        <v>154</v>
      </c>
      <c r="E117" s="36">
        <f>1/E110</f>
        <v>3.9683169574120224E-3</v>
      </c>
    </row>
    <row r="118" spans="2:5" ht="12.95" customHeight="1" x14ac:dyDescent="0.2">
      <c r="B118" s="1" t="s">
        <v>142</v>
      </c>
      <c r="C118" s="1" t="s">
        <v>144</v>
      </c>
      <c r="D118" s="1" t="s">
        <v>155</v>
      </c>
      <c r="E118" s="58">
        <v>4.1840000000000002</v>
      </c>
    </row>
    <row r="119" spans="2:5" ht="12.95" customHeight="1" x14ac:dyDescent="0.2">
      <c r="B119" s="1" t="s">
        <v>156</v>
      </c>
      <c r="C119" s="1" t="s">
        <v>157</v>
      </c>
      <c r="D119" s="1" t="s">
        <v>158</v>
      </c>
      <c r="E119" s="39">
        <f>1/E160</f>
        <v>277.82330993134985</v>
      </c>
    </row>
    <row r="120" spans="2:5" s="54" customFormat="1" ht="12.95" customHeight="1" x14ac:dyDescent="0.2">
      <c r="B120" s="54" t="s">
        <v>159</v>
      </c>
      <c r="C120" s="54" t="s">
        <v>148</v>
      </c>
      <c r="D120" s="14" t="s">
        <v>337</v>
      </c>
      <c r="E120" s="28">
        <f>1/kWhTOgge</f>
        <v>32.258064516129032</v>
      </c>
    </row>
    <row r="121" spans="2:5" ht="12.95" customHeight="1" x14ac:dyDescent="0.2">
      <c r="B121" s="1" t="s">
        <v>159</v>
      </c>
      <c r="C121" s="1" t="s">
        <v>150</v>
      </c>
      <c r="D121" s="1" t="s">
        <v>160</v>
      </c>
      <c r="E121" s="39" t="e">
        <v>#REF!</v>
      </c>
    </row>
    <row r="122" spans="2:5" ht="12.95" customHeight="1" x14ac:dyDescent="0.2">
      <c r="B122" s="1" t="s">
        <v>161</v>
      </c>
      <c r="C122" s="1" t="s">
        <v>162</v>
      </c>
      <c r="D122" s="1" t="s">
        <v>163</v>
      </c>
      <c r="E122" s="31">
        <f>1/E147</f>
        <v>0.2778233099313499</v>
      </c>
    </row>
    <row r="123" spans="2:5" ht="12.95" customHeight="1" x14ac:dyDescent="0.2">
      <c r="B123" s="1" t="s">
        <v>161</v>
      </c>
      <c r="C123" s="1" t="s">
        <v>164</v>
      </c>
      <c r="D123" s="1" t="s">
        <v>165</v>
      </c>
      <c r="E123" s="31">
        <f>kJTOBtu</f>
        <v>0.94860460262953183</v>
      </c>
    </row>
    <row r="124" spans="2:5" ht="12.95" customHeight="1" x14ac:dyDescent="0.2">
      <c r="B124" s="1" t="s">
        <v>161</v>
      </c>
      <c r="C124" s="1" t="s">
        <v>166</v>
      </c>
      <c r="D124" s="1" t="s">
        <v>167</v>
      </c>
      <c r="E124" s="26">
        <f>GJTOmmBtu*mmBtuTOtherm</f>
        <v>9.4860460262953179</v>
      </c>
    </row>
    <row r="125" spans="2:5" ht="12.95" customHeight="1" x14ac:dyDescent="0.2">
      <c r="B125" s="1" t="s">
        <v>144</v>
      </c>
      <c r="C125" s="1" t="s">
        <v>141</v>
      </c>
      <c r="D125" s="1" t="s">
        <v>168</v>
      </c>
      <c r="E125" s="34">
        <f>1/E111</f>
        <v>9.4860460262953192E-4</v>
      </c>
    </row>
    <row r="126" spans="2:5" ht="12.95" customHeight="1" x14ac:dyDescent="0.2">
      <c r="B126" s="1" t="s">
        <v>144</v>
      </c>
      <c r="C126" s="1" t="s">
        <v>142</v>
      </c>
      <c r="D126" s="1" t="s">
        <v>169</v>
      </c>
      <c r="E126" s="31">
        <f>1/E118</f>
        <v>0.23900573613766729</v>
      </c>
    </row>
    <row r="127" spans="2:5" ht="12.95" customHeight="1" x14ac:dyDescent="0.2">
      <c r="B127" s="1" t="s">
        <v>144</v>
      </c>
      <c r="C127" s="1" t="s">
        <v>152</v>
      </c>
      <c r="D127" s="1" t="s">
        <v>170</v>
      </c>
      <c r="E127" s="34">
        <f>1/E163</f>
        <v>2.7782330993134986E-4</v>
      </c>
    </row>
    <row r="128" spans="2:5" ht="12.95" customHeight="1" x14ac:dyDescent="0.2">
      <c r="B128" s="1" t="s">
        <v>171</v>
      </c>
      <c r="C128" s="1" t="s">
        <v>150</v>
      </c>
      <c r="D128" s="1" t="s">
        <v>172</v>
      </c>
      <c r="E128" s="36">
        <f>E118/1000</f>
        <v>4.1840000000000002E-3</v>
      </c>
    </row>
    <row r="129" spans="2:6" ht="12.95" customHeight="1" x14ac:dyDescent="0.2">
      <c r="B129" s="1" t="s">
        <v>146</v>
      </c>
      <c r="C129" s="1" t="s">
        <v>141</v>
      </c>
      <c r="D129" s="1" t="s">
        <v>173</v>
      </c>
      <c r="E129" s="31">
        <f>1/E112</f>
        <v>0.94860460262953183</v>
      </c>
    </row>
    <row r="130" spans="2:6" ht="12.95" customHeight="1" x14ac:dyDescent="0.2">
      <c r="B130" s="1" t="s">
        <v>148</v>
      </c>
      <c r="C130" s="1" t="s">
        <v>141</v>
      </c>
      <c r="D130" s="1" t="s">
        <v>174</v>
      </c>
      <c r="E130" s="40">
        <f>1/E113</f>
        <v>3414.4259496372174</v>
      </c>
    </row>
    <row r="131" spans="2:6" s="54" customFormat="1" ht="12.95" customHeight="1" x14ac:dyDescent="0.2">
      <c r="B131" s="54" t="s">
        <v>148</v>
      </c>
      <c r="C131" s="54" t="s">
        <v>159</v>
      </c>
      <c r="D131" s="54" t="s">
        <v>338</v>
      </c>
      <c r="E131" s="68">
        <v>3.1E-2</v>
      </c>
      <c r="F131" s="14" t="s">
        <v>339</v>
      </c>
    </row>
    <row r="132" spans="2:6" ht="12.95" customHeight="1" x14ac:dyDescent="0.2">
      <c r="B132" s="1" t="s">
        <v>148</v>
      </c>
      <c r="C132" s="1" t="s">
        <v>150</v>
      </c>
      <c r="D132" s="1" t="s">
        <v>175</v>
      </c>
      <c r="E132" s="32">
        <f>E163/1000</f>
        <v>3.5994099999999998</v>
      </c>
    </row>
    <row r="133" spans="2:6" ht="12.95" customHeight="1" x14ac:dyDescent="0.2">
      <c r="B133" s="1" t="s">
        <v>150</v>
      </c>
      <c r="C133" s="1" t="s">
        <v>141</v>
      </c>
      <c r="D133" s="1" t="s">
        <v>176</v>
      </c>
      <c r="E133" s="39">
        <f>1000000/E111</f>
        <v>948.60460262953188</v>
      </c>
    </row>
    <row r="134" spans="2:6" ht="12.95" customHeight="1" x14ac:dyDescent="0.2">
      <c r="B134" s="1" t="s">
        <v>150</v>
      </c>
      <c r="C134" s="1" t="s">
        <v>148</v>
      </c>
      <c r="D134" s="1" t="s">
        <v>177</v>
      </c>
      <c r="E134" s="31">
        <f>1/E132</f>
        <v>0.2778233099313499</v>
      </c>
    </row>
    <row r="135" spans="2:6" ht="12.95" customHeight="1" x14ac:dyDescent="0.2">
      <c r="B135" s="1" t="s">
        <v>150</v>
      </c>
      <c r="C135" s="1" t="s">
        <v>171</v>
      </c>
      <c r="D135" s="1" t="s">
        <v>178</v>
      </c>
      <c r="E135" s="39">
        <f>1/E128</f>
        <v>239.0057361376673</v>
      </c>
    </row>
    <row r="136" spans="2:6" s="253" customFormat="1" ht="12.95" customHeight="1" x14ac:dyDescent="0.2">
      <c r="B136" s="253" t="s">
        <v>150</v>
      </c>
      <c r="C136" s="253" t="s">
        <v>164</v>
      </c>
      <c r="D136" s="253" t="s">
        <v>1155</v>
      </c>
      <c r="E136" s="42">
        <f>MJTOBtu*10^-6</f>
        <v>9.4860460262953181E-4</v>
      </c>
    </row>
    <row r="137" spans="2:6" ht="12.95" customHeight="1" x14ac:dyDescent="0.2">
      <c r="B137" s="1" t="s">
        <v>150</v>
      </c>
      <c r="C137" s="1" t="s">
        <v>162</v>
      </c>
      <c r="D137" s="1" t="s">
        <v>179</v>
      </c>
      <c r="E137" s="34">
        <f>MJTOkWh/1000</f>
        <v>2.7782330993134991E-4</v>
      </c>
    </row>
    <row r="138" spans="2:6" ht="12.95" customHeight="1" x14ac:dyDescent="0.2">
      <c r="B138" s="1" t="s">
        <v>150</v>
      </c>
      <c r="C138" s="1" t="s">
        <v>166</v>
      </c>
      <c r="D138" s="1" t="s">
        <v>180</v>
      </c>
      <c r="E138" s="41">
        <f>GJTOtherm/1000</f>
        <v>9.4860460262953181E-3</v>
      </c>
    </row>
    <row r="139" spans="2:6" ht="12.95" customHeight="1" x14ac:dyDescent="0.2">
      <c r="B139" s="1" t="s">
        <v>164</v>
      </c>
      <c r="C139" s="1" t="s">
        <v>150</v>
      </c>
      <c r="D139" s="1" t="s">
        <v>181</v>
      </c>
      <c r="E139" s="30">
        <f>BtuTOJ</f>
        <v>1054.18</v>
      </c>
    </row>
    <row r="140" spans="2:6" ht="12.95" customHeight="1" x14ac:dyDescent="0.2">
      <c r="B140" s="1" t="s">
        <v>164</v>
      </c>
      <c r="C140" s="1" t="s">
        <v>162</v>
      </c>
      <c r="D140" s="1" t="s">
        <v>182</v>
      </c>
      <c r="E140" s="31">
        <f>E113*1000</f>
        <v>0.292875</v>
      </c>
    </row>
    <row r="141" spans="2:6" ht="12.95" customHeight="1" x14ac:dyDescent="0.2">
      <c r="B141" s="1" t="s">
        <v>164</v>
      </c>
      <c r="C141" s="1" t="s">
        <v>166</v>
      </c>
      <c r="D141" s="1" t="s">
        <v>183</v>
      </c>
      <c r="E141" s="62">
        <v>10</v>
      </c>
    </row>
    <row r="142" spans="2:6" ht="12.95" customHeight="1" x14ac:dyDescent="0.2">
      <c r="B142" s="1" t="s">
        <v>164</v>
      </c>
      <c r="C142" s="1" t="s">
        <v>184</v>
      </c>
      <c r="D142" s="1" t="s">
        <v>185</v>
      </c>
      <c r="E142" s="41">
        <f>mmBtuTOMJ/1000000</f>
        <v>1.05418E-3</v>
      </c>
    </row>
    <row r="143" spans="2:6" ht="12.95" customHeight="1" x14ac:dyDescent="0.2">
      <c r="B143" s="1" t="s">
        <v>186</v>
      </c>
      <c r="C143" s="1" t="s">
        <v>187</v>
      </c>
      <c r="D143" s="1" t="s">
        <v>188</v>
      </c>
      <c r="E143" s="59">
        <v>11630</v>
      </c>
    </row>
    <row r="144" spans="2:6" ht="12.95" customHeight="1" x14ac:dyDescent="0.2">
      <c r="B144" s="1" t="s">
        <v>186</v>
      </c>
      <c r="C144" s="1" t="s">
        <v>164</v>
      </c>
      <c r="D144" s="1" t="s">
        <v>189</v>
      </c>
      <c r="E144" s="65">
        <v>39680000</v>
      </c>
    </row>
    <row r="145" spans="2:5" ht="12.95" customHeight="1" x14ac:dyDescent="0.2">
      <c r="B145" s="1" t="s">
        <v>186</v>
      </c>
      <c r="C145" s="1" t="s">
        <v>184</v>
      </c>
      <c r="D145" s="1" t="s">
        <v>190</v>
      </c>
      <c r="E145" s="59">
        <v>41868</v>
      </c>
    </row>
    <row r="146" spans="2:5" ht="12.95" customHeight="1" x14ac:dyDescent="0.2">
      <c r="B146" s="1" t="s">
        <v>301</v>
      </c>
      <c r="C146" s="1" t="s">
        <v>162</v>
      </c>
      <c r="D146" s="1" t="s">
        <v>302</v>
      </c>
      <c r="E146" s="30">
        <f>yrTOhr</f>
        <v>8760</v>
      </c>
    </row>
    <row r="147" spans="2:5" ht="12.95" customHeight="1" x14ac:dyDescent="0.2">
      <c r="B147" s="1" t="s">
        <v>162</v>
      </c>
      <c r="C147" s="1" t="s">
        <v>161</v>
      </c>
      <c r="D147" s="1" t="s">
        <v>191</v>
      </c>
      <c r="E147" s="32">
        <f>E132</f>
        <v>3.5994099999999998</v>
      </c>
    </row>
    <row r="148" spans="2:5" ht="12.95" customHeight="1" x14ac:dyDescent="0.2">
      <c r="B148" s="1" t="s">
        <v>162</v>
      </c>
      <c r="C148" s="1" t="s">
        <v>164</v>
      </c>
      <c r="D148" s="1" t="s">
        <v>192</v>
      </c>
      <c r="E148" s="32">
        <f>1/E140</f>
        <v>3.4144259496372174</v>
      </c>
    </row>
    <row r="149" spans="2:5" ht="12.95" customHeight="1" x14ac:dyDescent="0.2">
      <c r="B149" s="1" t="s">
        <v>162</v>
      </c>
      <c r="C149" s="1" t="s">
        <v>301</v>
      </c>
      <c r="D149" s="1" t="s">
        <v>303</v>
      </c>
      <c r="E149" s="42">
        <f>hrTOyr</f>
        <v>1.1415525114155251E-4</v>
      </c>
    </row>
    <row r="150" spans="2:5" ht="12.95" customHeight="1" x14ac:dyDescent="0.2">
      <c r="B150" s="1" t="s">
        <v>162</v>
      </c>
      <c r="C150" s="1" t="s">
        <v>184</v>
      </c>
      <c r="D150" s="1" t="s">
        <v>193</v>
      </c>
      <c r="E150" s="36">
        <f>MWhTOGJ/1000</f>
        <v>3.5994099999999999E-3</v>
      </c>
    </row>
    <row r="151" spans="2:5" ht="12.95" customHeight="1" x14ac:dyDescent="0.2">
      <c r="B151" s="1" t="s">
        <v>194</v>
      </c>
      <c r="C151" s="1" t="s">
        <v>156</v>
      </c>
      <c r="D151" s="1" t="s">
        <v>195</v>
      </c>
      <c r="E151" s="32">
        <f>quadTOTWh*TWhTOEJ</f>
        <v>1.0541772037499999</v>
      </c>
    </row>
    <row r="152" spans="2:5" ht="12.95" customHeight="1" x14ac:dyDescent="0.2">
      <c r="B152" s="1" t="s">
        <v>194</v>
      </c>
      <c r="C152" s="1" t="s">
        <v>157</v>
      </c>
      <c r="D152" s="1" t="s">
        <v>196</v>
      </c>
      <c r="E152" s="29">
        <f>1/E161</f>
        <v>292.875</v>
      </c>
    </row>
    <row r="153" spans="2:5" ht="12.95" customHeight="1" x14ac:dyDescent="0.2">
      <c r="B153" s="1" t="s">
        <v>166</v>
      </c>
      <c r="C153" s="1" t="s">
        <v>141</v>
      </c>
      <c r="D153" s="1" t="s">
        <v>197</v>
      </c>
      <c r="E153" s="59">
        <v>100000</v>
      </c>
    </row>
    <row r="154" spans="2:5" ht="12.95" customHeight="1" x14ac:dyDescent="0.2">
      <c r="B154" s="1" t="s">
        <v>166</v>
      </c>
      <c r="C154" s="1" t="s">
        <v>161</v>
      </c>
      <c r="D154" s="1" t="s">
        <v>198</v>
      </c>
      <c r="E154" s="41">
        <f>1/GJTOtherm</f>
        <v>0.10541800000000003</v>
      </c>
    </row>
    <row r="155" spans="2:5" ht="12.95" customHeight="1" x14ac:dyDescent="0.2">
      <c r="B155" s="1" t="s">
        <v>166</v>
      </c>
      <c r="C155" s="1" t="s">
        <v>148</v>
      </c>
      <c r="D155" s="1" t="s">
        <v>199</v>
      </c>
      <c r="E155" s="28">
        <f>thermTOBtu*BtuTOkWh</f>
        <v>29.287500000000001</v>
      </c>
    </row>
    <row r="156" spans="2:5" ht="12.95" customHeight="1" x14ac:dyDescent="0.2">
      <c r="B156" s="1" t="s">
        <v>166</v>
      </c>
      <c r="C156" s="1" t="s">
        <v>150</v>
      </c>
      <c r="D156" s="1" t="s">
        <v>200</v>
      </c>
      <c r="E156" s="29">
        <f>1/MJTOtherm</f>
        <v>105.41800000000002</v>
      </c>
    </row>
    <row r="157" spans="2:5" s="54" customFormat="1" ht="12.95" customHeight="1" x14ac:dyDescent="0.2">
      <c r="B157" s="54" t="s">
        <v>166</v>
      </c>
      <c r="C157" s="54" t="s">
        <v>164</v>
      </c>
      <c r="D157" s="14" t="s">
        <v>351</v>
      </c>
      <c r="E157" s="38">
        <f>thermTOBtu/10^6</f>
        <v>0.1</v>
      </c>
    </row>
    <row r="158" spans="2:5" ht="12.95" customHeight="1" x14ac:dyDescent="0.2">
      <c r="B158" s="1" t="s">
        <v>166</v>
      </c>
      <c r="C158" s="1" t="s">
        <v>184</v>
      </c>
      <c r="D158" s="1" t="s">
        <v>201</v>
      </c>
      <c r="E158" s="27">
        <f>thermTOMJ/1000000</f>
        <v>1.0541800000000003E-4</v>
      </c>
    </row>
    <row r="159" spans="2:5" s="253" customFormat="1" ht="12.95" customHeight="1" x14ac:dyDescent="0.2">
      <c r="B159" s="253" t="s">
        <v>184</v>
      </c>
      <c r="C159" s="253" t="s">
        <v>164</v>
      </c>
      <c r="D159" s="253" t="s">
        <v>1382</v>
      </c>
      <c r="E159" s="29">
        <f>1/mmBtuTOTJ</f>
        <v>948.60460262953188</v>
      </c>
    </row>
    <row r="160" spans="2:5" ht="12.95" customHeight="1" x14ac:dyDescent="0.2">
      <c r="B160" s="1" t="s">
        <v>157</v>
      </c>
      <c r="C160" s="1" t="s">
        <v>156</v>
      </c>
      <c r="D160" s="1" t="s">
        <v>202</v>
      </c>
      <c r="E160" s="36">
        <f>WhTOJ/1000000</f>
        <v>3.5994099999999999E-3</v>
      </c>
    </row>
    <row r="161" spans="2:5" ht="12.95" customHeight="1" x14ac:dyDescent="0.2">
      <c r="B161" s="1" t="s">
        <v>157</v>
      </c>
      <c r="C161" s="1" t="s">
        <v>194</v>
      </c>
      <c r="D161" s="1" t="s">
        <v>203</v>
      </c>
      <c r="E161" s="36">
        <f>E148/1000</f>
        <v>3.4144259496372174E-3</v>
      </c>
    </row>
    <row r="162" spans="2:5" ht="12.95" customHeight="1" x14ac:dyDescent="0.2">
      <c r="B162" s="1" t="s">
        <v>152</v>
      </c>
      <c r="C162" s="1" t="s">
        <v>141</v>
      </c>
      <c r="D162" s="1" t="s">
        <v>204</v>
      </c>
      <c r="E162" s="32">
        <f>1/E116</f>
        <v>3.4144259496372174</v>
      </c>
    </row>
    <row r="163" spans="2:5" ht="12.95" customHeight="1" x14ac:dyDescent="0.2">
      <c r="B163" s="1" t="s">
        <v>152</v>
      </c>
      <c r="C163" s="1" t="s">
        <v>144</v>
      </c>
      <c r="D163" s="1" t="s">
        <v>205</v>
      </c>
      <c r="E163" s="58">
        <v>3599.41</v>
      </c>
    </row>
    <row r="164" spans="2:5" ht="12.95" customHeight="1" x14ac:dyDescent="0.2">
      <c r="B164" s="1"/>
      <c r="C164" s="1"/>
      <c r="D164" s="1"/>
      <c r="E164" s="1"/>
    </row>
    <row r="165" spans="2:5" ht="12.95" customHeight="1" x14ac:dyDescent="0.25">
      <c r="B165" s="109" t="s">
        <v>206</v>
      </c>
      <c r="C165" s="110"/>
      <c r="D165" s="110"/>
      <c r="E165" s="111"/>
    </row>
    <row r="166" spans="2:5" ht="12.95" customHeight="1" x14ac:dyDescent="0.2">
      <c r="B166" s="1" t="s">
        <v>207</v>
      </c>
      <c r="C166" s="1" t="s">
        <v>208</v>
      </c>
      <c r="D166" s="1" t="s">
        <v>209</v>
      </c>
      <c r="E166" s="31">
        <f>1000/E36</f>
        <v>0.27777777777777779</v>
      </c>
    </row>
    <row r="167" spans="2:5" ht="12.95" customHeight="1" x14ac:dyDescent="0.2">
      <c r="B167" s="1" t="s">
        <v>210</v>
      </c>
      <c r="C167" s="1" t="s">
        <v>211</v>
      </c>
      <c r="D167" s="1" t="s">
        <v>212</v>
      </c>
      <c r="E167" s="59">
        <v>1000000</v>
      </c>
    </row>
    <row r="168" spans="2:5" ht="12.95" customHeight="1" x14ac:dyDescent="0.2">
      <c r="B168" s="1" t="s">
        <v>210</v>
      </c>
      <c r="C168" s="1" t="s">
        <v>213</v>
      </c>
      <c r="D168" s="1" t="s">
        <v>214</v>
      </c>
      <c r="E168" s="33">
        <f>1/E175</f>
        <v>2.9910371318822026E-2</v>
      </c>
    </row>
    <row r="169" spans="2:5" ht="12.95" customHeight="1" x14ac:dyDescent="0.2">
      <c r="B169" s="1" t="s">
        <v>210</v>
      </c>
      <c r="C169" s="1" t="s">
        <v>215</v>
      </c>
      <c r="D169" s="1" t="s">
        <v>216</v>
      </c>
      <c r="E169" s="26">
        <f>1/E176</f>
        <v>8.76</v>
      </c>
    </row>
    <row r="170" spans="2:5" ht="12.95" customHeight="1" x14ac:dyDescent="0.2">
      <c r="B170" s="1" t="s">
        <v>217</v>
      </c>
      <c r="C170" s="1" t="s">
        <v>211</v>
      </c>
      <c r="D170" s="1" t="s">
        <v>218</v>
      </c>
      <c r="E170" s="58">
        <v>0.746</v>
      </c>
    </row>
    <row r="171" spans="2:5" ht="12.95" customHeight="1" x14ac:dyDescent="0.2">
      <c r="B171" s="1" t="s">
        <v>211</v>
      </c>
      <c r="C171" s="1" t="s">
        <v>217</v>
      </c>
      <c r="D171" s="1" t="s">
        <v>219</v>
      </c>
      <c r="E171" s="32">
        <f>1/E170</f>
        <v>1.3404825737265416</v>
      </c>
    </row>
    <row r="172" spans="2:5" ht="12.95" customHeight="1" x14ac:dyDescent="0.2">
      <c r="B172" s="1" t="s">
        <v>220</v>
      </c>
      <c r="C172" s="1" t="s">
        <v>211</v>
      </c>
      <c r="D172" s="1" t="s">
        <v>221</v>
      </c>
      <c r="E172" s="38">
        <f>GJ.hrTOMW</f>
        <v>0.27777777777777779</v>
      </c>
    </row>
    <row r="173" spans="2:5" ht="12.95" customHeight="1" x14ac:dyDescent="0.2">
      <c r="B173" s="1" t="s">
        <v>208</v>
      </c>
      <c r="C173" s="1" t="s">
        <v>207</v>
      </c>
      <c r="D173" s="1" t="s">
        <v>222</v>
      </c>
      <c r="E173" s="32">
        <f>1/E166</f>
        <v>3.5999999999999996</v>
      </c>
    </row>
    <row r="174" spans="2:5" ht="12.95" customHeight="1" x14ac:dyDescent="0.2">
      <c r="B174" s="1" t="s">
        <v>208</v>
      </c>
      <c r="C174" s="1" t="s">
        <v>211</v>
      </c>
      <c r="D174" s="1" t="s">
        <v>223</v>
      </c>
      <c r="E174" s="59">
        <v>1000</v>
      </c>
    </row>
    <row r="175" spans="2:5" ht="12.95" customHeight="1" x14ac:dyDescent="0.2">
      <c r="B175" s="1" t="s">
        <v>213</v>
      </c>
      <c r="C175" s="1" t="s">
        <v>210</v>
      </c>
      <c r="D175" s="1" t="s">
        <v>224</v>
      </c>
      <c r="E175" s="28">
        <f>quadTOTWh*hrTOyr*1000</f>
        <v>33.43321917808219</v>
      </c>
    </row>
    <row r="176" spans="2:5" ht="12.95" customHeight="1" x14ac:dyDescent="0.2">
      <c r="B176" s="1" t="s">
        <v>215</v>
      </c>
      <c r="C176" s="1" t="s">
        <v>210</v>
      </c>
      <c r="D176" s="1" t="s">
        <v>225</v>
      </c>
      <c r="E176" s="38">
        <f>1000*hrTOyr</f>
        <v>0.11415525114155251</v>
      </c>
    </row>
    <row r="177" spans="2:5" ht="12.95" customHeight="1" x14ac:dyDescent="0.2">
      <c r="B177" s="1"/>
      <c r="C177" s="1"/>
      <c r="D177" s="1"/>
      <c r="E177" s="1"/>
    </row>
    <row r="178" spans="2:5" ht="12.95" customHeight="1" x14ac:dyDescent="0.25">
      <c r="B178" s="109" t="s">
        <v>226</v>
      </c>
      <c r="C178" s="110"/>
      <c r="D178" s="110"/>
      <c r="E178" s="111"/>
    </row>
    <row r="179" spans="2:5" ht="12.95" customHeight="1" x14ac:dyDescent="0.2">
      <c r="B179" s="1" t="s">
        <v>227</v>
      </c>
      <c r="C179" s="1" t="s">
        <v>228</v>
      </c>
      <c r="D179" s="1" t="s">
        <v>229</v>
      </c>
      <c r="E179" s="58">
        <v>6.3089999999999993E-2</v>
      </c>
    </row>
    <row r="180" spans="2:5" ht="12.95" customHeight="1" x14ac:dyDescent="0.2">
      <c r="B180" s="1" t="s">
        <v>230</v>
      </c>
      <c r="C180" s="1" t="s">
        <v>227</v>
      </c>
      <c r="D180" s="1" t="s">
        <v>231</v>
      </c>
      <c r="E180" s="25">
        <f>1/E179</f>
        <v>15.85037248375337</v>
      </c>
    </row>
    <row r="181" spans="2:5" ht="12.95" customHeight="1" x14ac:dyDescent="0.2">
      <c r="B181" s="1" t="s">
        <v>306</v>
      </c>
      <c r="C181" s="1" t="s">
        <v>227</v>
      </c>
      <c r="D181" s="1" t="s">
        <v>232</v>
      </c>
      <c r="E181" s="38">
        <f>L.sTOgpm*41:41/LTOm3</f>
        <v>0.1834522111269615</v>
      </c>
    </row>
    <row r="182" spans="2:5" ht="12.95" customHeight="1" x14ac:dyDescent="0.2">
      <c r="B182" s="1"/>
      <c r="C182" s="1"/>
      <c r="D182" s="1"/>
      <c r="E182" s="1"/>
    </row>
    <row r="183" spans="2:5" ht="12.95" customHeight="1" x14ac:dyDescent="0.25">
      <c r="B183" s="109" t="s">
        <v>233</v>
      </c>
      <c r="C183" s="110"/>
      <c r="D183" s="110"/>
      <c r="E183" s="111"/>
    </row>
    <row r="184" spans="2:5" ht="12.95" customHeight="1" x14ac:dyDescent="0.2">
      <c r="B184" s="1" t="s">
        <v>234</v>
      </c>
      <c r="C184" s="1" t="s">
        <v>235</v>
      </c>
      <c r="D184" s="1" t="s">
        <v>236</v>
      </c>
      <c r="E184" s="36">
        <f>1/(E170*1000)</f>
        <v>1.3404825737265416E-3</v>
      </c>
    </row>
    <row r="185" spans="2:5" ht="12.95" customHeight="1" x14ac:dyDescent="0.2">
      <c r="B185" s="1" t="s">
        <v>237</v>
      </c>
      <c r="C185" s="1" t="s">
        <v>235</v>
      </c>
      <c r="D185" s="1" t="s">
        <v>238</v>
      </c>
      <c r="E185" s="34">
        <f>1/E188</f>
        <v>9.4860460262953192E-4</v>
      </c>
    </row>
    <row r="186" spans="2:5" ht="12.95" customHeight="1" x14ac:dyDescent="0.2">
      <c r="B186" s="1" t="s">
        <v>239</v>
      </c>
      <c r="C186" s="1" t="s">
        <v>235</v>
      </c>
      <c r="D186" s="1" t="s">
        <v>240</v>
      </c>
      <c r="E186" s="31">
        <f>1/E189</f>
        <v>0.94860460262953183</v>
      </c>
    </row>
    <row r="187" spans="2:5" ht="12.95" customHeight="1" x14ac:dyDescent="0.2">
      <c r="B187" s="1" t="s">
        <v>235</v>
      </c>
      <c r="C187" s="1" t="s">
        <v>234</v>
      </c>
      <c r="D187" s="1" t="s">
        <v>241</v>
      </c>
      <c r="E187" s="39">
        <f>1/E184</f>
        <v>746</v>
      </c>
    </row>
    <row r="188" spans="2:5" ht="12.95" customHeight="1" x14ac:dyDescent="0.2">
      <c r="B188" s="1" t="s">
        <v>235</v>
      </c>
      <c r="C188" s="1" t="s">
        <v>237</v>
      </c>
      <c r="D188" s="1" t="s">
        <v>242</v>
      </c>
      <c r="E188" s="40">
        <f>E111</f>
        <v>1054.18</v>
      </c>
    </row>
    <row r="189" spans="2:5" ht="12.95" customHeight="1" x14ac:dyDescent="0.2">
      <c r="B189" s="1" t="s">
        <v>235</v>
      </c>
      <c r="C189" s="1" t="s">
        <v>239</v>
      </c>
      <c r="D189" s="1" t="s">
        <v>243</v>
      </c>
      <c r="E189" s="32">
        <f>E112</f>
        <v>1.0541800000000001</v>
      </c>
    </row>
    <row r="190" spans="2:5" ht="12.95" customHeight="1" x14ac:dyDescent="0.2">
      <c r="B190" s="1"/>
      <c r="C190" s="1"/>
      <c r="D190" s="1"/>
      <c r="E190" s="1"/>
    </row>
    <row r="191" spans="2:5" ht="12.95" customHeight="1" x14ac:dyDescent="0.25">
      <c r="B191" s="109" t="s">
        <v>244</v>
      </c>
      <c r="C191" s="110"/>
      <c r="D191" s="110"/>
      <c r="E191" s="111"/>
    </row>
    <row r="192" spans="2:5" ht="12.95" customHeight="1" x14ac:dyDescent="0.2">
      <c r="B192" s="1" t="s">
        <v>245</v>
      </c>
      <c r="C192" s="1" t="s">
        <v>246</v>
      </c>
      <c r="D192" s="1" t="s">
        <v>247</v>
      </c>
      <c r="E192" s="32">
        <f>E18*E171</f>
        <v>2.9552084958698002</v>
      </c>
    </row>
    <row r="193" spans="2:5" ht="12.95" customHeight="1" x14ac:dyDescent="0.2">
      <c r="B193" s="1" t="s">
        <v>248</v>
      </c>
      <c r="C193" s="1" t="s">
        <v>246</v>
      </c>
      <c r="D193" s="1" t="s">
        <v>249</v>
      </c>
      <c r="E193" s="32">
        <f>E18</f>
        <v>2.204585537918871</v>
      </c>
    </row>
    <row r="194" spans="2:5" ht="12.95" customHeight="1" x14ac:dyDescent="0.2">
      <c r="B194" s="1" t="s">
        <v>250</v>
      </c>
      <c r="C194" s="1" t="s">
        <v>246</v>
      </c>
      <c r="D194" s="1" t="s">
        <v>251</v>
      </c>
      <c r="E194" s="32">
        <f>1/E200</f>
        <v>7.9352072310405646</v>
      </c>
    </row>
    <row r="195" spans="2:5" ht="12.95" customHeight="1" x14ac:dyDescent="0.2">
      <c r="B195" s="1" t="s">
        <v>252</v>
      </c>
      <c r="C195" s="1" t="s">
        <v>253</v>
      </c>
      <c r="D195" s="1" t="s">
        <v>254</v>
      </c>
      <c r="E195" s="34">
        <f>E21</f>
        <v>4.5360000000000002E-4</v>
      </c>
    </row>
    <row r="196" spans="2:5" ht="12.95" customHeight="1" x14ac:dyDescent="0.2">
      <c r="B196" s="1" t="s">
        <v>252</v>
      </c>
      <c r="C196" s="1" t="s">
        <v>255</v>
      </c>
      <c r="D196" s="1" t="s">
        <v>256</v>
      </c>
      <c r="E196" s="39">
        <f>1/E202</f>
        <v>430.28704775275571</v>
      </c>
    </row>
    <row r="197" spans="2:5" ht="12.95" customHeight="1" x14ac:dyDescent="0.2">
      <c r="B197" s="1" t="s">
        <v>252</v>
      </c>
      <c r="C197" s="1" t="s">
        <v>257</v>
      </c>
      <c r="D197" s="1" t="s">
        <v>258</v>
      </c>
      <c r="E197" s="31">
        <f>1/E203</f>
        <v>0.45360000000000006</v>
      </c>
    </row>
    <row r="198" spans="2:5" ht="12.95" customHeight="1" x14ac:dyDescent="0.2">
      <c r="B198" s="1" t="s">
        <v>246</v>
      </c>
      <c r="C198" s="1" t="s">
        <v>245</v>
      </c>
      <c r="D198" s="1" t="s">
        <v>259</v>
      </c>
      <c r="E198" s="31">
        <f>1/E192</f>
        <v>0.33838560000000006</v>
      </c>
    </row>
    <row r="199" spans="2:5" ht="12.95" customHeight="1" x14ac:dyDescent="0.2">
      <c r="B199" s="1" t="s">
        <v>246</v>
      </c>
      <c r="C199" s="1" t="s">
        <v>248</v>
      </c>
      <c r="D199" s="1" t="s">
        <v>260</v>
      </c>
      <c r="E199" s="27">
        <f>1/E193</f>
        <v>0.45360000000000006</v>
      </c>
    </row>
    <row r="200" spans="2:5" ht="12.95" customHeight="1" x14ac:dyDescent="0.2">
      <c r="B200" s="1" t="s">
        <v>246</v>
      </c>
      <c r="C200" s="1" t="s">
        <v>250</v>
      </c>
      <c r="D200" s="1" t="s">
        <v>261</v>
      </c>
      <c r="E200" s="31">
        <f>E20/E147</f>
        <v>0.12602065338486029</v>
      </c>
    </row>
    <row r="201" spans="2:5" ht="12.95" customHeight="1" x14ac:dyDescent="0.2">
      <c r="B201" s="1" t="s">
        <v>246</v>
      </c>
      <c r="C201" s="1" t="s">
        <v>262</v>
      </c>
      <c r="D201" s="1" t="s">
        <v>263</v>
      </c>
      <c r="E201" s="27">
        <f>1/E204</f>
        <v>0.5</v>
      </c>
    </row>
    <row r="202" spans="2:5" ht="12.95" customHeight="1" x14ac:dyDescent="0.2">
      <c r="B202" s="1" t="s">
        <v>255</v>
      </c>
      <c r="C202" s="1" t="s">
        <v>252</v>
      </c>
      <c r="D202" s="1" t="s">
        <v>264</v>
      </c>
      <c r="E202" s="36">
        <f>E18/(E125*1000000)</f>
        <v>2.3240299823633157E-3</v>
      </c>
    </row>
    <row r="203" spans="2:5" ht="12.95" customHeight="1" x14ac:dyDescent="0.2">
      <c r="B203" s="1" t="s">
        <v>257</v>
      </c>
      <c r="C203" s="1" t="s">
        <v>252</v>
      </c>
      <c r="D203" s="1" t="s">
        <v>265</v>
      </c>
      <c r="E203" s="32">
        <f>E18</f>
        <v>2.204585537918871</v>
      </c>
    </row>
    <row r="204" spans="2:5" ht="12.95" customHeight="1" x14ac:dyDescent="0.2">
      <c r="B204" s="1" t="s">
        <v>262</v>
      </c>
      <c r="C204" s="1" t="s">
        <v>246</v>
      </c>
      <c r="D204" s="1" t="s">
        <v>266</v>
      </c>
      <c r="E204" s="32">
        <f>2000/1000</f>
        <v>2</v>
      </c>
    </row>
    <row r="205" spans="2:5" ht="12.95" customHeight="1" x14ac:dyDescent="0.2">
      <c r="B205" s="1"/>
      <c r="C205" s="1"/>
      <c r="D205" s="1"/>
      <c r="E205" s="1"/>
    </row>
    <row r="206" spans="2:5" ht="12.95" customHeight="1" x14ac:dyDescent="0.25">
      <c r="B206" s="109" t="s">
        <v>267</v>
      </c>
      <c r="C206" s="110"/>
      <c r="D206" s="110"/>
      <c r="E206" s="111"/>
    </row>
    <row r="207" spans="2:5" ht="12.95" customHeight="1" x14ac:dyDescent="0.2">
      <c r="B207" s="1" t="s">
        <v>268</v>
      </c>
      <c r="C207" s="1" t="s">
        <v>269</v>
      </c>
      <c r="D207" s="1" t="s">
        <v>270</v>
      </c>
      <c r="E207" s="41">
        <f>E112/(E20*1000)</f>
        <v>2.3240299823633157E-3</v>
      </c>
    </row>
    <row r="208" spans="2:5" ht="12.95" customHeight="1" x14ac:dyDescent="0.2">
      <c r="B208" s="1" t="s">
        <v>268</v>
      </c>
      <c r="C208" s="1" t="s">
        <v>271</v>
      </c>
      <c r="D208" s="1" t="s">
        <v>272</v>
      </c>
      <c r="E208" s="41">
        <f>1/E213</f>
        <v>2E-3</v>
      </c>
    </row>
    <row r="209" spans="2:5" ht="12.95" customHeight="1" x14ac:dyDescent="0.2">
      <c r="B209" s="1" t="s">
        <v>273</v>
      </c>
      <c r="C209" s="1" t="s">
        <v>269</v>
      </c>
      <c r="D209" s="1" t="s">
        <v>274</v>
      </c>
      <c r="E209" s="41">
        <f>E132/(E20*2000)</f>
        <v>3.9676036155202815E-3</v>
      </c>
    </row>
    <row r="210" spans="2:5" ht="12.95" customHeight="1" x14ac:dyDescent="0.2">
      <c r="B210" s="1" t="s">
        <v>269</v>
      </c>
      <c r="C210" s="1" t="s">
        <v>268</v>
      </c>
      <c r="D210" s="1" t="s">
        <v>275</v>
      </c>
      <c r="E210" s="39">
        <f>1/E207</f>
        <v>430.28704775275571</v>
      </c>
    </row>
    <row r="211" spans="2:5" ht="12.95" customHeight="1" x14ac:dyDescent="0.2">
      <c r="B211" s="1" t="s">
        <v>269</v>
      </c>
      <c r="C211" s="1" t="s">
        <v>273</v>
      </c>
      <c r="D211" s="1" t="s">
        <v>276</v>
      </c>
      <c r="E211" s="29">
        <f>1/E209</f>
        <v>252.04130676972062</v>
      </c>
    </row>
    <row r="212" spans="2:5" ht="12.95" customHeight="1" x14ac:dyDescent="0.2">
      <c r="B212" s="1" t="s">
        <v>269</v>
      </c>
      <c r="C212" s="1" t="s">
        <v>271</v>
      </c>
      <c r="D212" s="1" t="s">
        <v>277</v>
      </c>
      <c r="E212" s="38">
        <f>MJ.kgTOBtu.lb*Btu.lbTOmmBtu.ton</f>
        <v>0.86057409550551145</v>
      </c>
    </row>
    <row r="213" spans="2:5" ht="12.95" customHeight="1" x14ac:dyDescent="0.2">
      <c r="B213" s="1" t="s">
        <v>271</v>
      </c>
      <c r="C213" s="1" t="s">
        <v>268</v>
      </c>
      <c r="D213" s="1" t="s">
        <v>278</v>
      </c>
      <c r="E213" s="29">
        <f>1000000/E27</f>
        <v>500</v>
      </c>
    </row>
    <row r="214" spans="2:5" ht="12.95" customHeight="1" x14ac:dyDescent="0.2">
      <c r="B214" s="1"/>
      <c r="C214" s="1"/>
      <c r="D214" s="1"/>
      <c r="E214" s="23"/>
    </row>
    <row r="215" spans="2:5" ht="12.95" customHeight="1" x14ac:dyDescent="0.25">
      <c r="B215" s="109" t="s">
        <v>279</v>
      </c>
      <c r="C215" s="110"/>
      <c r="D215" s="110"/>
      <c r="E215" s="111"/>
    </row>
    <row r="216" spans="2:5" ht="12.95" customHeight="1" x14ac:dyDescent="0.2">
      <c r="B216" s="1" t="s">
        <v>280</v>
      </c>
      <c r="C216" s="1" t="s">
        <v>281</v>
      </c>
      <c r="D216" s="1" t="s">
        <v>282</v>
      </c>
      <c r="E216" s="35">
        <f>BtuTOkJ/(1000*ft3TOm3)</f>
        <v>3.7223870056497181E-2</v>
      </c>
    </row>
    <row r="217" spans="2:5" ht="12.95" customHeight="1" x14ac:dyDescent="0.2">
      <c r="B217" s="1" t="s">
        <v>281</v>
      </c>
      <c r="C217" s="1" t="s">
        <v>280</v>
      </c>
      <c r="D217" s="1" t="s">
        <v>283</v>
      </c>
      <c r="E217" s="25">
        <f>1/E216</f>
        <v>26.864482346468339</v>
      </c>
    </row>
    <row r="218" spans="2:5" ht="12.95" customHeight="1" x14ac:dyDescent="0.2">
      <c r="B218" s="1"/>
      <c r="C218" s="1"/>
      <c r="D218" s="1"/>
      <c r="E218" s="22"/>
    </row>
    <row r="219" spans="2:5" ht="12.95" customHeight="1" x14ac:dyDescent="0.25">
      <c r="B219" s="109" t="s">
        <v>284</v>
      </c>
      <c r="C219" s="110"/>
      <c r="D219" s="110"/>
      <c r="E219" s="111"/>
    </row>
    <row r="220" spans="2:5" ht="12.95" customHeight="1" x14ac:dyDescent="0.2">
      <c r="B220" s="1" t="s">
        <v>285</v>
      </c>
      <c r="C220" s="1" t="s">
        <v>286</v>
      </c>
      <c r="D220" s="1" t="s">
        <v>287</v>
      </c>
      <c r="E220" s="26">
        <f>kmTOmi*E88</f>
        <v>2.3526413921690494</v>
      </c>
    </row>
    <row r="221" spans="2:5" ht="12.95" customHeight="1" x14ac:dyDescent="0.2">
      <c r="B221" s="1"/>
      <c r="C221" s="1"/>
      <c r="D221" s="1"/>
      <c r="E221" s="22"/>
    </row>
    <row r="222" spans="2:5" ht="12.95" customHeight="1" x14ac:dyDescent="0.25">
      <c r="B222" s="109" t="s">
        <v>299</v>
      </c>
      <c r="C222" s="110"/>
      <c r="D222" s="110"/>
      <c r="E222" s="111"/>
    </row>
    <row r="223" spans="2:5" ht="12.95" customHeight="1" x14ac:dyDescent="0.2">
      <c r="B223" s="1" t="s">
        <v>288</v>
      </c>
      <c r="C223" s="1" t="s">
        <v>289</v>
      </c>
      <c r="D223" s="1" t="s">
        <v>290</v>
      </c>
      <c r="E223" s="38">
        <f>MgTOton/haTOacre</f>
        <v>0.44609338830221129</v>
      </c>
    </row>
    <row r="224" spans="2:5" ht="12.95" customHeight="1" x14ac:dyDescent="0.2">
      <c r="B224" s="1"/>
      <c r="C224" s="1"/>
      <c r="D224" s="1"/>
    </row>
    <row r="225" spans="2:5" ht="12.95" customHeight="1" x14ac:dyDescent="0.2">
      <c r="B225" s="1"/>
      <c r="C225" s="1"/>
      <c r="D225" s="1"/>
      <c r="E225" s="3"/>
    </row>
    <row r="226" spans="2:5" ht="12.95" customHeight="1" x14ac:dyDescent="0.2">
      <c r="B226" s="24" t="s">
        <v>291</v>
      </c>
      <c r="C226" s="1"/>
      <c r="D226" s="1"/>
    </row>
    <row r="227" spans="2:5" ht="12.95" customHeight="1" x14ac:dyDescent="0.2">
      <c r="B227" s="1" t="s">
        <v>347</v>
      </c>
      <c r="C227" s="1"/>
      <c r="D227" s="1"/>
    </row>
    <row r="228" spans="2:5" ht="12.95" customHeight="1" x14ac:dyDescent="0.2">
      <c r="B228" s="1" t="s">
        <v>348</v>
      </c>
      <c r="C228" s="1"/>
      <c r="D228" s="1"/>
    </row>
    <row r="229" spans="2:5" ht="12.95" customHeight="1" x14ac:dyDescent="0.2">
      <c r="B229" s="1" t="s">
        <v>292</v>
      </c>
      <c r="C229" s="1"/>
      <c r="D229" s="1"/>
    </row>
    <row r="230" spans="2:5" ht="12.95" customHeight="1" x14ac:dyDescent="0.2">
      <c r="B230" s="1" t="s">
        <v>293</v>
      </c>
      <c r="C230" s="1"/>
      <c r="D230" s="1"/>
    </row>
    <row r="231" spans="2:5" ht="12.95" customHeight="1" x14ac:dyDescent="0.2">
      <c r="B231" s="1" t="s">
        <v>294</v>
      </c>
      <c r="C231" s="1"/>
      <c r="D231" s="1"/>
    </row>
    <row r="232" spans="2:5" ht="12.95" customHeight="1" x14ac:dyDescent="0.2">
      <c r="B232" s="1" t="s">
        <v>295</v>
      </c>
      <c r="C232" s="1"/>
      <c r="D232" s="1"/>
    </row>
    <row r="233" spans="2:5" ht="12.95" customHeight="1" x14ac:dyDescent="0.2">
      <c r="B233" s="1" t="s">
        <v>296</v>
      </c>
      <c r="C233" s="1"/>
      <c r="D233" s="1"/>
    </row>
  </sheetData>
  <hyperlinks>
    <hyperlink ref="B2" location="cover!B18" display="return to TOC" xr:uid="{00000000-0004-0000-0600-000000000000}"/>
  </hyperlinks>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codeName="Sheet8">
    <tabColor rgb="FF2171B5"/>
  </sheetPr>
  <dimension ref="A1:D65"/>
  <sheetViews>
    <sheetView workbookViewId="0"/>
  </sheetViews>
  <sheetFormatPr defaultColWidth="10.83203125" defaultRowHeight="12" x14ac:dyDescent="0.2"/>
  <cols>
    <col min="1" max="1" width="1.83203125" style="4" customWidth="1"/>
    <col min="2" max="2" width="8.83203125" style="4" customWidth="1"/>
    <col min="3" max="3" width="90.83203125" style="16" customWidth="1"/>
    <col min="4" max="4" width="48.83203125" style="17" customWidth="1"/>
    <col min="5" max="16384" width="10.83203125" style="4"/>
  </cols>
  <sheetData>
    <row r="1" spans="1:4" s="14" customFormat="1" ht="32.1" customHeight="1" x14ac:dyDescent="0.2">
      <c r="A1" s="15"/>
      <c r="B1" s="45" t="s">
        <v>308</v>
      </c>
      <c r="C1" s="16"/>
      <c r="D1" s="17"/>
    </row>
    <row r="2" spans="1:4" s="14" customFormat="1" ht="12.95" customHeight="1" x14ac:dyDescent="0.2">
      <c r="A2" s="15"/>
      <c r="B2" s="81" t="s">
        <v>349</v>
      </c>
      <c r="C2" s="16"/>
      <c r="D2" s="17"/>
    </row>
    <row r="3" spans="1:4" s="14" customFormat="1" ht="12.75" x14ac:dyDescent="0.25">
      <c r="A3" s="4"/>
      <c r="B3" s="5" t="s">
        <v>297</v>
      </c>
      <c r="C3" s="5" t="s">
        <v>298</v>
      </c>
      <c r="D3" s="5" t="s">
        <v>2</v>
      </c>
    </row>
    <row r="4" spans="1:4" s="14" customFormat="1" ht="36" x14ac:dyDescent="0.2">
      <c r="A4" s="4"/>
      <c r="B4" s="85" t="s">
        <v>571</v>
      </c>
      <c r="C4" s="346" t="s">
        <v>1264</v>
      </c>
      <c r="D4" s="87"/>
    </row>
    <row r="5" spans="1:4" s="14" customFormat="1" x14ac:dyDescent="0.2">
      <c r="A5" s="4"/>
      <c r="B5" s="85" t="s">
        <v>362</v>
      </c>
      <c r="C5" s="346" t="s">
        <v>1265</v>
      </c>
      <c r="D5" s="87"/>
    </row>
    <row r="6" spans="1:4" s="14" customFormat="1" ht="36" x14ac:dyDescent="0.2">
      <c r="A6" s="4"/>
      <c r="B6" s="85" t="s">
        <v>363</v>
      </c>
      <c r="C6" s="346" t="s">
        <v>1266</v>
      </c>
      <c r="D6" s="87"/>
    </row>
    <row r="7" spans="1:4" s="14" customFormat="1" ht="24" x14ac:dyDescent="0.2">
      <c r="A7" s="4"/>
      <c r="B7" s="85" t="s">
        <v>1263</v>
      </c>
      <c r="C7" s="346" t="s">
        <v>1267</v>
      </c>
      <c r="D7" s="87"/>
    </row>
    <row r="8" spans="1:4" s="14" customFormat="1" ht="36" x14ac:dyDescent="0.2">
      <c r="A8" s="4"/>
      <c r="B8" s="85" t="s">
        <v>464</v>
      </c>
      <c r="C8" s="346" t="s">
        <v>1268</v>
      </c>
      <c r="D8" s="87"/>
    </row>
    <row r="9" spans="1:4" s="14" customFormat="1" ht="24" x14ac:dyDescent="0.2">
      <c r="A9" s="4"/>
      <c r="B9" s="85" t="s">
        <v>683</v>
      </c>
      <c r="C9" s="346" t="s">
        <v>1269</v>
      </c>
      <c r="D9" s="87"/>
    </row>
    <row r="10" spans="1:4" s="14" customFormat="1" x14ac:dyDescent="0.2">
      <c r="A10" s="4"/>
      <c r="B10" s="85" t="s">
        <v>643</v>
      </c>
      <c r="C10" s="346" t="s">
        <v>1270</v>
      </c>
      <c r="D10" s="87"/>
    </row>
    <row r="11" spans="1:4" s="14" customFormat="1" ht="24" x14ac:dyDescent="0.2">
      <c r="A11" s="4"/>
      <c r="B11" s="85" t="s">
        <v>1261</v>
      </c>
      <c r="C11" s="346" t="s">
        <v>1271</v>
      </c>
      <c r="D11" s="87"/>
    </row>
    <row r="12" spans="1:4" s="14" customFormat="1" x14ac:dyDescent="0.2">
      <c r="A12" s="4"/>
      <c r="B12" s="85" t="s">
        <v>702</v>
      </c>
      <c r="C12" s="346" t="s">
        <v>1272</v>
      </c>
      <c r="D12" s="87"/>
    </row>
    <row r="13" spans="1:4" s="14" customFormat="1" ht="36" x14ac:dyDescent="0.2">
      <c r="A13" s="4"/>
      <c r="B13" s="85" t="s">
        <v>529</v>
      </c>
      <c r="C13" s="346" t="s">
        <v>1273</v>
      </c>
      <c r="D13" s="87"/>
    </row>
    <row r="14" spans="1:4" s="14" customFormat="1" ht="24" x14ac:dyDescent="0.2">
      <c r="A14" s="4"/>
      <c r="B14" s="85" t="s">
        <v>582</v>
      </c>
      <c r="C14" s="346" t="s">
        <v>1274</v>
      </c>
      <c r="D14" s="87"/>
    </row>
    <row r="15" spans="1:4" s="14" customFormat="1" ht="24" x14ac:dyDescent="0.2">
      <c r="A15" s="4"/>
      <c r="B15" s="85" t="s">
        <v>589</v>
      </c>
      <c r="C15" s="346" t="s">
        <v>1275</v>
      </c>
      <c r="D15" s="87"/>
    </row>
    <row r="16" spans="1:4" s="14" customFormat="1" ht="24" x14ac:dyDescent="0.2">
      <c r="A16" s="4"/>
      <c r="B16" s="85" t="s">
        <v>632</v>
      </c>
      <c r="C16" s="346" t="s">
        <v>1276</v>
      </c>
      <c r="D16" s="87"/>
    </row>
    <row r="17" spans="1:4" s="14" customFormat="1" ht="36" x14ac:dyDescent="0.2">
      <c r="A17" s="4"/>
      <c r="B17" s="85" t="s">
        <v>647</v>
      </c>
      <c r="C17" s="346" t="s">
        <v>1277</v>
      </c>
      <c r="D17" s="87"/>
    </row>
    <row r="18" spans="1:4" s="14" customFormat="1" ht="24" x14ac:dyDescent="0.2">
      <c r="A18" s="4"/>
      <c r="B18" s="85" t="s">
        <v>657</v>
      </c>
      <c r="C18" s="346" t="s">
        <v>1278</v>
      </c>
      <c r="D18" s="87"/>
    </row>
    <row r="19" spans="1:4" s="14" customFormat="1" ht="24" x14ac:dyDescent="0.2">
      <c r="A19" s="4"/>
      <c r="B19" s="85" t="s">
        <v>664</v>
      </c>
      <c r="C19" s="346" t="s">
        <v>1279</v>
      </c>
      <c r="D19" s="87"/>
    </row>
    <row r="20" spans="1:4" s="14" customFormat="1" ht="36" x14ac:dyDescent="0.2">
      <c r="A20" s="4"/>
      <c r="B20" s="85" t="s">
        <v>669</v>
      </c>
      <c r="C20" s="346" t="s">
        <v>1280</v>
      </c>
      <c r="D20" s="87"/>
    </row>
    <row r="21" spans="1:4" s="14" customFormat="1" ht="24" x14ac:dyDescent="0.2">
      <c r="A21" s="4"/>
      <c r="B21" s="85" t="s">
        <v>725</v>
      </c>
      <c r="C21" s="346" t="s">
        <v>1281</v>
      </c>
      <c r="D21" s="87"/>
    </row>
    <row r="22" spans="1:4" s="14" customFormat="1" ht="24" x14ac:dyDescent="0.2">
      <c r="A22" s="4"/>
      <c r="B22" s="85" t="s">
        <v>759</v>
      </c>
      <c r="C22" s="346" t="s">
        <v>1282</v>
      </c>
      <c r="D22" s="87"/>
    </row>
    <row r="23" spans="1:4" s="14" customFormat="1" ht="24" x14ac:dyDescent="0.2">
      <c r="A23" s="4"/>
      <c r="B23" s="85" t="s">
        <v>792</v>
      </c>
      <c r="C23" s="346" t="s">
        <v>1283</v>
      </c>
      <c r="D23" s="87"/>
    </row>
    <row r="24" spans="1:4" s="14" customFormat="1" ht="24" x14ac:dyDescent="0.2">
      <c r="A24" s="4"/>
      <c r="B24" s="85" t="s">
        <v>788</v>
      </c>
      <c r="C24" s="346" t="s">
        <v>1284</v>
      </c>
      <c r="D24" s="87"/>
    </row>
    <row r="25" spans="1:4" s="14" customFormat="1" ht="24" x14ac:dyDescent="0.2">
      <c r="A25" s="4"/>
      <c r="B25" s="85" t="s">
        <v>805</v>
      </c>
      <c r="C25" s="346" t="s">
        <v>1285</v>
      </c>
      <c r="D25" s="87"/>
    </row>
    <row r="26" spans="1:4" s="14" customFormat="1" ht="24" x14ac:dyDescent="0.2">
      <c r="A26" s="4"/>
      <c r="B26" s="85" t="s">
        <v>1042</v>
      </c>
      <c r="C26" s="346" t="s">
        <v>1286</v>
      </c>
      <c r="D26" s="87"/>
    </row>
    <row r="27" spans="1:4" s="14" customFormat="1" ht="36" x14ac:dyDescent="0.2">
      <c r="A27" s="4"/>
      <c r="B27" s="85" t="s">
        <v>1043</v>
      </c>
      <c r="C27" s="346" t="s">
        <v>1287</v>
      </c>
      <c r="D27" s="87"/>
    </row>
    <row r="28" spans="1:4" s="14" customFormat="1" ht="36" x14ac:dyDescent="0.2">
      <c r="A28" s="4"/>
      <c r="B28" s="85" t="s">
        <v>1117</v>
      </c>
      <c r="C28" s="346" t="s">
        <v>1288</v>
      </c>
      <c r="D28" s="87"/>
    </row>
    <row r="29" spans="1:4" s="14" customFormat="1" ht="24" x14ac:dyDescent="0.2">
      <c r="A29" s="4"/>
      <c r="B29" s="85" t="s">
        <v>1186</v>
      </c>
      <c r="C29" s="346" t="s">
        <v>1289</v>
      </c>
      <c r="D29" s="87"/>
    </row>
    <row r="30" spans="1:4" s="14" customFormat="1" x14ac:dyDescent="0.2">
      <c r="A30" s="4"/>
      <c r="B30" s="85" t="s">
        <v>1214</v>
      </c>
      <c r="C30" s="346" t="s">
        <v>1290</v>
      </c>
      <c r="D30" s="87"/>
    </row>
    <row r="31" spans="1:4" s="14" customFormat="1" ht="36" x14ac:dyDescent="0.2">
      <c r="A31" s="4"/>
      <c r="B31" s="85" t="s">
        <v>1230</v>
      </c>
      <c r="C31" s="346" t="s">
        <v>1291</v>
      </c>
      <c r="D31" s="87"/>
    </row>
    <row r="32" spans="1:4" s="14" customFormat="1" ht="36" x14ac:dyDescent="0.2">
      <c r="A32" s="4"/>
      <c r="B32" s="85" t="s">
        <v>1262</v>
      </c>
      <c r="C32" s="346" t="s">
        <v>1292</v>
      </c>
      <c r="D32" s="87"/>
    </row>
    <row r="33" spans="1:4" s="14" customFormat="1" x14ac:dyDescent="0.2">
      <c r="A33" s="4"/>
      <c r="B33" s="85" t="s">
        <v>462</v>
      </c>
      <c r="C33" s="346" t="s">
        <v>1293</v>
      </c>
      <c r="D33" s="87"/>
    </row>
    <row r="34" spans="1:4" s="14" customFormat="1" x14ac:dyDescent="0.2">
      <c r="A34" s="4"/>
      <c r="B34" s="85"/>
      <c r="C34" s="87"/>
      <c r="D34" s="87"/>
    </row>
    <row r="35" spans="1:4" s="14" customFormat="1" x14ac:dyDescent="0.2">
      <c r="A35" s="4"/>
      <c r="B35" s="85"/>
      <c r="C35" s="87"/>
      <c r="D35" s="87"/>
    </row>
    <row r="36" spans="1:4" s="14" customFormat="1" x14ac:dyDescent="0.2">
      <c r="A36" s="4"/>
      <c r="B36" s="85"/>
      <c r="C36" s="87"/>
      <c r="D36" s="87"/>
    </row>
    <row r="37" spans="1:4" s="14" customFormat="1" x14ac:dyDescent="0.2">
      <c r="A37" s="4"/>
      <c r="B37" s="85"/>
      <c r="C37" s="87"/>
      <c r="D37" s="87"/>
    </row>
    <row r="38" spans="1:4" s="14" customFormat="1" x14ac:dyDescent="0.2">
      <c r="A38" s="4"/>
      <c r="B38" s="85"/>
      <c r="C38" s="87"/>
      <c r="D38" s="87"/>
    </row>
    <row r="39" spans="1:4" s="14" customFormat="1" x14ac:dyDescent="0.2">
      <c r="A39" s="4"/>
      <c r="B39" s="85"/>
      <c r="C39" s="87"/>
      <c r="D39" s="87"/>
    </row>
    <row r="40" spans="1:4" s="14" customFormat="1" x14ac:dyDescent="0.2">
      <c r="A40" s="4"/>
      <c r="B40" s="85"/>
      <c r="C40" s="87"/>
      <c r="D40" s="87"/>
    </row>
    <row r="41" spans="1:4" s="14" customFormat="1" x14ac:dyDescent="0.2">
      <c r="A41" s="4"/>
      <c r="B41" s="85"/>
      <c r="C41" s="87"/>
      <c r="D41" s="87"/>
    </row>
    <row r="42" spans="1:4" s="14" customFormat="1" x14ac:dyDescent="0.2">
      <c r="A42" s="4"/>
      <c r="B42" s="85"/>
      <c r="C42" s="87"/>
      <c r="D42" s="87"/>
    </row>
    <row r="43" spans="1:4" s="14" customFormat="1" x14ac:dyDescent="0.2">
      <c r="A43" s="4"/>
      <c r="B43" s="85"/>
      <c r="C43" s="87"/>
      <c r="D43" s="87"/>
    </row>
    <row r="44" spans="1:4" s="14" customFormat="1" x14ac:dyDescent="0.2">
      <c r="A44" s="4"/>
      <c r="B44" s="85"/>
      <c r="C44" s="87"/>
      <c r="D44" s="87"/>
    </row>
    <row r="45" spans="1:4" s="14" customFormat="1" x14ac:dyDescent="0.2">
      <c r="A45" s="4"/>
      <c r="B45" s="85"/>
      <c r="C45" s="87"/>
      <c r="D45" s="87"/>
    </row>
    <row r="46" spans="1:4" s="14" customFormat="1" x14ac:dyDescent="0.2">
      <c r="A46" s="4"/>
      <c r="B46" s="85"/>
      <c r="C46" s="87"/>
      <c r="D46" s="87"/>
    </row>
    <row r="47" spans="1:4" s="14" customFormat="1" x14ac:dyDescent="0.2">
      <c r="A47" s="4"/>
      <c r="B47" s="85"/>
      <c r="C47" s="87"/>
      <c r="D47" s="87"/>
    </row>
    <row r="48" spans="1:4" s="14" customFormat="1" x14ac:dyDescent="0.2">
      <c r="A48" s="4"/>
      <c r="B48" s="85"/>
      <c r="C48" s="87"/>
      <c r="D48" s="87"/>
    </row>
    <row r="49" spans="1:4" s="14" customFormat="1" x14ac:dyDescent="0.2">
      <c r="A49" s="4"/>
      <c r="B49" s="85"/>
      <c r="C49" s="87"/>
      <c r="D49" s="87"/>
    </row>
    <row r="50" spans="1:4" s="14" customFormat="1" x14ac:dyDescent="0.2">
      <c r="A50" s="4"/>
      <c r="B50" s="85"/>
      <c r="C50" s="87"/>
      <c r="D50" s="87"/>
    </row>
    <row r="51" spans="1:4" s="14" customFormat="1" x14ac:dyDescent="0.2">
      <c r="A51" s="4"/>
      <c r="B51" s="85"/>
      <c r="C51" s="87"/>
      <c r="D51" s="87"/>
    </row>
    <row r="52" spans="1:4" s="14" customFormat="1" x14ac:dyDescent="0.2">
      <c r="A52" s="4"/>
      <c r="B52" s="85"/>
      <c r="C52" s="87"/>
      <c r="D52" s="87"/>
    </row>
    <row r="53" spans="1:4" s="14" customFormat="1" x14ac:dyDescent="0.2">
      <c r="A53" s="4"/>
      <c r="B53" s="85"/>
      <c r="C53" s="87"/>
      <c r="D53" s="87"/>
    </row>
    <row r="54" spans="1:4" s="14" customFormat="1" x14ac:dyDescent="0.2">
      <c r="A54" s="4"/>
      <c r="B54" s="85"/>
      <c r="C54" s="87"/>
      <c r="D54" s="87"/>
    </row>
    <row r="55" spans="1:4" s="14" customFormat="1" x14ac:dyDescent="0.2">
      <c r="A55" s="4"/>
      <c r="B55" s="85"/>
      <c r="C55" s="87"/>
      <c r="D55" s="87"/>
    </row>
    <row r="56" spans="1:4" s="14" customFormat="1" x14ac:dyDescent="0.2">
      <c r="A56" s="4"/>
      <c r="B56" s="85"/>
      <c r="C56" s="87"/>
      <c r="D56" s="87"/>
    </row>
    <row r="57" spans="1:4" s="14" customFormat="1" x14ac:dyDescent="0.2">
      <c r="A57" s="4"/>
      <c r="B57" s="85"/>
      <c r="C57" s="87"/>
      <c r="D57" s="87"/>
    </row>
    <row r="58" spans="1:4" s="14" customFormat="1" x14ac:dyDescent="0.2">
      <c r="A58" s="4"/>
      <c r="B58" s="85"/>
      <c r="C58" s="87"/>
      <c r="D58" s="87"/>
    </row>
    <row r="59" spans="1:4" s="14" customFormat="1" x14ac:dyDescent="0.2">
      <c r="A59" s="4"/>
      <c r="B59" s="85"/>
      <c r="C59" s="87"/>
      <c r="D59" s="87"/>
    </row>
    <row r="60" spans="1:4" s="14" customFormat="1" x14ac:dyDescent="0.2">
      <c r="A60" s="4"/>
      <c r="B60" s="85"/>
      <c r="C60" s="87"/>
      <c r="D60" s="87"/>
    </row>
    <row r="61" spans="1:4" s="14" customFormat="1" x14ac:dyDescent="0.2">
      <c r="A61" s="4"/>
      <c r="B61" s="85"/>
      <c r="C61" s="87"/>
      <c r="D61" s="87"/>
    </row>
    <row r="62" spans="1:4" s="14" customFormat="1" x14ac:dyDescent="0.2">
      <c r="A62" s="4"/>
      <c r="B62" s="85"/>
      <c r="C62" s="87"/>
      <c r="D62" s="87"/>
    </row>
    <row r="63" spans="1:4" s="14" customFormat="1" x14ac:dyDescent="0.2">
      <c r="A63" s="4"/>
      <c r="B63" s="85"/>
      <c r="C63" s="87"/>
      <c r="D63" s="87"/>
    </row>
    <row r="64" spans="1:4" s="14" customFormat="1" x14ac:dyDescent="0.2">
      <c r="A64" s="4"/>
      <c r="B64" s="85"/>
      <c r="C64" s="87"/>
      <c r="D64" s="87"/>
    </row>
    <row r="65" spans="2:4" ht="12.75" x14ac:dyDescent="0.25">
      <c r="B65" s="83" t="s">
        <v>340</v>
      </c>
      <c r="C65" s="82"/>
      <c r="D65" s="49"/>
    </row>
  </sheetData>
  <sortState xmlns:xlrd2="http://schemas.microsoft.com/office/spreadsheetml/2017/richdata2" ref="B7:C14">
    <sortCondition ref="B7:B14"/>
  </sortState>
  <hyperlinks>
    <hyperlink ref="B2" location="cover!B18" display="return to TOC" xr:uid="{00000000-0004-0000-07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D23CB-31BB-4EF3-8786-C005FD7C262D}">
  <sheetPr published="0" codeName="Sheet31">
    <tabColor rgb="FF2171B5"/>
  </sheetPr>
  <dimension ref="A1:E61"/>
  <sheetViews>
    <sheetView workbookViewId="0"/>
  </sheetViews>
  <sheetFormatPr defaultColWidth="10.83203125" defaultRowHeight="12" x14ac:dyDescent="0.2"/>
  <cols>
    <col min="1" max="1" width="1.83203125" style="4" customWidth="1"/>
    <col min="2" max="3" width="10.83203125" style="4" customWidth="1"/>
    <col min="4" max="4" width="4.83203125" style="16" customWidth="1"/>
    <col min="5" max="5" width="100.83203125" style="17" customWidth="1"/>
    <col min="6" max="16384" width="10.83203125" style="4"/>
  </cols>
  <sheetData>
    <row r="1" spans="1:5" s="14" customFormat="1" ht="32.1" customHeight="1" x14ac:dyDescent="0.2">
      <c r="A1" s="15"/>
      <c r="B1" s="320" t="s">
        <v>1082</v>
      </c>
      <c r="C1" s="320"/>
      <c r="D1" s="16"/>
      <c r="E1" s="17"/>
    </row>
    <row r="2" spans="1:5" s="14" customFormat="1" ht="12.95" customHeight="1" x14ac:dyDescent="0.2">
      <c r="A2" s="15"/>
      <c r="B2" s="81" t="s">
        <v>349</v>
      </c>
      <c r="C2" s="81"/>
      <c r="D2" s="16"/>
      <c r="E2" s="17"/>
    </row>
    <row r="3" spans="1:5" s="14" customFormat="1" ht="12.75" x14ac:dyDescent="0.25">
      <c r="A3" s="4"/>
      <c r="B3" s="5" t="s">
        <v>1083</v>
      </c>
      <c r="C3" s="5" t="s">
        <v>1084</v>
      </c>
      <c r="D3" s="5" t="s">
        <v>1085</v>
      </c>
      <c r="E3" s="5" t="s">
        <v>2</v>
      </c>
    </row>
    <row r="4" spans="1:5" s="14" customFormat="1" x14ac:dyDescent="0.2">
      <c r="A4" s="4"/>
      <c r="B4" s="85" t="s">
        <v>1081</v>
      </c>
      <c r="C4" s="334">
        <v>44380</v>
      </c>
      <c r="D4" s="335" t="s">
        <v>1086</v>
      </c>
      <c r="E4" s="87" t="s">
        <v>1087</v>
      </c>
    </row>
    <row r="5" spans="1:5" s="14" customFormat="1" x14ac:dyDescent="0.2">
      <c r="A5" s="4"/>
      <c r="B5" s="85" t="s">
        <v>1089</v>
      </c>
      <c r="C5" s="334">
        <v>44385</v>
      </c>
      <c r="D5" s="335" t="s">
        <v>1086</v>
      </c>
      <c r="E5" s="87" t="s">
        <v>1140</v>
      </c>
    </row>
    <row r="6" spans="1:5" s="14" customFormat="1" ht="13.5" x14ac:dyDescent="0.2">
      <c r="A6" s="4"/>
      <c r="B6" s="85"/>
      <c r="C6" s="334"/>
      <c r="D6" s="335"/>
      <c r="E6" s="87" t="s">
        <v>1141</v>
      </c>
    </row>
    <row r="7" spans="1:5" s="14" customFormat="1" x14ac:dyDescent="0.2">
      <c r="A7" s="4"/>
      <c r="B7" s="85"/>
      <c r="C7" s="334"/>
      <c r="D7" s="335"/>
      <c r="E7" s="87" t="s">
        <v>1198</v>
      </c>
    </row>
    <row r="8" spans="1:5" s="14" customFormat="1" ht="36" x14ac:dyDescent="0.2">
      <c r="A8" s="4"/>
      <c r="B8" s="85" t="s">
        <v>1257</v>
      </c>
      <c r="C8" s="334">
        <v>44431</v>
      </c>
      <c r="D8" s="335" t="s">
        <v>1086</v>
      </c>
      <c r="E8" s="87" t="s">
        <v>1260</v>
      </c>
    </row>
    <row r="9" spans="1:5" s="14" customFormat="1" x14ac:dyDescent="0.2">
      <c r="A9" s="4"/>
      <c r="B9" s="85"/>
      <c r="C9" s="334"/>
      <c r="D9" s="335"/>
      <c r="E9" s="87"/>
    </row>
    <row r="10" spans="1:5" s="14" customFormat="1" x14ac:dyDescent="0.2">
      <c r="A10" s="4"/>
      <c r="B10" s="85"/>
      <c r="C10" s="334"/>
      <c r="D10" s="335"/>
      <c r="E10" s="87"/>
    </row>
    <row r="11" spans="1:5" s="14" customFormat="1" x14ac:dyDescent="0.2">
      <c r="A11" s="4"/>
      <c r="B11" s="85"/>
      <c r="C11" s="334"/>
      <c r="D11" s="335"/>
      <c r="E11" s="87"/>
    </row>
    <row r="12" spans="1:5" s="14" customFormat="1" x14ac:dyDescent="0.2">
      <c r="A12" s="4"/>
      <c r="B12" s="85"/>
      <c r="C12" s="334"/>
      <c r="D12" s="335"/>
      <c r="E12" s="87"/>
    </row>
    <row r="13" spans="1:5" s="14" customFormat="1" x14ac:dyDescent="0.2">
      <c r="A13" s="4"/>
      <c r="B13" s="85"/>
      <c r="C13" s="334"/>
      <c r="D13" s="335"/>
      <c r="E13" s="87"/>
    </row>
    <row r="14" spans="1:5" s="14" customFormat="1" x14ac:dyDescent="0.2">
      <c r="A14" s="4"/>
      <c r="B14" s="85"/>
      <c r="C14" s="334"/>
      <c r="D14" s="335"/>
      <c r="E14" s="87"/>
    </row>
    <row r="15" spans="1:5" s="14" customFormat="1" x14ac:dyDescent="0.2">
      <c r="A15" s="4"/>
      <c r="B15" s="85"/>
      <c r="C15" s="334"/>
      <c r="D15" s="335"/>
      <c r="E15" s="87"/>
    </row>
    <row r="16" spans="1:5" s="14" customFormat="1" x14ac:dyDescent="0.2">
      <c r="A16" s="4"/>
      <c r="B16" s="85"/>
      <c r="C16" s="334"/>
      <c r="D16" s="335"/>
      <c r="E16" s="87"/>
    </row>
    <row r="17" spans="1:5" s="14" customFormat="1" x14ac:dyDescent="0.2">
      <c r="A17" s="4"/>
      <c r="B17" s="85"/>
      <c r="C17" s="334"/>
      <c r="D17" s="335"/>
      <c r="E17" s="87"/>
    </row>
    <row r="18" spans="1:5" s="14" customFormat="1" x14ac:dyDescent="0.2">
      <c r="A18" s="4"/>
      <c r="B18" s="85"/>
      <c r="C18" s="334"/>
      <c r="D18" s="335"/>
      <c r="E18" s="87"/>
    </row>
    <row r="19" spans="1:5" s="14" customFormat="1" x14ac:dyDescent="0.2">
      <c r="A19" s="4"/>
      <c r="B19" s="85"/>
      <c r="C19" s="334"/>
      <c r="D19" s="335"/>
      <c r="E19" s="87"/>
    </row>
    <row r="20" spans="1:5" s="14" customFormat="1" x14ac:dyDescent="0.2">
      <c r="A20" s="4"/>
      <c r="B20" s="85"/>
      <c r="C20" s="334"/>
      <c r="D20" s="335"/>
      <c r="E20" s="87"/>
    </row>
    <row r="21" spans="1:5" s="14" customFormat="1" x14ac:dyDescent="0.2">
      <c r="A21" s="4"/>
      <c r="B21" s="85"/>
      <c r="C21" s="334"/>
      <c r="D21" s="335"/>
      <c r="E21" s="87"/>
    </row>
    <row r="22" spans="1:5" s="14" customFormat="1" x14ac:dyDescent="0.2">
      <c r="A22" s="4"/>
      <c r="B22" s="85"/>
      <c r="C22" s="334"/>
      <c r="D22" s="335"/>
      <c r="E22" s="87"/>
    </row>
    <row r="23" spans="1:5" s="14" customFormat="1" x14ac:dyDescent="0.2">
      <c r="A23" s="4"/>
      <c r="B23" s="85"/>
      <c r="C23" s="334"/>
      <c r="D23" s="335"/>
      <c r="E23" s="87"/>
    </row>
    <row r="24" spans="1:5" s="14" customFormat="1" x14ac:dyDescent="0.2">
      <c r="A24" s="4"/>
      <c r="B24" s="85"/>
      <c r="C24" s="334"/>
      <c r="D24" s="335"/>
      <c r="E24" s="87"/>
    </row>
    <row r="25" spans="1:5" s="14" customFormat="1" x14ac:dyDescent="0.2">
      <c r="A25" s="4"/>
      <c r="B25" s="85"/>
      <c r="C25" s="334"/>
      <c r="D25" s="335"/>
      <c r="E25" s="87"/>
    </row>
    <row r="26" spans="1:5" s="14" customFormat="1" x14ac:dyDescent="0.2">
      <c r="A26" s="4"/>
      <c r="B26" s="85"/>
      <c r="C26" s="334"/>
      <c r="D26" s="335"/>
      <c r="E26" s="87"/>
    </row>
    <row r="27" spans="1:5" s="14" customFormat="1" x14ac:dyDescent="0.2">
      <c r="A27" s="4"/>
      <c r="B27" s="85"/>
      <c r="C27" s="334"/>
      <c r="D27" s="335"/>
      <c r="E27" s="87"/>
    </row>
    <row r="28" spans="1:5" s="14" customFormat="1" x14ac:dyDescent="0.2">
      <c r="A28" s="4"/>
      <c r="B28" s="85"/>
      <c r="C28" s="334"/>
      <c r="D28" s="335"/>
      <c r="E28" s="87"/>
    </row>
    <row r="29" spans="1:5" s="14" customFormat="1" x14ac:dyDescent="0.2">
      <c r="A29" s="4"/>
      <c r="B29" s="85"/>
      <c r="C29" s="334"/>
      <c r="D29" s="335"/>
      <c r="E29" s="87"/>
    </row>
    <row r="30" spans="1:5" s="14" customFormat="1" x14ac:dyDescent="0.2">
      <c r="A30" s="4"/>
      <c r="B30" s="85"/>
      <c r="C30" s="334"/>
      <c r="D30" s="335"/>
      <c r="E30" s="87"/>
    </row>
    <row r="31" spans="1:5" s="14" customFormat="1" x14ac:dyDescent="0.2">
      <c r="A31" s="4"/>
      <c r="B31" s="85"/>
      <c r="C31" s="334"/>
      <c r="D31" s="335"/>
      <c r="E31" s="87"/>
    </row>
    <row r="32" spans="1:5" s="14" customFormat="1" x14ac:dyDescent="0.2">
      <c r="A32" s="4"/>
      <c r="B32" s="85"/>
      <c r="C32" s="334"/>
      <c r="D32" s="335"/>
      <c r="E32" s="87"/>
    </row>
    <row r="33" spans="1:5" s="14" customFormat="1" x14ac:dyDescent="0.2">
      <c r="A33" s="4"/>
      <c r="B33" s="85"/>
      <c r="C33" s="334"/>
      <c r="D33" s="335"/>
      <c r="E33" s="87"/>
    </row>
    <row r="34" spans="1:5" s="14" customFormat="1" x14ac:dyDescent="0.2">
      <c r="A34" s="4"/>
      <c r="B34" s="85"/>
      <c r="C34" s="334"/>
      <c r="D34" s="335"/>
      <c r="E34" s="87"/>
    </row>
    <row r="35" spans="1:5" s="14" customFormat="1" x14ac:dyDescent="0.2">
      <c r="A35" s="4"/>
      <c r="B35" s="85"/>
      <c r="C35" s="334"/>
      <c r="D35" s="335"/>
      <c r="E35" s="87"/>
    </row>
    <row r="36" spans="1:5" s="14" customFormat="1" x14ac:dyDescent="0.2">
      <c r="A36" s="4"/>
      <c r="B36" s="85"/>
      <c r="C36" s="334"/>
      <c r="D36" s="335"/>
      <c r="E36" s="87"/>
    </row>
    <row r="37" spans="1:5" s="14" customFormat="1" x14ac:dyDescent="0.2">
      <c r="A37" s="4"/>
      <c r="B37" s="85"/>
      <c r="C37" s="334"/>
      <c r="D37" s="335"/>
      <c r="E37" s="87"/>
    </row>
    <row r="38" spans="1:5" s="14" customFormat="1" x14ac:dyDescent="0.2">
      <c r="A38" s="4"/>
      <c r="B38" s="85"/>
      <c r="C38" s="334"/>
      <c r="D38" s="335"/>
      <c r="E38" s="87"/>
    </row>
    <row r="39" spans="1:5" s="14" customFormat="1" x14ac:dyDescent="0.2">
      <c r="A39" s="4"/>
      <c r="B39" s="85"/>
      <c r="C39" s="334"/>
      <c r="D39" s="335"/>
      <c r="E39" s="87"/>
    </row>
    <row r="40" spans="1:5" s="14" customFormat="1" x14ac:dyDescent="0.2">
      <c r="A40" s="4"/>
      <c r="B40" s="85"/>
      <c r="C40" s="334"/>
      <c r="D40" s="335"/>
      <c r="E40" s="87"/>
    </row>
    <row r="41" spans="1:5" s="14" customFormat="1" x14ac:dyDescent="0.2">
      <c r="A41" s="4"/>
      <c r="B41" s="85"/>
      <c r="C41" s="334"/>
      <c r="D41" s="335"/>
      <c r="E41" s="87"/>
    </row>
    <row r="42" spans="1:5" s="14" customFormat="1" x14ac:dyDescent="0.2">
      <c r="A42" s="4"/>
      <c r="B42" s="85"/>
      <c r="C42" s="334"/>
      <c r="D42" s="335"/>
      <c r="E42" s="87"/>
    </row>
    <row r="43" spans="1:5" s="14" customFormat="1" x14ac:dyDescent="0.2">
      <c r="A43" s="4"/>
      <c r="B43" s="85"/>
      <c r="C43" s="334"/>
      <c r="D43" s="335"/>
      <c r="E43" s="87"/>
    </row>
    <row r="44" spans="1:5" s="14" customFormat="1" x14ac:dyDescent="0.2">
      <c r="A44" s="4"/>
      <c r="B44" s="85"/>
      <c r="C44" s="334"/>
      <c r="D44" s="335"/>
      <c r="E44" s="87"/>
    </row>
    <row r="45" spans="1:5" s="14" customFormat="1" x14ac:dyDescent="0.2">
      <c r="A45" s="4"/>
      <c r="B45" s="85"/>
      <c r="C45" s="334"/>
      <c r="D45" s="335"/>
      <c r="E45" s="87"/>
    </row>
    <row r="46" spans="1:5" s="14" customFormat="1" x14ac:dyDescent="0.2">
      <c r="A46" s="4"/>
      <c r="B46" s="85"/>
      <c r="C46" s="334"/>
      <c r="D46" s="335"/>
      <c r="E46" s="87"/>
    </row>
    <row r="47" spans="1:5" s="14" customFormat="1" x14ac:dyDescent="0.2">
      <c r="A47" s="4"/>
      <c r="B47" s="85"/>
      <c r="C47" s="334"/>
      <c r="D47" s="335"/>
      <c r="E47" s="87"/>
    </row>
    <row r="48" spans="1:5" s="14" customFormat="1" x14ac:dyDescent="0.2">
      <c r="A48" s="4"/>
      <c r="B48" s="85"/>
      <c r="C48" s="334"/>
      <c r="D48" s="335"/>
      <c r="E48" s="87"/>
    </row>
    <row r="49" spans="1:5" s="14" customFormat="1" x14ac:dyDescent="0.2">
      <c r="A49" s="4"/>
      <c r="B49" s="85"/>
      <c r="C49" s="334"/>
      <c r="D49" s="335"/>
      <c r="E49" s="87"/>
    </row>
    <row r="50" spans="1:5" s="14" customFormat="1" x14ac:dyDescent="0.2">
      <c r="A50" s="4"/>
      <c r="B50" s="85"/>
      <c r="C50" s="334"/>
      <c r="D50" s="335"/>
      <c r="E50" s="87"/>
    </row>
    <row r="51" spans="1:5" s="14" customFormat="1" x14ac:dyDescent="0.2">
      <c r="A51" s="4"/>
      <c r="B51" s="85"/>
      <c r="C51" s="334"/>
      <c r="D51" s="335"/>
      <c r="E51" s="87"/>
    </row>
    <row r="52" spans="1:5" s="14" customFormat="1" x14ac:dyDescent="0.2">
      <c r="A52" s="4"/>
      <c r="B52" s="85"/>
      <c r="C52" s="334"/>
      <c r="D52" s="335"/>
      <c r="E52" s="87"/>
    </row>
    <row r="53" spans="1:5" s="14" customFormat="1" x14ac:dyDescent="0.2">
      <c r="A53" s="4"/>
      <c r="B53" s="85"/>
      <c r="C53" s="334"/>
      <c r="D53" s="335"/>
      <c r="E53" s="87"/>
    </row>
    <row r="54" spans="1:5" s="14" customFormat="1" x14ac:dyDescent="0.2">
      <c r="A54" s="4"/>
      <c r="B54" s="85"/>
      <c r="C54" s="334"/>
      <c r="D54" s="335"/>
      <c r="E54" s="87"/>
    </row>
    <row r="55" spans="1:5" s="14" customFormat="1" x14ac:dyDescent="0.2">
      <c r="A55" s="4"/>
      <c r="B55" s="85"/>
      <c r="C55" s="334"/>
      <c r="D55" s="335"/>
      <c r="E55" s="87"/>
    </row>
    <row r="56" spans="1:5" s="14" customFormat="1" x14ac:dyDescent="0.2">
      <c r="A56" s="4"/>
      <c r="B56" s="85"/>
      <c r="C56" s="334"/>
      <c r="D56" s="335"/>
      <c r="E56" s="87"/>
    </row>
    <row r="57" spans="1:5" s="14" customFormat="1" x14ac:dyDescent="0.2">
      <c r="A57" s="4"/>
      <c r="B57" s="85"/>
      <c r="C57" s="334"/>
      <c r="D57" s="335"/>
      <c r="E57" s="87"/>
    </row>
    <row r="58" spans="1:5" s="14" customFormat="1" x14ac:dyDescent="0.2">
      <c r="A58" s="4"/>
      <c r="B58" s="85"/>
      <c r="C58" s="334"/>
      <c r="D58" s="335"/>
      <c r="E58" s="87"/>
    </row>
    <row r="59" spans="1:5" s="14" customFormat="1" x14ac:dyDescent="0.2">
      <c r="A59" s="4"/>
      <c r="B59" s="85"/>
      <c r="C59" s="334"/>
      <c r="D59" s="335"/>
      <c r="E59" s="87"/>
    </row>
    <row r="60" spans="1:5" s="14" customFormat="1" x14ac:dyDescent="0.2">
      <c r="A60" s="4"/>
      <c r="B60" s="85"/>
      <c r="C60" s="334"/>
      <c r="D60" s="335"/>
      <c r="E60" s="87"/>
    </row>
    <row r="61" spans="1:5" ht="12.75" x14ac:dyDescent="0.25">
      <c r="B61" s="83" t="s">
        <v>340</v>
      </c>
      <c r="C61" s="83"/>
      <c r="D61" s="82"/>
      <c r="E61" s="49"/>
    </row>
  </sheetData>
  <hyperlinks>
    <hyperlink ref="B2" location="cover!B18" display="return to TOC" xr:uid="{F9C809D5-9A82-41CA-95F0-A26BBCC160D3}"/>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codeName="Sheet3">
    <tabColor rgb="FFFED976"/>
  </sheetPr>
  <dimension ref="A1:J49"/>
  <sheetViews>
    <sheetView workbookViewId="0"/>
  </sheetViews>
  <sheetFormatPr defaultColWidth="10.83203125" defaultRowHeight="12.95" customHeight="1" x14ac:dyDescent="0.2"/>
  <cols>
    <col min="1" max="1" width="1.83203125" style="54" customWidth="1"/>
    <col min="2" max="4" width="2.83203125" style="54" customWidth="1"/>
    <col min="5" max="5" width="32.83203125" style="54" customWidth="1"/>
    <col min="6" max="6" width="10.83203125" style="54" customWidth="1"/>
    <col min="7" max="7" width="11.83203125" style="54" customWidth="1"/>
    <col min="8" max="8" width="8.83203125" style="12" customWidth="1"/>
    <col min="9" max="9" width="75.83203125" style="54" customWidth="1"/>
    <col min="10" max="10" width="10.83203125" style="54" customWidth="1"/>
    <col min="11" max="16384" width="10.83203125" style="54"/>
  </cols>
  <sheetData>
    <row r="1" spans="1:10" ht="30" customHeight="1" x14ac:dyDescent="0.2">
      <c r="A1" s="85"/>
      <c r="B1" s="162" t="s">
        <v>987</v>
      </c>
      <c r="C1" s="116"/>
      <c r="D1" s="116"/>
      <c r="E1" s="116"/>
      <c r="F1" s="14"/>
      <c r="G1" s="14"/>
      <c r="H1" s="55"/>
      <c r="I1" s="14"/>
      <c r="J1" s="14"/>
    </row>
    <row r="2" spans="1:10" ht="12.95" customHeight="1" x14ac:dyDescent="0.2">
      <c r="A2" s="85"/>
      <c r="B2" s="81" t="s">
        <v>349</v>
      </c>
      <c r="C2" s="21"/>
      <c r="D2" s="21"/>
      <c r="E2" s="21"/>
      <c r="H2" s="54"/>
    </row>
    <row r="3" spans="1:10" ht="12.95" customHeight="1" x14ac:dyDescent="0.2">
      <c r="B3" s="21"/>
      <c r="C3" s="21"/>
      <c r="D3" s="21"/>
      <c r="E3" s="21"/>
      <c r="G3" s="81"/>
      <c r="H3" s="54"/>
    </row>
    <row r="4" spans="1:10" ht="12.95" customHeight="1" x14ac:dyDescent="0.25">
      <c r="B4" s="105" t="s">
        <v>507</v>
      </c>
      <c r="C4" s="106"/>
      <c r="D4" s="106"/>
      <c r="E4" s="106"/>
      <c r="F4" s="106"/>
      <c r="G4" s="106"/>
      <c r="H4" s="107"/>
      <c r="I4" s="108"/>
    </row>
    <row r="5" spans="1:10" ht="12.95" customHeight="1" x14ac:dyDescent="0.25">
      <c r="B5" s="19" t="s">
        <v>300</v>
      </c>
      <c r="C5" s="75"/>
      <c r="D5" s="75"/>
      <c r="E5" s="74"/>
      <c r="F5" s="46" t="s">
        <v>0</v>
      </c>
      <c r="G5" s="20" t="s">
        <v>1</v>
      </c>
      <c r="H5" s="56" t="s">
        <v>305</v>
      </c>
      <c r="I5" s="5" t="s">
        <v>2</v>
      </c>
      <c r="J5" s="14"/>
    </row>
    <row r="6" spans="1:10" ht="12.95" customHeight="1" x14ac:dyDescent="0.2">
      <c r="F6" s="84"/>
      <c r="H6" s="54"/>
    </row>
    <row r="7" spans="1:10" ht="12.95" customHeight="1" x14ac:dyDescent="0.2">
      <c r="B7" s="54" t="s">
        <v>475</v>
      </c>
      <c r="F7" s="369" t="s">
        <v>487</v>
      </c>
      <c r="G7" s="370"/>
      <c r="H7" s="371"/>
    </row>
    <row r="8" spans="1:10" ht="12.95" customHeight="1" x14ac:dyDescent="0.2">
      <c r="B8" s="54" t="s">
        <v>393</v>
      </c>
      <c r="F8" s="88">
        <v>6</v>
      </c>
      <c r="G8" s="54" t="s">
        <v>4</v>
      </c>
      <c r="H8" s="54"/>
    </row>
    <row r="9" spans="1:10" ht="12.95" customHeight="1" x14ac:dyDescent="0.2">
      <c r="B9" s="54" t="s">
        <v>449</v>
      </c>
      <c r="F9" s="120">
        <v>0.5</v>
      </c>
      <c r="H9" s="54"/>
      <c r="I9" s="54" t="s">
        <v>448</v>
      </c>
    </row>
    <row r="10" spans="1:10" ht="12.95" customHeight="1" x14ac:dyDescent="0.2">
      <c r="B10" s="54" t="s">
        <v>442</v>
      </c>
      <c r="F10" s="119">
        <v>18</v>
      </c>
      <c r="G10" s="54" t="s">
        <v>269</v>
      </c>
      <c r="H10" s="54"/>
      <c r="I10" s="54" t="s">
        <v>448</v>
      </c>
    </row>
    <row r="11" spans="1:10" ht="12.95" customHeight="1" x14ac:dyDescent="0.2">
      <c r="B11" s="54" t="s">
        <v>399</v>
      </c>
      <c r="F11" s="328">
        <f>1-dashboard!C29</f>
        <v>0.8</v>
      </c>
      <c r="G11" s="14"/>
      <c r="H11" s="54"/>
    </row>
    <row r="12" spans="1:10" ht="12.95" customHeight="1" x14ac:dyDescent="0.2">
      <c r="B12" s="54" t="s">
        <v>536</v>
      </c>
      <c r="F12" s="328">
        <f>dashboard!D29</f>
        <v>0.5</v>
      </c>
      <c r="G12" s="14" t="s">
        <v>1227</v>
      </c>
      <c r="H12" s="54"/>
    </row>
    <row r="13" spans="1:10" ht="12.95" customHeight="1" x14ac:dyDescent="0.2">
      <c r="B13" s="54" t="s">
        <v>596</v>
      </c>
      <c r="F13" s="329">
        <f>dashboard!E29</f>
        <v>50</v>
      </c>
      <c r="G13" s="14" t="s">
        <v>23</v>
      </c>
      <c r="H13" s="54"/>
    </row>
    <row r="14" spans="1:10" ht="12.95" customHeight="1" x14ac:dyDescent="0.2">
      <c r="B14" s="21"/>
      <c r="C14" s="21"/>
      <c r="D14" s="21"/>
      <c r="E14" s="21"/>
      <c r="G14" s="81"/>
      <c r="H14" s="54"/>
    </row>
    <row r="15" spans="1:10" ht="12.95" customHeight="1" x14ac:dyDescent="0.25">
      <c r="B15" s="105" t="s">
        <v>477</v>
      </c>
      <c r="C15" s="106"/>
      <c r="D15" s="106"/>
      <c r="E15" s="106"/>
      <c r="F15" s="106"/>
      <c r="G15" s="106"/>
      <c r="H15" s="107"/>
      <c r="I15" s="108"/>
    </row>
    <row r="16" spans="1:10" ht="12.95" customHeight="1" x14ac:dyDescent="0.25">
      <c r="B16" s="19" t="s">
        <v>300</v>
      </c>
      <c r="C16" s="75"/>
      <c r="D16" s="75"/>
      <c r="E16" s="74"/>
      <c r="F16" s="46" t="s">
        <v>0</v>
      </c>
      <c r="G16" s="20" t="s">
        <v>1</v>
      </c>
      <c r="H16" s="56" t="s">
        <v>305</v>
      </c>
      <c r="I16" s="5" t="s">
        <v>2</v>
      </c>
      <c r="J16" s="14"/>
    </row>
    <row r="17" spans="2:9" ht="12.95" customHeight="1" x14ac:dyDescent="0.2">
      <c r="B17" s="21"/>
      <c r="C17" s="21"/>
      <c r="D17" s="21"/>
      <c r="E17" s="21"/>
      <c r="F17" s="172"/>
      <c r="G17" s="81"/>
      <c r="H17" s="54"/>
    </row>
    <row r="18" spans="2:9" ht="12.95" customHeight="1" x14ac:dyDescent="0.2">
      <c r="B18" s="121" t="s">
        <v>563</v>
      </c>
      <c r="F18" s="168"/>
      <c r="H18" s="54"/>
    </row>
    <row r="19" spans="2:9" s="73" customFormat="1" ht="12.95" customHeight="1" x14ac:dyDescent="0.2">
      <c r="B19" s="73" t="s">
        <v>454</v>
      </c>
      <c r="F19" s="123">
        <f>F10/F9</f>
        <v>36</v>
      </c>
      <c r="G19" s="73" t="s">
        <v>455</v>
      </c>
    </row>
    <row r="20" spans="2:9" s="73" customFormat="1" ht="12.95" customHeight="1" x14ac:dyDescent="0.2">
      <c r="B20" s="73" t="s">
        <v>527</v>
      </c>
      <c r="F20" s="123">
        <f>F19*F11</f>
        <v>28.8</v>
      </c>
      <c r="G20" s="73" t="s">
        <v>455</v>
      </c>
    </row>
    <row r="21" spans="2:9" s="73" customFormat="1" ht="12.95" customHeight="1" x14ac:dyDescent="0.2">
      <c r="B21" s="73" t="s">
        <v>543</v>
      </c>
      <c r="F21" s="168">
        <f>params!$F$74*dashboard!$E$16</f>
        <v>0</v>
      </c>
      <c r="G21" s="73" t="s">
        <v>184</v>
      </c>
    </row>
    <row r="22" spans="2:9" s="73" customFormat="1" ht="12.95" customHeight="1" x14ac:dyDescent="0.2">
      <c r="B22" s="73" t="s">
        <v>533</v>
      </c>
      <c r="F22" s="168">
        <f>F21+F39</f>
        <v>0</v>
      </c>
      <c r="G22" s="73" t="s">
        <v>184</v>
      </c>
    </row>
    <row r="23" spans="2:9" s="73" customFormat="1" ht="12.95" customHeight="1" x14ac:dyDescent="0.2">
      <c r="B23" s="73" t="s">
        <v>534</v>
      </c>
      <c r="F23" s="157">
        <f>1000*F22/F19</f>
        <v>0</v>
      </c>
      <c r="G23" s="73" t="s">
        <v>432</v>
      </c>
    </row>
    <row r="24" spans="2:9" s="73" customFormat="1" ht="12.95" customHeight="1" x14ac:dyDescent="0.2">
      <c r="B24" s="73" t="s">
        <v>535</v>
      </c>
      <c r="F24" s="123">
        <f>F23/F11</f>
        <v>0</v>
      </c>
      <c r="G24" s="73" t="s">
        <v>432</v>
      </c>
      <c r="I24" s="73" t="s">
        <v>482</v>
      </c>
    </row>
    <row r="25" spans="2:9" s="73" customFormat="1" ht="12.95" customHeight="1" x14ac:dyDescent="0.2">
      <c r="B25" s="73" t="s">
        <v>457</v>
      </c>
      <c r="F25" s="123">
        <f>HLOOKUP(F8,t_growth,2)</f>
        <v>19.166991741648051</v>
      </c>
      <c r="G25" s="73" t="s">
        <v>395</v>
      </c>
    </row>
    <row r="26" spans="2:9" s="73" customFormat="1" ht="12.95" customHeight="1" x14ac:dyDescent="0.2">
      <c r="B26" s="73" t="s">
        <v>473</v>
      </c>
      <c r="F26" s="123">
        <f>F24/F25</f>
        <v>0</v>
      </c>
      <c r="G26" s="73" t="s">
        <v>5</v>
      </c>
      <c r="I26" s="167" t="s">
        <v>489</v>
      </c>
    </row>
    <row r="27" spans="2:9" s="73" customFormat="1" ht="12.95" customHeight="1" x14ac:dyDescent="0.2">
      <c r="B27" s="73" t="s">
        <v>472</v>
      </c>
      <c r="F27" s="123">
        <f>F8*F26</f>
        <v>0</v>
      </c>
      <c r="G27" s="73" t="s">
        <v>5</v>
      </c>
    </row>
    <row r="28" spans="2:9" ht="12.95" customHeight="1" x14ac:dyDescent="0.2">
      <c r="B28" s="163" t="s">
        <v>519</v>
      </c>
      <c r="F28" s="168">
        <f>F24-F23</f>
        <v>0</v>
      </c>
      <c r="G28" s="73" t="s">
        <v>432</v>
      </c>
      <c r="H28" s="54"/>
    </row>
    <row r="29" spans="2:9" ht="12.95" customHeight="1" x14ac:dyDescent="0.2">
      <c r="B29" s="21"/>
      <c r="C29" s="21"/>
      <c r="D29" s="21"/>
      <c r="E29" s="21"/>
      <c r="F29" s="172"/>
      <c r="G29" s="81"/>
      <c r="H29" s="54"/>
    </row>
    <row r="30" spans="2:9" ht="12.95" customHeight="1" x14ac:dyDescent="0.2">
      <c r="B30" s="121" t="s">
        <v>505</v>
      </c>
      <c r="F30" s="168"/>
      <c r="H30" s="54"/>
    </row>
    <row r="31" spans="2:9" ht="12.95" customHeight="1" x14ac:dyDescent="0.2">
      <c r="B31" s="73" t="s">
        <v>603</v>
      </c>
      <c r="F31" s="168"/>
      <c r="H31" s="54"/>
    </row>
    <row r="32" spans="2:9" ht="12.95" customHeight="1" x14ac:dyDescent="0.2">
      <c r="B32" s="73"/>
      <c r="C32" s="54" t="s">
        <v>558</v>
      </c>
      <c r="F32" s="183">
        <f>(1+F12)/F9</f>
        <v>3</v>
      </c>
      <c r="H32" s="54"/>
    </row>
    <row r="33" spans="2:10" ht="12.95" customHeight="1" x14ac:dyDescent="0.2">
      <c r="B33" s="73"/>
      <c r="C33" s="54" t="s">
        <v>537</v>
      </c>
      <c r="F33" s="168">
        <f>F32*F23</f>
        <v>0</v>
      </c>
      <c r="G33" s="54" t="s">
        <v>37</v>
      </c>
      <c r="H33" s="54"/>
    </row>
    <row r="34" spans="2:10" ht="12.95" customHeight="1" x14ac:dyDescent="0.2">
      <c r="B34" s="73"/>
      <c r="C34" s="54" t="s">
        <v>538</v>
      </c>
      <c r="F34" s="168">
        <f>$F$33*$F$13*params!$F$239/1000</f>
        <v>0</v>
      </c>
      <c r="G34" s="54" t="s">
        <v>539</v>
      </c>
      <c r="H34" s="54"/>
    </row>
    <row r="35" spans="2:10" s="253" customFormat="1" ht="12.95" customHeight="1" x14ac:dyDescent="0.2">
      <c r="B35" s="73" t="s">
        <v>1098</v>
      </c>
      <c r="F35" s="168"/>
    </row>
    <row r="36" spans="2:10" s="253" customFormat="1" ht="12.95" customHeight="1" x14ac:dyDescent="0.2">
      <c r="B36" s="73"/>
      <c r="C36" s="253" t="s">
        <v>1101</v>
      </c>
      <c r="F36" s="175">
        <f>MAX(F12-params!$F$8,0)</f>
        <v>0.38</v>
      </c>
      <c r="G36" s="253" t="s">
        <v>1108</v>
      </c>
    </row>
    <row r="37" spans="2:10" s="253" customFormat="1" ht="12.95" customHeight="1" x14ac:dyDescent="0.2">
      <c r="B37" s="73"/>
      <c r="C37" s="253" t="s">
        <v>1112</v>
      </c>
      <c r="F37" s="168">
        <f>F36*params!$F$322</f>
        <v>1457.5292666666667</v>
      </c>
      <c r="G37" s="253" t="s">
        <v>1109</v>
      </c>
    </row>
    <row r="38" spans="2:10" s="253" customFormat="1" ht="12.95" customHeight="1" x14ac:dyDescent="0.2">
      <c r="B38" s="73"/>
      <c r="D38" s="253" t="s">
        <v>515</v>
      </c>
      <c r="F38" s="175">
        <f>0.001*F37/F10</f>
        <v>8.0973848148148148E-2</v>
      </c>
      <c r="G38" s="253" t="s">
        <v>1110</v>
      </c>
    </row>
    <row r="39" spans="2:10" s="253" customFormat="1" ht="12.95" customHeight="1" x14ac:dyDescent="0.2">
      <c r="B39" s="73"/>
      <c r="C39" s="253" t="s">
        <v>1113</v>
      </c>
      <c r="E39" s="80"/>
      <c r="F39" s="168">
        <f>F21*F38*(1+F38)</f>
        <v>0</v>
      </c>
      <c r="G39" s="253" t="s">
        <v>184</v>
      </c>
      <c r="I39" s="73" t="s">
        <v>1111</v>
      </c>
    </row>
    <row r="40" spans="2:10" s="73" customFormat="1" ht="12.95" customHeight="1" x14ac:dyDescent="0.2">
      <c r="C40" s="73" t="s">
        <v>541</v>
      </c>
      <c r="F40" s="168">
        <f>1000*F39/F19*c_CO2.C</f>
        <v>0</v>
      </c>
      <c r="G40" s="54" t="s">
        <v>542</v>
      </c>
    </row>
    <row r="41" spans="2:10" s="73" customFormat="1" ht="12.95" customHeight="1" x14ac:dyDescent="0.2">
      <c r="B41" s="73" t="s">
        <v>559</v>
      </c>
      <c r="F41" s="173">
        <f>F10/(1+params!$F$9)</f>
        <v>16.822429906542055</v>
      </c>
      <c r="G41" s="73" t="s">
        <v>560</v>
      </c>
    </row>
    <row r="42" spans="2:10" s="73" customFormat="1" ht="12.95" customHeight="1" x14ac:dyDescent="0.2">
      <c r="B42" s="73" t="s">
        <v>506</v>
      </c>
      <c r="F42" s="168">
        <f>1000*c_CO2.C/F19</f>
        <v>101.78031338473927</v>
      </c>
      <c r="G42" s="73" t="s">
        <v>540</v>
      </c>
    </row>
    <row r="43" spans="2:10" s="73" customFormat="1" ht="12.95" customHeight="1" x14ac:dyDescent="0.2">
      <c r="B43" s="73" t="s">
        <v>981</v>
      </c>
      <c r="F43" s="183">
        <f>F42*F21/10^6</f>
        <v>0</v>
      </c>
      <c r="G43" s="73" t="s">
        <v>982</v>
      </c>
    </row>
    <row r="44" spans="2:10" ht="12.95" customHeight="1" x14ac:dyDescent="0.2">
      <c r="B44" s="21"/>
      <c r="C44" s="21"/>
      <c r="D44" s="21"/>
      <c r="E44" s="21"/>
      <c r="G44" s="81"/>
      <c r="H44" s="54"/>
    </row>
    <row r="45" spans="2:10" ht="12.95" customHeight="1" x14ac:dyDescent="0.25">
      <c r="B45" s="105" t="s">
        <v>392</v>
      </c>
      <c r="C45" s="106"/>
      <c r="D45" s="106"/>
      <c r="E45" s="106"/>
      <c r="F45" s="106"/>
      <c r="G45" s="106"/>
      <c r="H45" s="107"/>
      <c r="I45" s="108"/>
    </row>
    <row r="46" spans="2:10" ht="12.95" customHeight="1" x14ac:dyDescent="0.25">
      <c r="B46" s="19" t="s">
        <v>300</v>
      </c>
      <c r="C46" s="75"/>
      <c r="D46" s="75"/>
      <c r="E46" s="74"/>
      <c r="F46" s="46" t="s">
        <v>0</v>
      </c>
      <c r="G46" s="20" t="s">
        <v>1</v>
      </c>
      <c r="H46" s="56" t="s">
        <v>305</v>
      </c>
      <c r="I46" s="5" t="s">
        <v>2</v>
      </c>
      <c r="J46" s="14"/>
    </row>
    <row r="47" spans="2:10" ht="12.95" customHeight="1" x14ac:dyDescent="0.2">
      <c r="F47" s="80"/>
      <c r="H47" s="54"/>
    </row>
    <row r="48" spans="2:10" ht="12.95" customHeight="1" x14ac:dyDescent="0.2">
      <c r="B48" s="121" t="s">
        <v>505</v>
      </c>
      <c r="F48" s="168"/>
      <c r="H48" s="54"/>
    </row>
    <row r="49" spans="2:9" ht="12.95" customHeight="1" x14ac:dyDescent="0.2">
      <c r="B49" s="54" t="s">
        <v>532</v>
      </c>
      <c r="F49" s="182">
        <v>0.19</v>
      </c>
      <c r="G49" s="133"/>
      <c r="H49" s="130" t="s">
        <v>529</v>
      </c>
      <c r="I49" s="54" t="s">
        <v>530</v>
      </c>
    </row>
  </sheetData>
  <mergeCells count="1">
    <mergeCell ref="F7:H7"/>
  </mergeCells>
  <hyperlinks>
    <hyperlink ref="B2" location="cover!B18" display="return to TOC" xr:uid="{00000000-0004-0000-0500-000000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E07E8-0AC0-4669-B832-1127644CEE8D}">
  <sheetPr published="0" codeName="Sheet13">
    <tabColor rgb="FFFED976"/>
  </sheetPr>
  <dimension ref="A1:J55"/>
  <sheetViews>
    <sheetView workbookViewId="0"/>
  </sheetViews>
  <sheetFormatPr defaultColWidth="10.83203125" defaultRowHeight="12.95" customHeight="1" x14ac:dyDescent="0.2"/>
  <cols>
    <col min="1" max="1" width="1.83203125" style="54" customWidth="1"/>
    <col min="2" max="4" width="2.83203125" style="54" customWidth="1"/>
    <col min="5" max="5" width="32.83203125" style="54" customWidth="1"/>
    <col min="6" max="6" width="10.83203125" style="54" customWidth="1"/>
    <col min="7" max="7" width="11.83203125" style="54" customWidth="1"/>
    <col min="8" max="8" width="8.83203125" style="12" customWidth="1"/>
    <col min="9" max="9" width="75.83203125" style="54" customWidth="1"/>
    <col min="10" max="10" width="10.83203125" style="54" customWidth="1"/>
    <col min="11" max="16384" width="10.83203125" style="54"/>
  </cols>
  <sheetData>
    <row r="1" spans="1:10" ht="30" customHeight="1" x14ac:dyDescent="0.2">
      <c r="A1" s="85"/>
      <c r="B1" s="162" t="s">
        <v>1077</v>
      </c>
      <c r="C1" s="153"/>
      <c r="D1" s="153"/>
      <c r="E1" s="153"/>
      <c r="F1" s="14"/>
      <c r="G1" s="14"/>
      <c r="H1" s="55"/>
      <c r="I1" s="14"/>
      <c r="J1" s="14"/>
    </row>
    <row r="2" spans="1:10" ht="12.95" customHeight="1" x14ac:dyDescent="0.2">
      <c r="A2" s="85"/>
      <c r="B2" s="81" t="s">
        <v>349</v>
      </c>
      <c r="C2" s="21"/>
      <c r="D2" s="21"/>
      <c r="E2" s="21"/>
      <c r="H2" s="54"/>
    </row>
    <row r="3" spans="1:10" ht="12.95" customHeight="1" x14ac:dyDescent="0.2">
      <c r="B3" s="21"/>
      <c r="C3" s="21"/>
      <c r="D3" s="21"/>
      <c r="E3" s="21"/>
      <c r="G3" s="81"/>
      <c r="H3" s="54"/>
    </row>
    <row r="4" spans="1:10" ht="12.95" customHeight="1" x14ac:dyDescent="0.25">
      <c r="B4" s="105" t="s">
        <v>476</v>
      </c>
      <c r="C4" s="106"/>
      <c r="D4" s="106"/>
      <c r="E4" s="106"/>
      <c r="F4" s="106"/>
      <c r="G4" s="106"/>
      <c r="H4" s="107"/>
      <c r="I4" s="108"/>
    </row>
    <row r="5" spans="1:10" ht="12.95" customHeight="1" x14ac:dyDescent="0.25">
      <c r="B5" s="19" t="s">
        <v>300</v>
      </c>
      <c r="C5" s="75"/>
      <c r="D5" s="75"/>
      <c r="E5" s="74"/>
      <c r="F5" s="46" t="s">
        <v>0</v>
      </c>
      <c r="G5" s="20" t="s">
        <v>1</v>
      </c>
      <c r="H5" s="56" t="s">
        <v>305</v>
      </c>
      <c r="I5" s="5" t="s">
        <v>2</v>
      </c>
      <c r="J5" s="14"/>
    </row>
    <row r="6" spans="1:10" ht="12.95" customHeight="1" x14ac:dyDescent="0.2">
      <c r="F6" s="84"/>
      <c r="H6" s="54"/>
    </row>
    <row r="7" spans="1:10" ht="12.95" customHeight="1" x14ac:dyDescent="0.2">
      <c r="B7" s="54" t="s">
        <v>475</v>
      </c>
      <c r="F7" s="369" t="s">
        <v>488</v>
      </c>
      <c r="G7" s="370"/>
      <c r="H7" s="371"/>
    </row>
    <row r="8" spans="1:10" ht="12.95" customHeight="1" x14ac:dyDescent="0.2">
      <c r="B8" s="54" t="s">
        <v>393</v>
      </c>
      <c r="F8" s="119">
        <v>25</v>
      </c>
      <c r="G8" s="54" t="s">
        <v>4</v>
      </c>
      <c r="H8" s="54"/>
    </row>
    <row r="9" spans="1:10" ht="12.95" customHeight="1" x14ac:dyDescent="0.2">
      <c r="B9" s="54" t="s">
        <v>449</v>
      </c>
      <c r="F9" s="120">
        <v>0.5</v>
      </c>
      <c r="H9" s="54"/>
      <c r="I9" s="54" t="s">
        <v>448</v>
      </c>
    </row>
    <row r="10" spans="1:10" ht="12.95" customHeight="1" x14ac:dyDescent="0.2">
      <c r="B10" s="54" t="s">
        <v>442</v>
      </c>
      <c r="F10" s="119">
        <v>19</v>
      </c>
      <c r="G10" s="54" t="s">
        <v>269</v>
      </c>
      <c r="H10" s="54"/>
      <c r="I10" s="54" t="s">
        <v>448</v>
      </c>
    </row>
    <row r="11" spans="1:10" ht="12.95" customHeight="1" x14ac:dyDescent="0.2">
      <c r="B11" s="253" t="s">
        <v>855</v>
      </c>
      <c r="F11" s="328">
        <f>1-dashboard!C30</f>
        <v>0.8</v>
      </c>
      <c r="G11" s="14"/>
      <c r="H11" s="54"/>
    </row>
    <row r="12" spans="1:10" ht="12.95" customHeight="1" x14ac:dyDescent="0.2">
      <c r="B12" s="54" t="s">
        <v>536</v>
      </c>
      <c r="F12" s="330">
        <f>dashboard!D30</f>
        <v>0.7</v>
      </c>
      <c r="G12" s="14" t="s">
        <v>1227</v>
      </c>
      <c r="H12" s="54"/>
    </row>
    <row r="13" spans="1:10" ht="12.95" customHeight="1" x14ac:dyDescent="0.2">
      <c r="B13" s="54" t="s">
        <v>596</v>
      </c>
      <c r="F13" s="329">
        <f>dashboard!E30</f>
        <v>50</v>
      </c>
      <c r="G13" s="54" t="s">
        <v>23</v>
      </c>
      <c r="H13" s="54"/>
    </row>
    <row r="14" spans="1:10" ht="12.95" customHeight="1" x14ac:dyDescent="0.2">
      <c r="B14" s="21"/>
      <c r="C14" s="21"/>
      <c r="D14" s="21"/>
      <c r="E14" s="21"/>
      <c r="G14" s="81"/>
      <c r="H14" s="54"/>
    </row>
    <row r="15" spans="1:10" ht="12.95" customHeight="1" x14ac:dyDescent="0.25">
      <c r="B15" s="105" t="s">
        <v>477</v>
      </c>
      <c r="C15" s="106"/>
      <c r="D15" s="106"/>
      <c r="E15" s="106"/>
      <c r="F15" s="106"/>
      <c r="G15" s="106"/>
      <c r="H15" s="107"/>
      <c r="I15" s="108"/>
    </row>
    <row r="16" spans="1:10" ht="12.95" customHeight="1" x14ac:dyDescent="0.25">
      <c r="B16" s="19" t="s">
        <v>300</v>
      </c>
      <c r="C16" s="75"/>
      <c r="D16" s="75"/>
      <c r="E16" s="74"/>
      <c r="F16" s="46" t="s">
        <v>0</v>
      </c>
      <c r="G16" s="20" t="s">
        <v>1</v>
      </c>
      <c r="H16" s="56" t="s">
        <v>305</v>
      </c>
      <c r="I16" s="5" t="s">
        <v>2</v>
      </c>
      <c r="J16" s="14"/>
    </row>
    <row r="17" spans="2:9" ht="12.95" customHeight="1" x14ac:dyDescent="0.2">
      <c r="F17" s="80"/>
      <c r="H17" s="54"/>
    </row>
    <row r="18" spans="2:9" ht="12.95" customHeight="1" x14ac:dyDescent="0.2">
      <c r="B18" s="121" t="s">
        <v>563</v>
      </c>
      <c r="F18" s="168"/>
      <c r="H18" s="54"/>
    </row>
    <row r="19" spans="2:9" s="73" customFormat="1" ht="12.95" customHeight="1" x14ac:dyDescent="0.2">
      <c r="B19" s="73" t="s">
        <v>398</v>
      </c>
      <c r="F19" s="154">
        <f>dashboard!$F$17</f>
        <v>1014941.3700529597</v>
      </c>
      <c r="G19" s="73" t="s">
        <v>5</v>
      </c>
    </row>
    <row r="20" spans="2:9" s="73" customFormat="1" ht="12.95" customHeight="1" x14ac:dyDescent="0.2">
      <c r="B20" s="73" t="s">
        <v>454</v>
      </c>
      <c r="F20" s="154">
        <f>F10/F9</f>
        <v>38</v>
      </c>
      <c r="G20" s="73" t="s">
        <v>455</v>
      </c>
    </row>
    <row r="21" spans="2:9" s="73" customFormat="1" ht="12.95" customHeight="1" x14ac:dyDescent="0.2">
      <c r="B21" s="73" t="s">
        <v>543</v>
      </c>
      <c r="F21" s="154">
        <f>params!$F$74*dashboard!$E$17</f>
        <v>46968.559773672052</v>
      </c>
      <c r="G21" s="73" t="s">
        <v>184</v>
      </c>
    </row>
    <row r="22" spans="2:9" s="73" customFormat="1" ht="12.95" customHeight="1" x14ac:dyDescent="0.2">
      <c r="B22" s="73" t="s">
        <v>533</v>
      </c>
      <c r="F22" s="168">
        <f>F21+F40</f>
        <v>53111.867331942143</v>
      </c>
      <c r="G22" s="73" t="s">
        <v>184</v>
      </c>
    </row>
    <row r="23" spans="2:9" s="73" customFormat="1" ht="12.95" customHeight="1" x14ac:dyDescent="0.2">
      <c r="B23" s="73" t="s">
        <v>534</v>
      </c>
      <c r="F23" s="168">
        <f>1000*F22/F20</f>
        <v>1397680.7192616353</v>
      </c>
      <c r="G23" s="73" t="s">
        <v>432</v>
      </c>
    </row>
    <row r="24" spans="2:9" ht="12.95" customHeight="1" x14ac:dyDescent="0.2">
      <c r="B24" s="73" t="s">
        <v>535</v>
      </c>
      <c r="F24" s="157">
        <f>F23/F11</f>
        <v>1747100.8990770441</v>
      </c>
      <c r="G24" s="73" t="s">
        <v>432</v>
      </c>
      <c r="H24" s="54"/>
    </row>
    <row r="25" spans="2:9" s="73" customFormat="1" ht="12.95" customHeight="1" x14ac:dyDescent="0.2">
      <c r="B25" s="73" t="s">
        <v>926</v>
      </c>
      <c r="F25" s="168">
        <f>HLOOKUP($F$8,t_growth,3)</f>
        <v>43.034527673896086</v>
      </c>
      <c r="G25" s="73" t="s">
        <v>395</v>
      </c>
    </row>
    <row r="26" spans="2:9" s="73" customFormat="1" ht="12.95" customHeight="1" x14ac:dyDescent="0.2">
      <c r="B26" s="73" t="s">
        <v>927</v>
      </c>
      <c r="F26" s="168">
        <f>F24/F25</f>
        <v>40597.654802118384</v>
      </c>
      <c r="G26" s="73" t="s">
        <v>5</v>
      </c>
      <c r="I26" s="73" t="s">
        <v>898</v>
      </c>
    </row>
    <row r="27" spans="2:9" s="73" customFormat="1" ht="12.95" customHeight="1" x14ac:dyDescent="0.2">
      <c r="B27" s="73" t="s">
        <v>595</v>
      </c>
      <c r="F27" s="168">
        <f>MIN(F26*F8,F26*params!$F$7)</f>
        <v>1014941.3700529597</v>
      </c>
      <c r="G27" s="73" t="s">
        <v>5</v>
      </c>
      <c r="I27" s="54"/>
    </row>
    <row r="28" spans="2:9" s="73" customFormat="1" ht="12.95" customHeight="1" x14ac:dyDescent="0.2">
      <c r="B28" s="73" t="s">
        <v>518</v>
      </c>
      <c r="F28" s="125">
        <f>1-F11</f>
        <v>0.19999999999999996</v>
      </c>
      <c r="I28" s="54"/>
    </row>
    <row r="29" spans="2:9" s="73" customFormat="1" ht="12.95" customHeight="1" x14ac:dyDescent="0.2">
      <c r="B29" s="73" t="s">
        <v>520</v>
      </c>
      <c r="F29" s="168">
        <f>F28*F24</f>
        <v>349420.17981540872</v>
      </c>
      <c r="G29" s="73" t="s">
        <v>432</v>
      </c>
      <c r="I29" s="54"/>
    </row>
    <row r="30" spans="2:9" ht="12.95" customHeight="1" x14ac:dyDescent="0.2">
      <c r="B30" s="21"/>
      <c r="C30" s="21"/>
      <c r="D30" s="21"/>
      <c r="E30" s="21"/>
      <c r="F30" s="172"/>
      <c r="G30" s="81"/>
      <c r="H30" s="54"/>
    </row>
    <row r="31" spans="2:9" ht="12.95" customHeight="1" x14ac:dyDescent="0.2">
      <c r="B31" s="121" t="s">
        <v>505</v>
      </c>
      <c r="F31" s="168"/>
      <c r="H31" s="54"/>
    </row>
    <row r="32" spans="2:9" ht="12.95" customHeight="1" x14ac:dyDescent="0.2">
      <c r="B32" s="73" t="s">
        <v>603</v>
      </c>
      <c r="F32" s="168"/>
      <c r="H32" s="54"/>
    </row>
    <row r="33" spans="2:10" ht="12.95" customHeight="1" x14ac:dyDescent="0.2">
      <c r="B33" s="73"/>
      <c r="C33" s="54" t="s">
        <v>558</v>
      </c>
      <c r="F33" s="183">
        <f>(1+F12)/F9</f>
        <v>3.4</v>
      </c>
      <c r="H33" s="54"/>
    </row>
    <row r="34" spans="2:10" ht="12.95" customHeight="1" x14ac:dyDescent="0.2">
      <c r="B34" s="73"/>
      <c r="C34" s="54" t="s">
        <v>537</v>
      </c>
      <c r="F34" s="168">
        <f>F33*F23</f>
        <v>4752114.4454895603</v>
      </c>
      <c r="G34" s="54" t="s">
        <v>37</v>
      </c>
      <c r="H34" s="54"/>
    </row>
    <row r="35" spans="2:10" ht="12.95" customHeight="1" x14ac:dyDescent="0.2">
      <c r="B35" s="73"/>
      <c r="C35" s="54" t="s">
        <v>538</v>
      </c>
      <c r="F35" s="168">
        <f>F34*$F$13*params!$F$239/1000</f>
        <v>38323.503592657748</v>
      </c>
      <c r="G35" s="54" t="s">
        <v>539</v>
      </c>
      <c r="H35" s="54"/>
    </row>
    <row r="36" spans="2:10" s="253" customFormat="1" ht="12.95" customHeight="1" x14ac:dyDescent="0.2">
      <c r="B36" s="73" t="s">
        <v>1098</v>
      </c>
      <c r="F36" s="168"/>
    </row>
    <row r="37" spans="2:10" s="253" customFormat="1" ht="12.95" customHeight="1" x14ac:dyDescent="0.2">
      <c r="B37" s="73"/>
      <c r="C37" s="253" t="s">
        <v>1101</v>
      </c>
      <c r="F37" s="175">
        <f>MAX(F12-params!$F$8,0)</f>
        <v>0.57999999999999996</v>
      </c>
      <c r="G37" s="253" t="s">
        <v>1108</v>
      </c>
    </row>
    <row r="38" spans="2:10" s="253" customFormat="1" ht="12.95" customHeight="1" x14ac:dyDescent="0.2">
      <c r="B38" s="73"/>
      <c r="C38" s="253" t="s">
        <v>1112</v>
      </c>
      <c r="F38" s="168">
        <f>F37*params!$F$322</f>
        <v>2224.6499333333331</v>
      </c>
      <c r="G38" s="253" t="s">
        <v>1109</v>
      </c>
    </row>
    <row r="39" spans="2:10" s="253" customFormat="1" ht="12.95" customHeight="1" x14ac:dyDescent="0.2">
      <c r="B39" s="73"/>
      <c r="D39" s="253" t="s">
        <v>515</v>
      </c>
      <c r="F39" s="175">
        <f>0.001*F38/F10</f>
        <v>0.11708683859649122</v>
      </c>
      <c r="G39" s="253" t="s">
        <v>1110</v>
      </c>
    </row>
    <row r="40" spans="2:10" s="253" customFormat="1" ht="12.95" customHeight="1" x14ac:dyDescent="0.2">
      <c r="B40" s="73"/>
      <c r="C40" s="253" t="s">
        <v>1113</v>
      </c>
      <c r="E40" s="80"/>
      <c r="F40" s="168">
        <f>F21*F39*(1+F39)</f>
        <v>6143.307558270094</v>
      </c>
      <c r="G40" s="253" t="s">
        <v>184</v>
      </c>
      <c r="I40" s="73" t="s">
        <v>1111</v>
      </c>
    </row>
    <row r="41" spans="2:10" s="73" customFormat="1" ht="12.95" customHeight="1" x14ac:dyDescent="0.2">
      <c r="C41" s="73" t="s">
        <v>541</v>
      </c>
      <c r="F41" s="168">
        <f>1000*F40/F20*c_CO2.C</f>
        <v>592358.93857853778</v>
      </c>
      <c r="G41" s="54" t="s">
        <v>542</v>
      </c>
    </row>
    <row r="42" spans="2:10" s="73" customFormat="1" ht="12.95" customHeight="1" x14ac:dyDescent="0.2">
      <c r="B42" s="73" t="s">
        <v>559</v>
      </c>
      <c r="F42" s="173">
        <f>F10/(1+params!$F$9)</f>
        <v>17.75700934579439</v>
      </c>
      <c r="G42" s="73" t="s">
        <v>560</v>
      </c>
    </row>
    <row r="43" spans="2:10" s="73" customFormat="1" ht="12.95" customHeight="1" x14ac:dyDescent="0.2">
      <c r="B43" s="73" t="s">
        <v>506</v>
      </c>
      <c r="F43" s="168">
        <f>1000*c_CO2.C/F20</f>
        <v>96.423454785542475</v>
      </c>
      <c r="G43" s="73" t="s">
        <v>540</v>
      </c>
    </row>
    <row r="44" spans="2:10" s="73" customFormat="1" ht="12.95" customHeight="1" x14ac:dyDescent="0.2">
      <c r="B44" s="73" t="s">
        <v>981</v>
      </c>
      <c r="F44" s="183">
        <f>F43*F21/10^6</f>
        <v>4.5288707996787156</v>
      </c>
      <c r="G44" s="73" t="s">
        <v>982</v>
      </c>
    </row>
    <row r="45" spans="2:10" s="73" customFormat="1" ht="12.95" customHeight="1" x14ac:dyDescent="0.2">
      <c r="B45" s="73" t="s">
        <v>940</v>
      </c>
      <c r="F45" s="183">
        <f>dashboard!$E$17*params!$F$72</f>
        <v>4.38</v>
      </c>
      <c r="G45" s="73" t="s">
        <v>157</v>
      </c>
    </row>
    <row r="46" spans="2:10" ht="12.95" customHeight="1" x14ac:dyDescent="0.2">
      <c r="B46" s="21"/>
      <c r="C46" s="21"/>
      <c r="D46" s="21"/>
      <c r="E46" s="21"/>
      <c r="F46" s="80"/>
      <c r="G46" s="81"/>
      <c r="H46" s="54"/>
    </row>
    <row r="47" spans="2:10" ht="12.95" customHeight="1" x14ac:dyDescent="0.25">
      <c r="B47" s="105" t="s">
        <v>392</v>
      </c>
      <c r="C47" s="106"/>
      <c r="D47" s="106"/>
      <c r="E47" s="106"/>
      <c r="F47" s="106"/>
      <c r="G47" s="106"/>
      <c r="H47" s="107"/>
      <c r="I47" s="108"/>
    </row>
    <row r="48" spans="2:10" ht="12.95" customHeight="1" x14ac:dyDescent="0.25">
      <c r="B48" s="19" t="s">
        <v>300</v>
      </c>
      <c r="C48" s="75"/>
      <c r="D48" s="75"/>
      <c r="E48" s="74"/>
      <c r="F48" s="46" t="s">
        <v>0</v>
      </c>
      <c r="G48" s="20" t="s">
        <v>1</v>
      </c>
      <c r="H48" s="56" t="s">
        <v>305</v>
      </c>
      <c r="I48" s="5" t="s">
        <v>2</v>
      </c>
      <c r="J48" s="14"/>
    </row>
    <row r="50" spans="2:9" s="253" customFormat="1" ht="12.95" customHeight="1" x14ac:dyDescent="0.2">
      <c r="B50" s="121" t="s">
        <v>442</v>
      </c>
      <c r="F50" s="80"/>
    </row>
    <row r="51" spans="2:9" s="253" customFormat="1" ht="12.95" customHeight="1" x14ac:dyDescent="0.2">
      <c r="B51" s="253" t="s">
        <v>1213</v>
      </c>
      <c r="F51" s="165">
        <v>20.2</v>
      </c>
      <c r="G51" s="253" t="s">
        <v>269</v>
      </c>
      <c r="H51" s="78" t="s">
        <v>1214</v>
      </c>
      <c r="I51" s="253" t="s">
        <v>1215</v>
      </c>
    </row>
    <row r="52" spans="2:9" s="253" customFormat="1" ht="12.95" customHeight="1" x14ac:dyDescent="0.2">
      <c r="B52" s="253" t="s">
        <v>1216</v>
      </c>
      <c r="F52" s="165">
        <v>19.100000000000001</v>
      </c>
      <c r="G52" s="253" t="s">
        <v>269</v>
      </c>
      <c r="H52" s="78" t="s">
        <v>1214</v>
      </c>
      <c r="I52" s="253" t="s">
        <v>1217</v>
      </c>
    </row>
    <row r="53" spans="2:9" s="253" customFormat="1" ht="12.95" customHeight="1" x14ac:dyDescent="0.2">
      <c r="B53" s="253" t="s">
        <v>1218</v>
      </c>
      <c r="F53" s="165">
        <v>18.87</v>
      </c>
      <c r="G53" s="253" t="s">
        <v>269</v>
      </c>
      <c r="H53" s="78" t="s">
        <v>1214</v>
      </c>
      <c r="I53" s="253" t="s">
        <v>1219</v>
      </c>
    </row>
    <row r="54" spans="2:9" s="253" customFormat="1" ht="12.95" customHeight="1" x14ac:dyDescent="0.2">
      <c r="B54" s="253" t="s">
        <v>807</v>
      </c>
      <c r="F54" s="165">
        <v>19.79</v>
      </c>
      <c r="G54" s="253" t="s">
        <v>269</v>
      </c>
      <c r="H54" s="78" t="s">
        <v>1214</v>
      </c>
      <c r="I54" s="253" t="s">
        <v>1220</v>
      </c>
    </row>
    <row r="55" spans="2:9" s="253" customFormat="1" ht="12.95" customHeight="1" x14ac:dyDescent="0.2">
      <c r="B55" s="253" t="s">
        <v>807</v>
      </c>
      <c r="F55" s="165">
        <v>19.14</v>
      </c>
      <c r="G55" s="253" t="s">
        <v>269</v>
      </c>
      <c r="H55" s="78" t="s">
        <v>1214</v>
      </c>
      <c r="I55" s="253" t="s">
        <v>1221</v>
      </c>
    </row>
  </sheetData>
  <mergeCells count="1">
    <mergeCell ref="F7:H7"/>
  </mergeCells>
  <hyperlinks>
    <hyperlink ref="B2" location="cover!B18" display="return to TOC" xr:uid="{98509EE4-A2E3-409E-BFC1-E443C9596C82}"/>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7B207-D680-4982-B636-F99474232443}">
  <sheetPr published="0" codeName="Sheet26">
    <tabColor rgb="FFFED976"/>
  </sheetPr>
  <dimension ref="A1:J65"/>
  <sheetViews>
    <sheetView workbookViewId="0"/>
  </sheetViews>
  <sheetFormatPr defaultColWidth="10.83203125" defaultRowHeight="12.95" customHeight="1" x14ac:dyDescent="0.2"/>
  <cols>
    <col min="1" max="1" width="1.83203125" style="253" customWidth="1"/>
    <col min="2" max="4" width="2.83203125" style="253" customWidth="1"/>
    <col min="5" max="5" width="32.83203125" style="253" customWidth="1"/>
    <col min="6" max="6" width="10.83203125" style="253" customWidth="1"/>
    <col min="7" max="7" width="11.83203125" style="253" customWidth="1"/>
    <col min="8" max="8" width="8.83203125" style="250" customWidth="1"/>
    <col min="9" max="9" width="75.83203125" style="253" customWidth="1"/>
    <col min="10" max="10" width="10.83203125" style="253" customWidth="1"/>
    <col min="11" max="16384" width="10.83203125" style="253"/>
  </cols>
  <sheetData>
    <row r="1" spans="1:10" ht="30" customHeight="1" x14ac:dyDescent="0.2">
      <c r="A1" s="85"/>
      <c r="B1" s="162" t="s">
        <v>586</v>
      </c>
      <c r="C1" s="276"/>
      <c r="D1" s="276"/>
      <c r="E1" s="276"/>
      <c r="F1" s="14"/>
      <c r="G1" s="14"/>
      <c r="H1" s="55"/>
      <c r="I1" s="14"/>
      <c r="J1" s="14"/>
    </row>
    <row r="2" spans="1:10" ht="12.95" customHeight="1" x14ac:dyDescent="0.2">
      <c r="A2" s="85"/>
      <c r="B2" s="81" t="s">
        <v>349</v>
      </c>
      <c r="C2" s="21"/>
      <c r="D2" s="21"/>
      <c r="E2" s="21"/>
      <c r="H2" s="253"/>
    </row>
    <row r="3" spans="1:10" ht="12.95" customHeight="1" x14ac:dyDescent="0.2">
      <c r="B3" s="21"/>
      <c r="C3" s="21"/>
      <c r="D3" s="21"/>
      <c r="E3" s="21"/>
      <c r="G3" s="81"/>
      <c r="H3" s="253"/>
    </row>
    <row r="4" spans="1:10" ht="12.95" customHeight="1" x14ac:dyDescent="0.25">
      <c r="B4" s="105" t="s">
        <v>476</v>
      </c>
      <c r="C4" s="106"/>
      <c r="D4" s="106"/>
      <c r="E4" s="106"/>
      <c r="F4" s="106"/>
      <c r="G4" s="106"/>
      <c r="H4" s="107"/>
      <c r="I4" s="108"/>
    </row>
    <row r="5" spans="1:10" ht="12.95" customHeight="1" x14ac:dyDescent="0.25">
      <c r="B5" s="19" t="s">
        <v>300</v>
      </c>
      <c r="C5" s="75"/>
      <c r="D5" s="75"/>
      <c r="E5" s="74"/>
      <c r="F5" s="46" t="s">
        <v>0</v>
      </c>
      <c r="G5" s="20" t="s">
        <v>1</v>
      </c>
      <c r="H5" s="56" t="s">
        <v>305</v>
      </c>
      <c r="I5" s="5" t="s">
        <v>2</v>
      </c>
      <c r="J5" s="14"/>
    </row>
    <row r="6" spans="1:10" ht="12.95" customHeight="1" x14ac:dyDescent="0.2">
      <c r="F6" s="84"/>
      <c r="H6" s="253"/>
    </row>
    <row r="7" spans="1:10" ht="12.95" customHeight="1" x14ac:dyDescent="0.2">
      <c r="B7" s="253" t="s">
        <v>475</v>
      </c>
      <c r="F7" s="369" t="s">
        <v>488</v>
      </c>
      <c r="G7" s="370"/>
      <c r="H7" s="371"/>
    </row>
    <row r="8" spans="1:10" ht="12.95" customHeight="1" x14ac:dyDescent="0.2">
      <c r="B8" s="253" t="s">
        <v>992</v>
      </c>
      <c r="F8" s="119">
        <v>25</v>
      </c>
      <c r="G8" s="14" t="s">
        <v>4</v>
      </c>
      <c r="H8" s="253"/>
      <c r="I8" s="253" t="s">
        <v>991</v>
      </c>
    </row>
    <row r="9" spans="1:10" ht="12.95" customHeight="1" x14ac:dyDescent="0.2">
      <c r="B9" s="253" t="s">
        <v>852</v>
      </c>
      <c r="F9" s="119">
        <v>15</v>
      </c>
      <c r="G9" s="14" t="s">
        <v>4</v>
      </c>
      <c r="H9" s="253"/>
      <c r="I9" s="253" t="s">
        <v>853</v>
      </c>
    </row>
    <row r="10" spans="1:10" ht="12.95" customHeight="1" x14ac:dyDescent="0.2">
      <c r="B10" s="253" t="s">
        <v>449</v>
      </c>
      <c r="F10" s="120">
        <v>0.5</v>
      </c>
      <c r="H10" s="253"/>
      <c r="I10" s="253" t="s">
        <v>448</v>
      </c>
    </row>
    <row r="11" spans="1:10" ht="12.95" customHeight="1" x14ac:dyDescent="0.2">
      <c r="B11" s="253" t="s">
        <v>442</v>
      </c>
      <c r="F11" s="119">
        <v>19</v>
      </c>
      <c r="G11" s="253" t="s">
        <v>269</v>
      </c>
      <c r="H11" s="253"/>
      <c r="I11" s="253" t="s">
        <v>448</v>
      </c>
    </row>
    <row r="12" spans="1:10" ht="12.95" customHeight="1" x14ac:dyDescent="0.2">
      <c r="B12" s="253" t="s">
        <v>854</v>
      </c>
      <c r="F12" s="120">
        <v>0.25</v>
      </c>
      <c r="H12" s="253"/>
      <c r="I12" s="253" t="s">
        <v>952</v>
      </c>
    </row>
    <row r="13" spans="1:10" ht="12.95" customHeight="1" x14ac:dyDescent="0.2">
      <c r="B13" s="253" t="s">
        <v>579</v>
      </c>
      <c r="F13" s="191">
        <v>0.77</v>
      </c>
      <c r="H13" s="253"/>
    </row>
    <row r="14" spans="1:10" ht="12.95" customHeight="1" x14ac:dyDescent="0.2">
      <c r="B14" s="253" t="s">
        <v>580</v>
      </c>
      <c r="F14" s="191">
        <v>0.10299999999999999</v>
      </c>
      <c r="G14" s="253" t="s">
        <v>581</v>
      </c>
      <c r="H14" s="253"/>
    </row>
    <row r="15" spans="1:10" ht="12.95" customHeight="1" x14ac:dyDescent="0.2">
      <c r="B15" s="253" t="s">
        <v>855</v>
      </c>
      <c r="F15" s="328">
        <f>1-dashboard!C31</f>
        <v>0.8</v>
      </c>
      <c r="G15" s="14"/>
      <c r="H15" s="253"/>
      <c r="I15" s="253" t="s">
        <v>578</v>
      </c>
    </row>
    <row r="16" spans="1:10" ht="12.95" customHeight="1" x14ac:dyDescent="0.2">
      <c r="B16" s="253" t="s">
        <v>536</v>
      </c>
      <c r="F16" s="330">
        <f>dashboard!D31</f>
        <v>0.7</v>
      </c>
      <c r="G16" s="14" t="s">
        <v>1227</v>
      </c>
      <c r="H16" s="253"/>
    </row>
    <row r="17" spans="2:10" ht="12.95" customHeight="1" x14ac:dyDescent="0.2">
      <c r="B17" s="253" t="s">
        <v>596</v>
      </c>
      <c r="F17" s="329">
        <f>dashboard!E31</f>
        <v>100</v>
      </c>
      <c r="G17" s="253" t="s">
        <v>23</v>
      </c>
      <c r="H17" s="253"/>
    </row>
    <row r="18" spans="2:10" ht="12.95" customHeight="1" x14ac:dyDescent="0.2">
      <c r="B18" s="21"/>
      <c r="C18" s="21"/>
      <c r="D18" s="21"/>
      <c r="E18" s="21"/>
      <c r="G18" s="81"/>
      <c r="H18" s="253"/>
    </row>
    <row r="19" spans="2:10" ht="12.95" customHeight="1" x14ac:dyDescent="0.25">
      <c r="B19" s="105" t="s">
        <v>477</v>
      </c>
      <c r="C19" s="106"/>
      <c r="D19" s="106"/>
      <c r="E19" s="106"/>
      <c r="F19" s="106"/>
      <c r="G19" s="106"/>
      <c r="H19" s="107"/>
      <c r="I19" s="108"/>
    </row>
    <row r="20" spans="2:10" ht="12.95" customHeight="1" x14ac:dyDescent="0.25">
      <c r="B20" s="19" t="s">
        <v>300</v>
      </c>
      <c r="C20" s="75"/>
      <c r="D20" s="75"/>
      <c r="E20" s="74"/>
      <c r="F20" s="46" t="s">
        <v>0</v>
      </c>
      <c r="G20" s="20" t="s">
        <v>1</v>
      </c>
      <c r="H20" s="56" t="s">
        <v>305</v>
      </c>
      <c r="I20" s="5" t="s">
        <v>2</v>
      </c>
      <c r="J20" s="14"/>
    </row>
    <row r="21" spans="2:10" ht="12.95" customHeight="1" x14ac:dyDescent="0.2">
      <c r="F21" s="80"/>
      <c r="H21" s="253"/>
    </row>
    <row r="22" spans="2:10" ht="12.95" customHeight="1" x14ac:dyDescent="0.2">
      <c r="B22" s="121" t="s">
        <v>563</v>
      </c>
      <c r="F22" s="168"/>
      <c r="H22" s="253"/>
    </row>
    <row r="23" spans="2:10" s="73" customFormat="1" ht="12.95" customHeight="1" x14ac:dyDescent="0.2">
      <c r="B23" s="73" t="s">
        <v>454</v>
      </c>
      <c r="F23" s="168">
        <f>F11/F10</f>
        <v>38</v>
      </c>
      <c r="G23" s="73" t="s">
        <v>455</v>
      </c>
    </row>
    <row r="24" spans="2:10" s="73" customFormat="1" ht="12.95" customHeight="1" x14ac:dyDescent="0.2">
      <c r="B24" s="73" t="s">
        <v>543</v>
      </c>
      <c r="F24" s="168">
        <f>params!$F$74*dashboard!$E$18</f>
        <v>46968.559773672052</v>
      </c>
      <c r="G24" s="73" t="s">
        <v>184</v>
      </c>
    </row>
    <row r="25" spans="2:10" s="73" customFormat="1" ht="12.95" customHeight="1" x14ac:dyDescent="0.2">
      <c r="B25" s="73" t="s">
        <v>533</v>
      </c>
      <c r="F25" s="168">
        <f>F24+F47</f>
        <v>53111.867331942143</v>
      </c>
      <c r="G25" s="73" t="s">
        <v>184</v>
      </c>
    </row>
    <row r="26" spans="2:10" s="73" customFormat="1" ht="12.95" customHeight="1" x14ac:dyDescent="0.2">
      <c r="B26" s="73" t="s">
        <v>534</v>
      </c>
      <c r="F26" s="168">
        <f>1000*F25/F23</f>
        <v>1397680.7192616353</v>
      </c>
      <c r="G26" s="73" t="s">
        <v>432</v>
      </c>
    </row>
    <row r="27" spans="2:10" ht="12.95" customHeight="1" x14ac:dyDescent="0.2">
      <c r="B27" s="163" t="s">
        <v>535</v>
      </c>
      <c r="F27" s="168">
        <f>F26/F15</f>
        <v>1747100.8990770441</v>
      </c>
      <c r="G27" s="73" t="s">
        <v>432</v>
      </c>
      <c r="H27" s="253"/>
    </row>
    <row r="28" spans="2:10" ht="12.95" customHeight="1" x14ac:dyDescent="0.2">
      <c r="B28" s="152" t="s">
        <v>856</v>
      </c>
      <c r="F28" s="282">
        <f>HLOOKUP(F9,t_growth,4)</f>
        <v>17.4296431713258</v>
      </c>
      <c r="G28" s="253" t="s">
        <v>395</v>
      </c>
      <c r="H28" s="253"/>
    </row>
    <row r="29" spans="2:10" ht="12.95" customHeight="1" x14ac:dyDescent="0.2">
      <c r="B29" s="163" t="s">
        <v>927</v>
      </c>
      <c r="F29" s="168">
        <f>(F27/F12)/F28</f>
        <v>400949.3210856478</v>
      </c>
      <c r="G29" s="253" t="s">
        <v>5</v>
      </c>
      <c r="H29" s="253"/>
      <c r="I29" s="253" t="s">
        <v>898</v>
      </c>
    </row>
    <row r="30" spans="2:10" s="73" customFormat="1" ht="12.95" customHeight="1" x14ac:dyDescent="0.2">
      <c r="B30" s="73" t="s">
        <v>595</v>
      </c>
      <c r="F30" s="168">
        <f>MIN(F29*F8,F29*params!$F$7)</f>
        <v>10023733.027141195</v>
      </c>
      <c r="G30" s="73" t="s">
        <v>5</v>
      </c>
      <c r="I30" s="253"/>
    </row>
    <row r="31" spans="2:10" s="73" customFormat="1" ht="12.95" customHeight="1" x14ac:dyDescent="0.2">
      <c r="B31" s="73" t="s">
        <v>914</v>
      </c>
      <c r="F31" s="282">
        <f>HLOOKUP(F8,t_growth,4)</f>
        <v>43.034527673896086</v>
      </c>
      <c r="G31" s="253" t="s">
        <v>395</v>
      </c>
      <c r="I31" s="253"/>
    </row>
    <row r="32" spans="2:10" ht="12.95" customHeight="1" x14ac:dyDescent="0.2">
      <c r="B32" s="253" t="s">
        <v>911</v>
      </c>
      <c r="F32" s="168">
        <f>ROUND($F$9+MATCH($F$31,tsTHIN!$I$344:$AV$344,1),0)</f>
        <v>26</v>
      </c>
      <c r="G32" s="14" t="s">
        <v>4</v>
      </c>
      <c r="H32" s="253"/>
    </row>
    <row r="33" spans="2:9" s="73" customFormat="1" ht="12.95" customHeight="1" x14ac:dyDescent="0.2">
      <c r="B33" s="73" t="s">
        <v>901</v>
      </c>
      <c r="F33" s="125">
        <f>1-F12</f>
        <v>0.75</v>
      </c>
      <c r="I33" s="253"/>
    </row>
    <row r="34" spans="2:9" s="73" customFormat="1" ht="12.95" customHeight="1" x14ac:dyDescent="0.2">
      <c r="B34" s="73" t="s">
        <v>518</v>
      </c>
      <c r="F34" s="125">
        <f>1-F15</f>
        <v>0.19999999999999996</v>
      </c>
      <c r="I34" s="253"/>
    </row>
    <row r="35" spans="2:9" s="73" customFormat="1" ht="12.95" customHeight="1" x14ac:dyDescent="0.2">
      <c r="B35" s="73" t="s">
        <v>520</v>
      </c>
      <c r="F35" s="168">
        <f>F34*F27</f>
        <v>349420.17981540872</v>
      </c>
      <c r="G35" s="73" t="s">
        <v>432</v>
      </c>
      <c r="I35" s="253"/>
    </row>
    <row r="36" spans="2:9" s="73" customFormat="1" ht="12.95" customHeight="1" x14ac:dyDescent="0.2">
      <c r="B36" s="73" t="s">
        <v>584</v>
      </c>
      <c r="F36" s="175">
        <f>F12^F13</f>
        <v>0.34388545453493591</v>
      </c>
      <c r="I36" s="253" t="s">
        <v>585</v>
      </c>
    </row>
    <row r="37" spans="2:9" ht="12.95" customHeight="1" x14ac:dyDescent="0.2">
      <c r="B37" s="21"/>
      <c r="C37" s="21"/>
      <c r="D37" s="21"/>
      <c r="E37" s="21"/>
      <c r="F37" s="172"/>
      <c r="G37" s="81"/>
      <c r="H37" s="253"/>
    </row>
    <row r="38" spans="2:9" ht="12.95" customHeight="1" x14ac:dyDescent="0.2">
      <c r="B38" s="121" t="s">
        <v>505</v>
      </c>
      <c r="F38" s="168"/>
      <c r="H38" s="253"/>
    </row>
    <row r="39" spans="2:9" ht="12.95" customHeight="1" x14ac:dyDescent="0.2">
      <c r="B39" s="73" t="s">
        <v>603</v>
      </c>
      <c r="F39" s="168"/>
      <c r="H39" s="253"/>
    </row>
    <row r="40" spans="2:9" ht="12.95" customHeight="1" x14ac:dyDescent="0.2">
      <c r="B40" s="73"/>
      <c r="C40" s="253" t="s">
        <v>558</v>
      </c>
      <c r="F40" s="183">
        <f>(1+F16)/F10</f>
        <v>3.4</v>
      </c>
      <c r="H40" s="253"/>
    </row>
    <row r="41" spans="2:9" ht="12.95" customHeight="1" x14ac:dyDescent="0.2">
      <c r="B41" s="73"/>
      <c r="C41" s="253" t="s">
        <v>537</v>
      </c>
      <c r="F41" s="168">
        <f>F40*F26</f>
        <v>4752114.4454895603</v>
      </c>
      <c r="G41" s="253" t="s">
        <v>37</v>
      </c>
      <c r="H41" s="253"/>
    </row>
    <row r="42" spans="2:9" ht="12.95" customHeight="1" x14ac:dyDescent="0.2">
      <c r="B42" s="73"/>
      <c r="C42" s="253" t="s">
        <v>538</v>
      </c>
      <c r="F42" s="168">
        <f>F41*$F$17*params!$F$239/1000</f>
        <v>76647.007185315495</v>
      </c>
      <c r="G42" s="253" t="s">
        <v>539</v>
      </c>
      <c r="H42" s="253"/>
    </row>
    <row r="43" spans="2:9" ht="12.95" customHeight="1" x14ac:dyDescent="0.2">
      <c r="B43" s="73" t="s">
        <v>1098</v>
      </c>
      <c r="F43" s="168"/>
      <c r="H43" s="253"/>
    </row>
    <row r="44" spans="2:9" ht="12.95" customHeight="1" x14ac:dyDescent="0.2">
      <c r="B44" s="73"/>
      <c r="C44" s="253" t="s">
        <v>1101</v>
      </c>
      <c r="F44" s="175">
        <f>MAX(F16-params!$F$8,0)</f>
        <v>0.57999999999999996</v>
      </c>
      <c r="G44" s="253" t="s">
        <v>1108</v>
      </c>
      <c r="H44" s="253"/>
    </row>
    <row r="45" spans="2:9" ht="12.95" customHeight="1" x14ac:dyDescent="0.2">
      <c r="B45" s="73"/>
      <c r="C45" s="253" t="s">
        <v>1112</v>
      </c>
      <c r="F45" s="168">
        <f>F44*params!$F$322</f>
        <v>2224.6499333333331</v>
      </c>
      <c r="G45" s="253" t="s">
        <v>1109</v>
      </c>
      <c r="H45" s="253"/>
    </row>
    <row r="46" spans="2:9" ht="12.95" customHeight="1" x14ac:dyDescent="0.2">
      <c r="B46" s="73"/>
      <c r="D46" s="253" t="s">
        <v>515</v>
      </c>
      <c r="F46" s="175">
        <f>0.001*F45/F11</f>
        <v>0.11708683859649122</v>
      </c>
      <c r="G46" s="253" t="s">
        <v>1110</v>
      </c>
      <c r="H46" s="253"/>
    </row>
    <row r="47" spans="2:9" ht="12.95" customHeight="1" x14ac:dyDescent="0.2">
      <c r="B47" s="73"/>
      <c r="C47" s="253" t="s">
        <v>1113</v>
      </c>
      <c r="E47" s="80"/>
      <c r="F47" s="168">
        <f>F24*F46*(1+F46)</f>
        <v>6143.307558270094</v>
      </c>
      <c r="G47" s="253" t="s">
        <v>184</v>
      </c>
      <c r="H47" s="253"/>
      <c r="I47" s="73" t="s">
        <v>1111</v>
      </c>
    </row>
    <row r="48" spans="2:9" s="73" customFormat="1" ht="12.95" customHeight="1" x14ac:dyDescent="0.2">
      <c r="C48" s="73" t="s">
        <v>541</v>
      </c>
      <c r="F48" s="168">
        <f>1000*F47/F23*c_CO2.C</f>
        <v>592358.93857853778</v>
      </c>
      <c r="G48" s="253" t="s">
        <v>542</v>
      </c>
    </row>
    <row r="49" spans="2:10" s="73" customFormat="1" ht="12.95" customHeight="1" x14ac:dyDescent="0.2">
      <c r="B49" s="73" t="s">
        <v>559</v>
      </c>
      <c r="F49" s="173">
        <f>F11/(1+params!$F$9)</f>
        <v>17.75700934579439</v>
      </c>
      <c r="G49" s="73" t="s">
        <v>560</v>
      </c>
    </row>
    <row r="50" spans="2:10" s="73" customFormat="1" ht="12.95" customHeight="1" x14ac:dyDescent="0.2">
      <c r="B50" s="73" t="s">
        <v>506</v>
      </c>
      <c r="F50" s="168">
        <f>1000*c_CO2.C/F23</f>
        <v>96.423454785542475</v>
      </c>
      <c r="G50" s="73" t="s">
        <v>540</v>
      </c>
    </row>
    <row r="51" spans="2:10" s="73" customFormat="1" ht="12.95" customHeight="1" x14ac:dyDescent="0.2">
      <c r="B51" s="73" t="s">
        <v>981</v>
      </c>
      <c r="F51" s="183">
        <f>F50*F24/10^6</f>
        <v>4.5288707996787156</v>
      </c>
      <c r="G51" s="73" t="s">
        <v>982</v>
      </c>
    </row>
    <row r="52" spans="2:10" s="73" customFormat="1" ht="12.95" customHeight="1" x14ac:dyDescent="0.2">
      <c r="B52" s="73" t="s">
        <v>940</v>
      </c>
      <c r="F52" s="183">
        <f>dashboard!$E$18*params!$F$72</f>
        <v>4.38</v>
      </c>
      <c r="G52" s="73" t="s">
        <v>215</v>
      </c>
    </row>
    <row r="53" spans="2:10" ht="12.95" customHeight="1" x14ac:dyDescent="0.2">
      <c r="B53" s="21"/>
      <c r="C53" s="21"/>
      <c r="D53" s="21"/>
      <c r="E53" s="21"/>
      <c r="G53" s="81"/>
      <c r="H53" s="253"/>
    </row>
    <row r="54" spans="2:10" ht="12.95" customHeight="1" x14ac:dyDescent="0.25">
      <c r="B54" s="105" t="s">
        <v>392</v>
      </c>
      <c r="C54" s="106"/>
      <c r="D54" s="106"/>
      <c r="E54" s="106"/>
      <c r="F54" s="106"/>
      <c r="G54" s="106"/>
      <c r="H54" s="107"/>
      <c r="I54" s="108"/>
    </row>
    <row r="55" spans="2:10" ht="12.95" customHeight="1" x14ac:dyDescent="0.25">
      <c r="B55" s="19" t="s">
        <v>300</v>
      </c>
      <c r="C55" s="75"/>
      <c r="D55" s="75"/>
      <c r="E55" s="74"/>
      <c r="F55" s="46" t="s">
        <v>0</v>
      </c>
      <c r="G55" s="20" t="s">
        <v>1</v>
      </c>
      <c r="H55" s="56" t="s">
        <v>305</v>
      </c>
      <c r="I55" s="5" t="s">
        <v>2</v>
      </c>
      <c r="J55" s="14"/>
    </row>
    <row r="56" spans="2:10" ht="12.95" customHeight="1" x14ac:dyDescent="0.2">
      <c r="F56" s="80"/>
      <c r="H56" s="253"/>
    </row>
    <row r="57" spans="2:10" ht="12.95" customHeight="1" x14ac:dyDescent="0.2">
      <c r="B57" s="253" t="s">
        <v>579</v>
      </c>
      <c r="F57" s="190">
        <v>0.77</v>
      </c>
      <c r="H57" s="78" t="s">
        <v>582</v>
      </c>
      <c r="I57" s="253" t="s">
        <v>583</v>
      </c>
    </row>
    <row r="58" spans="2:10" ht="12.95" customHeight="1" x14ac:dyDescent="0.2">
      <c r="B58" s="253" t="s">
        <v>580</v>
      </c>
      <c r="F58" s="190">
        <v>0.10299999999999999</v>
      </c>
      <c r="G58" s="253" t="s">
        <v>581</v>
      </c>
      <c r="H58" s="78" t="s">
        <v>582</v>
      </c>
      <c r="I58" s="253" t="s">
        <v>583</v>
      </c>
    </row>
    <row r="60" spans="2:10" ht="12.95" customHeight="1" x14ac:dyDescent="0.2">
      <c r="B60" s="121" t="s">
        <v>442</v>
      </c>
      <c r="F60" s="80"/>
      <c r="H60" s="253"/>
    </row>
    <row r="61" spans="2:10" ht="12.95" customHeight="1" x14ac:dyDescent="0.2">
      <c r="B61" s="253" t="s">
        <v>1213</v>
      </c>
      <c r="F61" s="165">
        <v>20.2</v>
      </c>
      <c r="G61" s="253" t="s">
        <v>269</v>
      </c>
      <c r="H61" s="78" t="s">
        <v>1214</v>
      </c>
      <c r="I61" s="253" t="s">
        <v>1215</v>
      </c>
    </row>
    <row r="62" spans="2:10" ht="12.95" customHeight="1" x14ac:dyDescent="0.2">
      <c r="B62" s="253" t="s">
        <v>1216</v>
      </c>
      <c r="F62" s="165">
        <v>19.100000000000001</v>
      </c>
      <c r="G62" s="253" t="s">
        <v>269</v>
      </c>
      <c r="H62" s="78" t="s">
        <v>1214</v>
      </c>
      <c r="I62" s="253" t="s">
        <v>1217</v>
      </c>
    </row>
    <row r="63" spans="2:10" ht="12.95" customHeight="1" x14ac:dyDescent="0.2">
      <c r="B63" s="253" t="s">
        <v>1218</v>
      </c>
      <c r="F63" s="165">
        <v>18.87</v>
      </c>
      <c r="G63" s="253" t="s">
        <v>269</v>
      </c>
      <c r="H63" s="78" t="s">
        <v>1214</v>
      </c>
      <c r="I63" s="253" t="s">
        <v>1219</v>
      </c>
    </row>
    <row r="64" spans="2:10" ht="12.95" customHeight="1" x14ac:dyDescent="0.2">
      <c r="B64" s="253" t="s">
        <v>807</v>
      </c>
      <c r="F64" s="165">
        <v>19.79</v>
      </c>
      <c r="G64" s="253" t="s">
        <v>269</v>
      </c>
      <c r="H64" s="78" t="s">
        <v>1214</v>
      </c>
      <c r="I64" s="253" t="s">
        <v>1220</v>
      </c>
    </row>
    <row r="65" spans="2:9" ht="12.95" customHeight="1" x14ac:dyDescent="0.2">
      <c r="B65" s="253" t="s">
        <v>807</v>
      </c>
      <c r="F65" s="165">
        <v>19.14</v>
      </c>
      <c r="G65" s="253" t="s">
        <v>269</v>
      </c>
      <c r="H65" s="78" t="s">
        <v>1214</v>
      </c>
      <c r="I65" s="253" t="s">
        <v>1221</v>
      </c>
    </row>
  </sheetData>
  <mergeCells count="1">
    <mergeCell ref="F7:H7"/>
  </mergeCells>
  <hyperlinks>
    <hyperlink ref="B2" location="cover!B18" display="return to TOC" xr:uid="{B01BBFCC-791D-43A3-91DE-69045301C8A9}"/>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F2CFA-D003-4277-A4D5-2F78D604AE09}">
  <sheetPr published="0" codeName="Sheet17">
    <tabColor rgb="FFFED976"/>
  </sheetPr>
  <dimension ref="A1:J48"/>
  <sheetViews>
    <sheetView workbookViewId="0"/>
  </sheetViews>
  <sheetFormatPr defaultColWidth="10.83203125" defaultRowHeight="12.95" customHeight="1" x14ac:dyDescent="0.2"/>
  <cols>
    <col min="1" max="1" width="1.83203125" style="54" customWidth="1"/>
    <col min="2" max="4" width="2.83203125" style="54" customWidth="1"/>
    <col min="5" max="5" width="32.83203125" style="54" customWidth="1"/>
    <col min="6" max="6" width="10.83203125" style="54" customWidth="1"/>
    <col min="7" max="7" width="11.83203125" style="54" customWidth="1"/>
    <col min="8" max="8" width="8.83203125" style="12" customWidth="1"/>
    <col min="9" max="9" width="75.83203125" style="54" customWidth="1"/>
    <col min="10" max="10" width="10.83203125" style="54" customWidth="1"/>
    <col min="11" max="16384" width="10.83203125" style="54"/>
  </cols>
  <sheetData>
    <row r="1" spans="1:10" ht="30" customHeight="1" x14ac:dyDescent="0.2">
      <c r="A1" s="85"/>
      <c r="B1" s="162" t="s">
        <v>998</v>
      </c>
      <c r="C1" s="196"/>
      <c r="D1" s="196"/>
      <c r="E1" s="196"/>
      <c r="F1" s="14"/>
      <c r="G1" s="14"/>
      <c r="H1" s="55"/>
      <c r="I1" s="14"/>
      <c r="J1" s="14"/>
    </row>
    <row r="2" spans="1:10" ht="12.95" customHeight="1" x14ac:dyDescent="0.2">
      <c r="A2" s="85"/>
      <c r="B2" s="81" t="s">
        <v>349</v>
      </c>
      <c r="C2" s="21"/>
      <c r="D2" s="21"/>
      <c r="E2" s="21"/>
      <c r="H2" s="54"/>
    </row>
    <row r="3" spans="1:10" ht="12.95" customHeight="1" x14ac:dyDescent="0.2">
      <c r="B3" s="21"/>
      <c r="C3" s="21"/>
      <c r="D3" s="21"/>
      <c r="E3" s="21"/>
      <c r="G3" s="81"/>
      <c r="H3" s="54"/>
    </row>
    <row r="4" spans="1:10" ht="12.95" customHeight="1" x14ac:dyDescent="0.25">
      <c r="B4" s="105" t="s">
        <v>476</v>
      </c>
      <c r="C4" s="106"/>
      <c r="D4" s="106"/>
      <c r="E4" s="106"/>
      <c r="F4" s="106"/>
      <c r="G4" s="106"/>
      <c r="H4" s="107"/>
      <c r="I4" s="108"/>
    </row>
    <row r="5" spans="1:10" ht="12.95" customHeight="1" x14ac:dyDescent="0.25">
      <c r="B5" s="19" t="s">
        <v>300</v>
      </c>
      <c r="C5" s="75"/>
      <c r="D5" s="75"/>
      <c r="E5" s="74"/>
      <c r="F5" s="46" t="s">
        <v>0</v>
      </c>
      <c r="G5" s="20" t="s">
        <v>1</v>
      </c>
      <c r="H5" s="56" t="s">
        <v>305</v>
      </c>
      <c r="I5" s="5" t="s">
        <v>2</v>
      </c>
      <c r="J5" s="14"/>
    </row>
    <row r="6" spans="1:10" ht="12.95" customHeight="1" x14ac:dyDescent="0.2">
      <c r="F6" s="84"/>
      <c r="H6" s="54"/>
    </row>
    <row r="7" spans="1:10" s="253" customFormat="1" ht="12.95" customHeight="1" x14ac:dyDescent="0.2">
      <c r="B7" s="253" t="s">
        <v>990</v>
      </c>
      <c r="F7" s="119">
        <v>25</v>
      </c>
      <c r="G7" s="14" t="s">
        <v>4</v>
      </c>
      <c r="I7" s="253" t="s">
        <v>993</v>
      </c>
    </row>
    <row r="8" spans="1:10" ht="12.95" customHeight="1" x14ac:dyDescent="0.2">
      <c r="B8" s="14" t="s">
        <v>449</v>
      </c>
      <c r="F8" s="120">
        <v>0.5</v>
      </c>
      <c r="H8" s="54"/>
      <c r="I8" s="54" t="s">
        <v>448</v>
      </c>
    </row>
    <row r="9" spans="1:10" ht="12.95" customHeight="1" x14ac:dyDescent="0.2">
      <c r="B9" s="54" t="s">
        <v>442</v>
      </c>
      <c r="F9" s="119">
        <v>16</v>
      </c>
      <c r="G9" s="54" t="s">
        <v>269</v>
      </c>
      <c r="H9" s="54"/>
      <c r="I9" s="54" t="s">
        <v>448</v>
      </c>
    </row>
    <row r="10" spans="1:10" s="253" customFormat="1" ht="12.95" customHeight="1" x14ac:dyDescent="0.2">
      <c r="B10" s="253" t="s">
        <v>996</v>
      </c>
      <c r="F10" s="120">
        <v>0.2</v>
      </c>
      <c r="G10" s="14"/>
    </row>
    <row r="11" spans="1:10" s="253" customFormat="1" ht="12.95" customHeight="1" x14ac:dyDescent="0.2">
      <c r="B11" s="253" t="s">
        <v>997</v>
      </c>
      <c r="F11" s="328">
        <f>1-dashboard!C32</f>
        <v>0.5</v>
      </c>
      <c r="G11" s="14"/>
    </row>
    <row r="12" spans="1:10" ht="12.95" customHeight="1" x14ac:dyDescent="0.2">
      <c r="B12" s="54" t="s">
        <v>536</v>
      </c>
      <c r="F12" s="330">
        <f>dashboard!D32</f>
        <v>0.5</v>
      </c>
      <c r="G12" s="14" t="s">
        <v>1227</v>
      </c>
      <c r="H12" s="54"/>
    </row>
    <row r="13" spans="1:10" ht="12.95" customHeight="1" x14ac:dyDescent="0.2">
      <c r="B13" s="54" t="s">
        <v>596</v>
      </c>
      <c r="F13" s="329">
        <f>dashboard!E32</f>
        <v>100</v>
      </c>
      <c r="G13" s="54" t="s">
        <v>23</v>
      </c>
      <c r="H13" s="54"/>
    </row>
    <row r="14" spans="1:10" ht="12.95" customHeight="1" x14ac:dyDescent="0.2">
      <c r="B14" s="21"/>
      <c r="C14" s="21"/>
      <c r="D14" s="21"/>
      <c r="E14" s="21"/>
      <c r="G14" s="81"/>
      <c r="H14" s="54"/>
    </row>
    <row r="15" spans="1:10" ht="12.95" customHeight="1" x14ac:dyDescent="0.25">
      <c r="B15" s="105" t="s">
        <v>477</v>
      </c>
      <c r="C15" s="106"/>
      <c r="D15" s="106"/>
      <c r="E15" s="106"/>
      <c r="F15" s="106"/>
      <c r="G15" s="106"/>
      <c r="H15" s="107"/>
      <c r="I15" s="108"/>
    </row>
    <row r="16" spans="1:10" ht="12.95" customHeight="1" x14ac:dyDescent="0.25">
      <c r="B16" s="19" t="s">
        <v>300</v>
      </c>
      <c r="C16" s="75"/>
      <c r="D16" s="75"/>
      <c r="E16" s="74"/>
      <c r="F16" s="46" t="s">
        <v>0</v>
      </c>
      <c r="G16" s="20" t="s">
        <v>1</v>
      </c>
      <c r="H16" s="56" t="s">
        <v>305</v>
      </c>
      <c r="I16" s="5" t="s">
        <v>2</v>
      </c>
      <c r="J16" s="14"/>
    </row>
    <row r="17" spans="2:9" ht="12.95" customHeight="1" x14ac:dyDescent="0.2">
      <c r="F17" s="80"/>
      <c r="H17" s="54"/>
    </row>
    <row r="18" spans="2:9" ht="12.95" customHeight="1" x14ac:dyDescent="0.2">
      <c r="B18" s="121" t="s">
        <v>563</v>
      </c>
      <c r="F18" s="168"/>
      <c r="H18" s="54"/>
    </row>
    <row r="19" spans="2:9" s="73" customFormat="1" ht="12.95" customHeight="1" x14ac:dyDescent="0.2">
      <c r="B19" s="73" t="s">
        <v>995</v>
      </c>
      <c r="F19" s="168">
        <f>HLOOKUP(F7,t_growth,5)</f>
        <v>43.034527673896086</v>
      </c>
      <c r="G19" s="73" t="s">
        <v>395</v>
      </c>
    </row>
    <row r="20" spans="2:9" s="73" customFormat="1" ht="12.95" customHeight="1" x14ac:dyDescent="0.2">
      <c r="B20" s="73" t="s">
        <v>999</v>
      </c>
      <c r="F20" s="183">
        <f>F19*F10*F11</f>
        <v>4.3034527673896088</v>
      </c>
      <c r="G20" s="73" t="s">
        <v>395</v>
      </c>
    </row>
    <row r="21" spans="2:9" s="73" customFormat="1" ht="12.95" customHeight="1" x14ac:dyDescent="0.2">
      <c r="B21" s="73" t="s">
        <v>1001</v>
      </c>
      <c r="F21" s="183">
        <f>F19*F10*(1-F11)</f>
        <v>4.3034527673896088</v>
      </c>
      <c r="G21" s="73" t="s">
        <v>395</v>
      </c>
    </row>
    <row r="22" spans="2:9" s="73" customFormat="1" ht="12.95" customHeight="1" x14ac:dyDescent="0.2">
      <c r="B22" s="73" t="s">
        <v>1002</v>
      </c>
      <c r="F22" s="183">
        <f>F19*F10</f>
        <v>8.6069055347792176</v>
      </c>
      <c r="G22" s="73" t="s">
        <v>395</v>
      </c>
    </row>
    <row r="23" spans="2:9" s="73" customFormat="1" ht="12.95" customHeight="1" x14ac:dyDescent="0.2">
      <c r="B23" s="73" t="s">
        <v>454</v>
      </c>
      <c r="F23" s="168">
        <f>F9/F8</f>
        <v>32</v>
      </c>
      <c r="G23" s="73" t="s">
        <v>455</v>
      </c>
    </row>
    <row r="24" spans="2:9" s="73" customFormat="1" ht="12.95" customHeight="1" x14ac:dyDescent="0.2">
      <c r="B24" s="73" t="s">
        <v>543</v>
      </c>
      <c r="F24" s="168">
        <f>params!$F$74*dashboard!$E$19</f>
        <v>0</v>
      </c>
      <c r="G24" s="73" t="s">
        <v>184</v>
      </c>
    </row>
    <row r="25" spans="2:9" s="73" customFormat="1" ht="12.95" customHeight="1" x14ac:dyDescent="0.2">
      <c r="B25" s="73" t="s">
        <v>533</v>
      </c>
      <c r="F25" s="168">
        <f>F24+F41</f>
        <v>0</v>
      </c>
      <c r="G25" s="73" t="s">
        <v>184</v>
      </c>
    </row>
    <row r="26" spans="2:9" s="73" customFormat="1" ht="12.95" customHeight="1" x14ac:dyDescent="0.2">
      <c r="B26" s="73" t="s">
        <v>534</v>
      </c>
      <c r="F26" s="168">
        <f>1000*F25/F23</f>
        <v>0</v>
      </c>
      <c r="G26" s="73" t="s">
        <v>432</v>
      </c>
    </row>
    <row r="27" spans="2:9" s="73" customFormat="1" ht="12.95" customHeight="1" x14ac:dyDescent="0.2">
      <c r="B27" s="73" t="s">
        <v>927</v>
      </c>
      <c r="F27" s="168">
        <f>F26/F20</f>
        <v>0</v>
      </c>
      <c r="G27" s="73" t="s">
        <v>5</v>
      </c>
      <c r="I27" s="54"/>
    </row>
    <row r="28" spans="2:9" s="73" customFormat="1" ht="12.95" customHeight="1" x14ac:dyDescent="0.2">
      <c r="B28" s="73" t="s">
        <v>1000</v>
      </c>
      <c r="F28" s="168">
        <f>F27*F7</f>
        <v>0</v>
      </c>
      <c r="G28" s="73" t="s">
        <v>5</v>
      </c>
      <c r="I28" s="253"/>
    </row>
    <row r="29" spans="2:9" s="73" customFormat="1" ht="12.95" customHeight="1" x14ac:dyDescent="0.2">
      <c r="B29" s="73" t="s">
        <v>1014</v>
      </c>
      <c r="F29" s="168">
        <f>F21*F27</f>
        <v>0</v>
      </c>
      <c r="G29" s="73" t="s">
        <v>432</v>
      </c>
    </row>
    <row r="30" spans="2:9" s="73" customFormat="1" ht="12.95" customHeight="1" x14ac:dyDescent="0.2">
      <c r="B30" s="73" t="s">
        <v>1015</v>
      </c>
      <c r="F30" s="168">
        <f>F22*F27</f>
        <v>0</v>
      </c>
      <c r="G30" s="73" t="s">
        <v>432</v>
      </c>
    </row>
    <row r="31" spans="2:9" ht="12.95" customHeight="1" x14ac:dyDescent="0.2">
      <c r="B31" s="21"/>
      <c r="C31" s="21"/>
      <c r="D31" s="21"/>
      <c r="E31" s="21"/>
      <c r="G31" s="81"/>
      <c r="H31" s="54"/>
    </row>
    <row r="32" spans="2:9" ht="12.95" customHeight="1" x14ac:dyDescent="0.2">
      <c r="B32" s="121" t="s">
        <v>505</v>
      </c>
      <c r="F32" s="168"/>
      <c r="H32" s="54"/>
    </row>
    <row r="33" spans="2:10" ht="12.95" customHeight="1" x14ac:dyDescent="0.2">
      <c r="B33" s="73" t="s">
        <v>603</v>
      </c>
      <c r="F33" s="168"/>
      <c r="H33" s="54"/>
    </row>
    <row r="34" spans="2:10" ht="12.95" customHeight="1" x14ac:dyDescent="0.2">
      <c r="B34" s="73"/>
      <c r="C34" s="54" t="s">
        <v>558</v>
      </c>
      <c r="F34" s="183">
        <f>(1+F12)/F8</f>
        <v>3</v>
      </c>
      <c r="H34" s="54"/>
    </row>
    <row r="35" spans="2:10" ht="12.95" customHeight="1" x14ac:dyDescent="0.2">
      <c r="B35" s="73"/>
      <c r="C35" s="54" t="s">
        <v>537</v>
      </c>
      <c r="F35" s="168">
        <f>F34*F26</f>
        <v>0</v>
      </c>
      <c r="G35" s="54" t="s">
        <v>37</v>
      </c>
      <c r="H35" s="54"/>
    </row>
    <row r="36" spans="2:10" ht="12.95" customHeight="1" x14ac:dyDescent="0.2">
      <c r="B36" s="73"/>
      <c r="C36" s="54" t="s">
        <v>538</v>
      </c>
      <c r="F36" s="168">
        <f>F35*$F$13*params!$F$239/1000</f>
        <v>0</v>
      </c>
      <c r="G36" s="54" t="s">
        <v>539</v>
      </c>
      <c r="H36" s="54"/>
    </row>
    <row r="37" spans="2:10" s="253" customFormat="1" ht="12.95" customHeight="1" x14ac:dyDescent="0.2">
      <c r="B37" s="73" t="s">
        <v>1098</v>
      </c>
      <c r="F37" s="168"/>
    </row>
    <row r="38" spans="2:10" s="253" customFormat="1" ht="12.95" customHeight="1" x14ac:dyDescent="0.2">
      <c r="B38" s="73"/>
      <c r="C38" s="253" t="s">
        <v>1101</v>
      </c>
      <c r="F38" s="175">
        <f>MAX(F12-params!$F$8,0)</f>
        <v>0.38</v>
      </c>
      <c r="G38" s="253" t="s">
        <v>1108</v>
      </c>
    </row>
    <row r="39" spans="2:10" s="253" customFormat="1" ht="12.95" customHeight="1" x14ac:dyDescent="0.2">
      <c r="B39" s="73"/>
      <c r="C39" s="253" t="s">
        <v>1112</v>
      </c>
      <c r="F39" s="168">
        <f>F38*params!$F$322</f>
        <v>1457.5292666666667</v>
      </c>
      <c r="G39" s="253" t="s">
        <v>1109</v>
      </c>
    </row>
    <row r="40" spans="2:10" s="253" customFormat="1" ht="12.95" customHeight="1" x14ac:dyDescent="0.2">
      <c r="B40" s="73"/>
      <c r="D40" s="253" t="s">
        <v>515</v>
      </c>
      <c r="F40" s="175">
        <f>0.001*F39/F9</f>
        <v>9.1095579166666663E-2</v>
      </c>
      <c r="G40" s="253" t="s">
        <v>1110</v>
      </c>
    </row>
    <row r="41" spans="2:10" s="253" customFormat="1" ht="12.95" customHeight="1" x14ac:dyDescent="0.2">
      <c r="B41" s="73"/>
      <c r="C41" s="253" t="s">
        <v>1113</v>
      </c>
      <c r="E41" s="80"/>
      <c r="F41" s="168">
        <f>F24*F40*(1+F40)</f>
        <v>0</v>
      </c>
      <c r="G41" s="253" t="s">
        <v>184</v>
      </c>
      <c r="I41" s="73" t="s">
        <v>1111</v>
      </c>
    </row>
    <row r="42" spans="2:10" s="73" customFormat="1" ht="12.95" customHeight="1" x14ac:dyDescent="0.2">
      <c r="C42" s="73" t="s">
        <v>541</v>
      </c>
      <c r="F42" s="168">
        <f>1000*F41/F23*c_CO2.C</f>
        <v>0</v>
      </c>
      <c r="G42" s="54" t="s">
        <v>542</v>
      </c>
    </row>
    <row r="43" spans="2:10" s="73" customFormat="1" ht="12.95" customHeight="1" x14ac:dyDescent="0.2">
      <c r="B43" s="73" t="s">
        <v>559</v>
      </c>
      <c r="F43" s="173">
        <f>F9/(1+params!$F$9)</f>
        <v>14.953271028037383</v>
      </c>
      <c r="G43" s="73" t="s">
        <v>560</v>
      </c>
    </row>
    <row r="44" spans="2:10" s="73" customFormat="1" ht="12.95" customHeight="1" x14ac:dyDescent="0.2">
      <c r="B44" s="73" t="s">
        <v>506</v>
      </c>
      <c r="F44" s="168">
        <f>1000*c_CO2.C/F23</f>
        <v>114.50285255783169</v>
      </c>
      <c r="G44" s="73" t="s">
        <v>540</v>
      </c>
    </row>
    <row r="45" spans="2:10" s="73" customFormat="1" ht="12.95" customHeight="1" x14ac:dyDescent="0.2">
      <c r="B45" s="73" t="s">
        <v>981</v>
      </c>
      <c r="F45" s="183">
        <f>F44*F24/10^6</f>
        <v>0</v>
      </c>
      <c r="G45" s="73" t="s">
        <v>982</v>
      </c>
    </row>
    <row r="46" spans="2:10" ht="12.95" customHeight="1" x14ac:dyDescent="0.2">
      <c r="B46" s="21"/>
      <c r="C46" s="21"/>
      <c r="D46" s="21"/>
      <c r="E46" s="21"/>
      <c r="G46" s="81"/>
      <c r="H46" s="54"/>
    </row>
    <row r="47" spans="2:10" ht="12.95" customHeight="1" x14ac:dyDescent="0.25">
      <c r="B47" s="105" t="s">
        <v>392</v>
      </c>
      <c r="C47" s="106"/>
      <c r="D47" s="106"/>
      <c r="E47" s="106"/>
      <c r="F47" s="106"/>
      <c r="G47" s="106"/>
      <c r="H47" s="107"/>
      <c r="I47" s="108"/>
    </row>
    <row r="48" spans="2:10" ht="12.95" customHeight="1" x14ac:dyDescent="0.25">
      <c r="B48" s="19" t="s">
        <v>300</v>
      </c>
      <c r="C48" s="75"/>
      <c r="D48" s="75"/>
      <c r="E48" s="74"/>
      <c r="F48" s="46" t="s">
        <v>0</v>
      </c>
      <c r="G48" s="20" t="s">
        <v>1</v>
      </c>
      <c r="H48" s="56" t="s">
        <v>305</v>
      </c>
      <c r="I48" s="5" t="s">
        <v>2</v>
      </c>
      <c r="J48" s="14"/>
    </row>
  </sheetData>
  <hyperlinks>
    <hyperlink ref="B2" location="cover!B18" display="return to TOC" xr:uid="{D7D03B4F-4507-4F5A-8584-0C96D9F942C5}"/>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52FB1-379E-4CF5-9362-1CDE8DEB879D}">
  <sheetPr published="0" codeName="Sheet14">
    <tabColor rgb="FFFED976"/>
  </sheetPr>
  <dimension ref="A1:J64"/>
  <sheetViews>
    <sheetView workbookViewId="0"/>
  </sheetViews>
  <sheetFormatPr defaultColWidth="10.83203125" defaultRowHeight="12.95" customHeight="1" x14ac:dyDescent="0.2"/>
  <cols>
    <col min="1" max="1" width="1.83203125" style="54" customWidth="1"/>
    <col min="2" max="4" width="2.83203125" style="54" customWidth="1"/>
    <col min="5" max="5" width="32.83203125" style="54" customWidth="1"/>
    <col min="6" max="6" width="10.83203125" style="54" customWidth="1"/>
    <col min="7" max="7" width="11.83203125" style="54" customWidth="1"/>
    <col min="8" max="8" width="8.83203125" style="12" customWidth="1"/>
    <col min="9" max="9" width="75.83203125" style="54" customWidth="1"/>
    <col min="10" max="10" width="10.83203125" style="54" customWidth="1"/>
    <col min="11" max="16384" width="10.83203125" style="54"/>
  </cols>
  <sheetData>
    <row r="1" spans="1:10" ht="30" customHeight="1" x14ac:dyDescent="0.2">
      <c r="A1" s="85"/>
      <c r="B1" s="162" t="s">
        <v>1005</v>
      </c>
      <c r="C1" s="153"/>
      <c r="D1" s="153"/>
      <c r="E1" s="153"/>
      <c r="F1" s="14"/>
      <c r="G1" s="14"/>
      <c r="H1" s="55"/>
      <c r="I1" s="14"/>
      <c r="J1" s="14"/>
    </row>
    <row r="2" spans="1:10" ht="12.95" customHeight="1" x14ac:dyDescent="0.2">
      <c r="A2" s="85"/>
      <c r="B2" s="81" t="s">
        <v>349</v>
      </c>
      <c r="C2" s="21"/>
      <c r="D2" s="21"/>
      <c r="E2" s="21"/>
      <c r="H2" s="54"/>
    </row>
    <row r="3" spans="1:10" ht="12.95" customHeight="1" x14ac:dyDescent="0.2">
      <c r="B3" s="21"/>
      <c r="C3" s="21"/>
      <c r="D3" s="21"/>
      <c r="E3" s="21"/>
      <c r="G3" s="81"/>
      <c r="H3" s="54"/>
    </row>
    <row r="4" spans="1:10" ht="12.95" customHeight="1" x14ac:dyDescent="0.25">
      <c r="B4" s="105" t="s">
        <v>476</v>
      </c>
      <c r="C4" s="106"/>
      <c r="D4" s="106"/>
      <c r="E4" s="106"/>
      <c r="F4" s="106"/>
      <c r="G4" s="106"/>
      <c r="H4" s="107"/>
      <c r="I4" s="108"/>
    </row>
    <row r="5" spans="1:10" ht="12.95" customHeight="1" x14ac:dyDescent="0.25">
      <c r="B5" s="19" t="s">
        <v>300</v>
      </c>
      <c r="C5" s="75"/>
      <c r="D5" s="75"/>
      <c r="E5" s="74"/>
      <c r="F5" s="46" t="s">
        <v>0</v>
      </c>
      <c r="G5" s="20" t="s">
        <v>1</v>
      </c>
      <c r="H5" s="56" t="s">
        <v>305</v>
      </c>
      <c r="I5" s="5" t="s">
        <v>2</v>
      </c>
      <c r="J5" s="14"/>
    </row>
    <row r="6" spans="1:10" ht="12.95" customHeight="1" x14ac:dyDescent="0.2">
      <c r="F6" s="84"/>
      <c r="H6" s="54"/>
    </row>
    <row r="7" spans="1:10" ht="12.95" customHeight="1" x14ac:dyDescent="0.2">
      <c r="B7" s="54" t="s">
        <v>524</v>
      </c>
      <c r="F7" s="369" t="s">
        <v>1038</v>
      </c>
      <c r="G7" s="370"/>
      <c r="H7" s="371"/>
    </row>
    <row r="8" spans="1:10" ht="12.95" customHeight="1" x14ac:dyDescent="0.2">
      <c r="B8" s="54" t="s">
        <v>449</v>
      </c>
      <c r="F8" s="120">
        <f>F51</f>
        <v>0.44400000000000001</v>
      </c>
      <c r="H8" s="54"/>
      <c r="I8" s="54" t="s">
        <v>448</v>
      </c>
    </row>
    <row r="9" spans="1:10" ht="12.95" customHeight="1" x14ac:dyDescent="0.2">
      <c r="B9" s="54" t="s">
        <v>442</v>
      </c>
      <c r="F9" s="119">
        <f>F54</f>
        <v>18.3</v>
      </c>
      <c r="G9" s="54" t="s">
        <v>269</v>
      </c>
      <c r="H9" s="54"/>
      <c r="I9" s="54" t="s">
        <v>448</v>
      </c>
    </row>
    <row r="10" spans="1:10" ht="12.95" customHeight="1" x14ac:dyDescent="0.2">
      <c r="B10" s="54" t="s">
        <v>1028</v>
      </c>
      <c r="F10" s="310">
        <f>F64*F51</f>
        <v>8.9066399999999994</v>
      </c>
      <c r="G10" s="54" t="s">
        <v>395</v>
      </c>
      <c r="H10" s="54"/>
      <c r="I10" s="54" t="s">
        <v>1037</v>
      </c>
    </row>
    <row r="11" spans="1:10" ht="12.95" customHeight="1" x14ac:dyDescent="0.2">
      <c r="B11" s="54" t="s">
        <v>526</v>
      </c>
    </row>
    <row r="12" spans="1:10" ht="12.95" customHeight="1" x14ac:dyDescent="0.2">
      <c r="C12" s="54" t="s">
        <v>599</v>
      </c>
      <c r="F12" s="120">
        <f>F63</f>
        <v>0.5</v>
      </c>
      <c r="H12" s="54"/>
    </row>
    <row r="13" spans="1:10" ht="12.95" customHeight="1" x14ac:dyDescent="0.2">
      <c r="C13" s="54" t="s">
        <v>1013</v>
      </c>
      <c r="F13" s="331">
        <f>(1-F12)*dashboard!C33</f>
        <v>0.16500000000000001</v>
      </c>
      <c r="G13" s="14"/>
      <c r="H13" s="54"/>
    </row>
    <row r="14" spans="1:10" ht="12.95" customHeight="1" x14ac:dyDescent="0.2">
      <c r="C14" s="54" t="s">
        <v>1012</v>
      </c>
      <c r="F14" s="125">
        <f>1-SUM(F12:F13)</f>
        <v>0.33499999999999996</v>
      </c>
      <c r="H14" s="54"/>
    </row>
    <row r="15" spans="1:10" ht="12.95" customHeight="1" x14ac:dyDescent="0.2">
      <c r="B15" s="54" t="s">
        <v>536</v>
      </c>
      <c r="F15" s="330">
        <f>dashboard!D33</f>
        <v>0.2</v>
      </c>
      <c r="G15" s="14" t="s">
        <v>1227</v>
      </c>
      <c r="H15" s="54"/>
      <c r="I15" s="54" t="s">
        <v>1011</v>
      </c>
    </row>
    <row r="16" spans="1:10" ht="12.95" customHeight="1" x14ac:dyDescent="0.2">
      <c r="B16" s="54" t="s">
        <v>596</v>
      </c>
      <c r="F16" s="329">
        <f>dashboard!E33</f>
        <v>70</v>
      </c>
      <c r="G16" s="14" t="s">
        <v>23</v>
      </c>
      <c r="H16" s="54"/>
    </row>
    <row r="17" spans="2:10" ht="12.95" customHeight="1" x14ac:dyDescent="0.2">
      <c r="B17" s="21"/>
      <c r="C17" s="21"/>
      <c r="D17" s="21"/>
      <c r="E17" s="21"/>
      <c r="G17" s="81"/>
      <c r="H17" s="54"/>
    </row>
    <row r="18" spans="2:10" ht="12.95" customHeight="1" x14ac:dyDescent="0.25">
      <c r="B18" s="105" t="s">
        <v>477</v>
      </c>
      <c r="C18" s="106"/>
      <c r="D18" s="106"/>
      <c r="E18" s="106"/>
      <c r="F18" s="106"/>
      <c r="G18" s="106"/>
      <c r="H18" s="107"/>
      <c r="I18" s="108"/>
    </row>
    <row r="19" spans="2:10" ht="12.95" customHeight="1" x14ac:dyDescent="0.25">
      <c r="B19" s="19" t="s">
        <v>300</v>
      </c>
      <c r="C19" s="75"/>
      <c r="D19" s="75"/>
      <c r="E19" s="74"/>
      <c r="F19" s="46" t="s">
        <v>0</v>
      </c>
      <c r="G19" s="20" t="s">
        <v>1</v>
      </c>
      <c r="H19" s="56" t="s">
        <v>305</v>
      </c>
      <c r="I19" s="5" t="s">
        <v>2</v>
      </c>
      <c r="J19" s="14"/>
    </row>
    <row r="20" spans="2:10" ht="12.95" customHeight="1" x14ac:dyDescent="0.2">
      <c r="F20" s="80"/>
      <c r="H20" s="54"/>
    </row>
    <row r="21" spans="2:10" ht="12.95" customHeight="1" x14ac:dyDescent="0.2">
      <c r="B21" s="121" t="s">
        <v>563</v>
      </c>
      <c r="F21" s="168"/>
      <c r="H21" s="54"/>
    </row>
    <row r="22" spans="2:10" s="73" customFormat="1" ht="12.95" customHeight="1" x14ac:dyDescent="0.2">
      <c r="B22" s="73" t="s">
        <v>454</v>
      </c>
      <c r="F22" s="168">
        <f>F9/F8</f>
        <v>41.216216216216218</v>
      </c>
      <c r="G22" s="73" t="s">
        <v>455</v>
      </c>
    </row>
    <row r="23" spans="2:10" s="73" customFormat="1" ht="12.95" customHeight="1" x14ac:dyDescent="0.2">
      <c r="B23" s="73" t="s">
        <v>543</v>
      </c>
      <c r="F23" s="168">
        <f>params!$F$74*dashboard!$E$20</f>
        <v>0</v>
      </c>
      <c r="G23" s="73" t="s">
        <v>184</v>
      </c>
    </row>
    <row r="24" spans="2:10" s="73" customFormat="1" ht="12.95" customHeight="1" x14ac:dyDescent="0.2">
      <c r="B24" s="73" t="s">
        <v>533</v>
      </c>
      <c r="F24" s="168">
        <f>F23+F40</f>
        <v>0</v>
      </c>
      <c r="G24" s="73" t="s">
        <v>184</v>
      </c>
    </row>
    <row r="25" spans="2:10" s="73" customFormat="1" ht="12.95" customHeight="1" x14ac:dyDescent="0.2">
      <c r="B25" s="73" t="s">
        <v>534</v>
      </c>
      <c r="F25" s="168">
        <f>1000*F24/F22</f>
        <v>0</v>
      </c>
      <c r="G25" s="73" t="s">
        <v>432</v>
      </c>
    </row>
    <row r="26" spans="2:10" ht="12.95" customHeight="1" x14ac:dyDescent="0.2">
      <c r="B26" s="73" t="s">
        <v>535</v>
      </c>
      <c r="F26" s="168">
        <f>F25/F14</f>
        <v>0</v>
      </c>
      <c r="G26" s="73" t="s">
        <v>432</v>
      </c>
      <c r="H26" s="54"/>
    </row>
    <row r="27" spans="2:10" s="73" customFormat="1" ht="12.95" customHeight="1" x14ac:dyDescent="0.2">
      <c r="B27" s="73" t="s">
        <v>472</v>
      </c>
      <c r="F27" s="168">
        <f>F26/F10</f>
        <v>0</v>
      </c>
      <c r="G27" s="73" t="s">
        <v>5</v>
      </c>
      <c r="I27" s="54"/>
    </row>
    <row r="28" spans="2:10" s="73" customFormat="1" ht="12.95" customHeight="1" x14ac:dyDescent="0.2">
      <c r="B28" s="73" t="s">
        <v>1014</v>
      </c>
      <c r="F28" s="168">
        <f>F13*F26</f>
        <v>0</v>
      </c>
      <c r="G28" s="73" t="s">
        <v>432</v>
      </c>
      <c r="I28" s="54"/>
    </row>
    <row r="29" spans="2:10" s="73" customFormat="1" ht="12.95" customHeight="1" x14ac:dyDescent="0.2">
      <c r="B29" s="73" t="s">
        <v>1015</v>
      </c>
      <c r="F29" s="168">
        <f>(F14+F13)*F26</f>
        <v>0</v>
      </c>
      <c r="G29" s="73" t="s">
        <v>432</v>
      </c>
      <c r="I29" s="253"/>
    </row>
    <row r="30" spans="2:10" ht="12.95" customHeight="1" x14ac:dyDescent="0.2">
      <c r="B30" s="21"/>
      <c r="C30" s="21"/>
      <c r="D30" s="21"/>
      <c r="E30" s="21"/>
      <c r="G30" s="81"/>
      <c r="H30" s="54"/>
    </row>
    <row r="31" spans="2:10" ht="12.95" customHeight="1" x14ac:dyDescent="0.2">
      <c r="B31" s="121" t="s">
        <v>505</v>
      </c>
      <c r="F31" s="168"/>
      <c r="H31" s="54"/>
    </row>
    <row r="32" spans="2:10" ht="12.95" customHeight="1" x14ac:dyDescent="0.2">
      <c r="B32" s="73" t="s">
        <v>603</v>
      </c>
      <c r="F32" s="168"/>
      <c r="H32" s="54"/>
    </row>
    <row r="33" spans="2:10" ht="12.95" customHeight="1" x14ac:dyDescent="0.2">
      <c r="B33" s="73"/>
      <c r="C33" s="54" t="s">
        <v>558</v>
      </c>
      <c r="F33" s="183">
        <f>(1+F15)/F8</f>
        <v>2.7027027027027026</v>
      </c>
      <c r="H33" s="54"/>
    </row>
    <row r="34" spans="2:10" ht="12.95" customHeight="1" x14ac:dyDescent="0.2">
      <c r="B34" s="73"/>
      <c r="C34" s="54" t="s">
        <v>537</v>
      </c>
      <c r="F34" s="168">
        <f>F33*F25</f>
        <v>0</v>
      </c>
      <c r="G34" s="54" t="s">
        <v>37</v>
      </c>
      <c r="H34" s="54"/>
    </row>
    <row r="35" spans="2:10" ht="12.95" customHeight="1" x14ac:dyDescent="0.2">
      <c r="B35" s="73"/>
      <c r="C35" s="54" t="s">
        <v>538</v>
      </c>
      <c r="F35" s="168">
        <f>F34*$F$16*params!$F$239/1000</f>
        <v>0</v>
      </c>
      <c r="G35" s="54" t="s">
        <v>539</v>
      </c>
      <c r="H35" s="54"/>
    </row>
    <row r="36" spans="2:10" s="253" customFormat="1" ht="12.95" customHeight="1" x14ac:dyDescent="0.2">
      <c r="B36" s="73" t="s">
        <v>1098</v>
      </c>
      <c r="F36" s="168"/>
    </row>
    <row r="37" spans="2:10" s="253" customFormat="1" ht="12.95" customHeight="1" x14ac:dyDescent="0.2">
      <c r="B37" s="73"/>
      <c r="C37" s="253" t="s">
        <v>1101</v>
      </c>
      <c r="F37" s="175">
        <f>MAX(F15-params!$F$8,0)</f>
        <v>8.0000000000000016E-2</v>
      </c>
      <c r="G37" s="253" t="s">
        <v>1108</v>
      </c>
    </row>
    <row r="38" spans="2:10" s="253" customFormat="1" ht="12.95" customHeight="1" x14ac:dyDescent="0.2">
      <c r="B38" s="73"/>
      <c r="C38" s="253" t="s">
        <v>1112</v>
      </c>
      <c r="F38" s="168">
        <f>F37*params!$F$322</f>
        <v>306.84826666666669</v>
      </c>
      <c r="G38" s="253" t="s">
        <v>1109</v>
      </c>
    </row>
    <row r="39" spans="2:10" s="253" customFormat="1" ht="12.95" customHeight="1" x14ac:dyDescent="0.2">
      <c r="B39" s="73"/>
      <c r="D39" s="253" t="s">
        <v>515</v>
      </c>
      <c r="F39" s="175">
        <f>0.001*F38/F9</f>
        <v>1.6767664845173044E-2</v>
      </c>
      <c r="G39" s="253" t="s">
        <v>1110</v>
      </c>
    </row>
    <row r="40" spans="2:10" s="253" customFormat="1" ht="12.95" customHeight="1" x14ac:dyDescent="0.2">
      <c r="B40" s="73"/>
      <c r="C40" s="253" t="s">
        <v>1113</v>
      </c>
      <c r="E40" s="80"/>
      <c r="F40" s="168">
        <f>F23*F39*(1+F39)</f>
        <v>0</v>
      </c>
      <c r="G40" s="253" t="s">
        <v>184</v>
      </c>
      <c r="I40" s="73" t="s">
        <v>1111</v>
      </c>
    </row>
    <row r="41" spans="2:10" s="73" customFormat="1" ht="12.95" customHeight="1" x14ac:dyDescent="0.2">
      <c r="C41" s="73" t="s">
        <v>541</v>
      </c>
      <c r="F41" s="168">
        <f>1000*F40/F22*c_CO2.C</f>
        <v>0</v>
      </c>
      <c r="G41" s="54" t="s">
        <v>542</v>
      </c>
    </row>
    <row r="42" spans="2:10" s="73" customFormat="1" ht="12.95" customHeight="1" x14ac:dyDescent="0.2">
      <c r="B42" s="73" t="s">
        <v>559</v>
      </c>
      <c r="F42" s="173">
        <f>F9/(1+params!$F$9)</f>
        <v>17.102803738317757</v>
      </c>
      <c r="G42" s="73" t="s">
        <v>560</v>
      </c>
    </row>
    <row r="43" spans="2:10" s="73" customFormat="1" ht="12.95" customHeight="1" x14ac:dyDescent="0.2">
      <c r="B43" s="73" t="s">
        <v>506</v>
      </c>
      <c r="F43" s="168">
        <f>1000*c_CO2.C/F22</f>
        <v>88.899263887523091</v>
      </c>
      <c r="G43" s="73" t="s">
        <v>540</v>
      </c>
    </row>
    <row r="44" spans="2:10" s="73" customFormat="1" ht="12.95" customHeight="1" x14ac:dyDescent="0.2">
      <c r="B44" s="73" t="s">
        <v>981</v>
      </c>
      <c r="F44" s="183">
        <f>F43*F23/10^6</f>
        <v>0</v>
      </c>
      <c r="G44" s="73" t="s">
        <v>982</v>
      </c>
    </row>
    <row r="45" spans="2:10" ht="12.95" customHeight="1" x14ac:dyDescent="0.2">
      <c r="B45" s="21"/>
      <c r="C45" s="21"/>
      <c r="D45" s="21"/>
      <c r="E45" s="21"/>
      <c r="G45" s="81"/>
      <c r="H45" s="54"/>
    </row>
    <row r="46" spans="2:10" ht="12.95" customHeight="1" x14ac:dyDescent="0.25">
      <c r="B46" s="105" t="s">
        <v>392</v>
      </c>
      <c r="C46" s="106"/>
      <c r="D46" s="106"/>
      <c r="E46" s="106"/>
      <c r="F46" s="106"/>
      <c r="G46" s="106"/>
      <c r="H46" s="107"/>
      <c r="I46" s="108"/>
    </row>
    <row r="47" spans="2:10" ht="12.95" customHeight="1" x14ac:dyDescent="0.25">
      <c r="B47" s="19" t="s">
        <v>300</v>
      </c>
      <c r="C47" s="75"/>
      <c r="D47" s="75"/>
      <c r="E47" s="74"/>
      <c r="F47" s="46" t="s">
        <v>0</v>
      </c>
      <c r="G47" s="20" t="s">
        <v>1</v>
      </c>
      <c r="H47" s="56" t="s">
        <v>305</v>
      </c>
      <c r="I47" s="5" t="s">
        <v>2</v>
      </c>
      <c r="J47" s="14"/>
    </row>
    <row r="49" spans="2:9" s="253" customFormat="1" ht="12.95" customHeight="1" x14ac:dyDescent="0.2">
      <c r="B49" s="121" t="s">
        <v>449</v>
      </c>
      <c r="F49" s="80"/>
    </row>
    <row r="50" spans="2:9" s="253" customFormat="1" ht="12.95" customHeight="1" x14ac:dyDescent="0.2">
      <c r="B50" s="253" t="s">
        <v>525</v>
      </c>
      <c r="C50" s="14"/>
      <c r="F50" s="164">
        <v>444</v>
      </c>
      <c r="G50" s="253" t="s">
        <v>1051</v>
      </c>
      <c r="H50" s="78" t="s">
        <v>1043</v>
      </c>
      <c r="I50" s="14" t="s">
        <v>1052</v>
      </c>
    </row>
    <row r="51" spans="2:9" s="253" customFormat="1" ht="12.95" customHeight="1" x14ac:dyDescent="0.2">
      <c r="C51" s="14" t="s">
        <v>515</v>
      </c>
      <c r="F51" s="309">
        <f>F50/1000</f>
        <v>0.44400000000000001</v>
      </c>
    </row>
    <row r="52" spans="2:9" s="253" customFormat="1" ht="12.95" customHeight="1" x14ac:dyDescent="0.2">
      <c r="B52" s="14"/>
      <c r="F52" s="193"/>
      <c r="H52" s="250"/>
      <c r="I52" s="14"/>
    </row>
    <row r="53" spans="2:9" s="253" customFormat="1" ht="12.95" customHeight="1" x14ac:dyDescent="0.2">
      <c r="B53" s="121" t="s">
        <v>442</v>
      </c>
      <c r="F53" s="80"/>
    </row>
    <row r="54" spans="2:9" s="253" customFormat="1" ht="12.95" customHeight="1" x14ac:dyDescent="0.2">
      <c r="B54" s="253" t="s">
        <v>525</v>
      </c>
      <c r="C54" s="14"/>
      <c r="F54" s="308">
        <v>18.3</v>
      </c>
      <c r="G54" s="253" t="s">
        <v>687</v>
      </c>
      <c r="H54" s="78" t="s">
        <v>1043</v>
      </c>
      <c r="I54" s="14" t="s">
        <v>1053</v>
      </c>
    </row>
    <row r="55" spans="2:9" s="253" customFormat="1" ht="12.95" customHeight="1" x14ac:dyDescent="0.2">
      <c r="B55" s="121"/>
      <c r="F55" s="80"/>
    </row>
    <row r="56" spans="2:9" s="253" customFormat="1" ht="12.95" customHeight="1" x14ac:dyDescent="0.2">
      <c r="B56" s="121" t="s">
        <v>1028</v>
      </c>
      <c r="F56" s="80"/>
    </row>
    <row r="57" spans="2:9" s="253" customFormat="1" ht="12.95" customHeight="1" x14ac:dyDescent="0.2">
      <c r="B57" s="21" t="s">
        <v>525</v>
      </c>
      <c r="F57" s="80"/>
    </row>
    <row r="58" spans="2:9" s="253" customFormat="1" ht="12.95" customHeight="1" x14ac:dyDescent="0.2">
      <c r="C58" s="14" t="s">
        <v>1046</v>
      </c>
      <c r="F58" s="308">
        <v>11.9</v>
      </c>
      <c r="G58" s="253" t="s">
        <v>768</v>
      </c>
      <c r="H58" s="78" t="s">
        <v>1042</v>
      </c>
      <c r="I58" s="14" t="s">
        <v>1039</v>
      </c>
    </row>
    <row r="59" spans="2:9" s="253" customFormat="1" ht="12.95" customHeight="1" x14ac:dyDescent="0.2">
      <c r="C59" s="14" t="s">
        <v>1040</v>
      </c>
      <c r="F59" s="183">
        <v>0.5</v>
      </c>
      <c r="G59" s="253" t="s">
        <v>1041</v>
      </c>
      <c r="I59" s="14"/>
    </row>
    <row r="60" spans="2:9" s="253" customFormat="1" ht="12.95" customHeight="1" x14ac:dyDescent="0.2">
      <c r="C60" s="14" t="s">
        <v>1047</v>
      </c>
      <c r="F60" s="183">
        <f>F58/F59</f>
        <v>23.8</v>
      </c>
      <c r="G60" s="253" t="s">
        <v>768</v>
      </c>
      <c r="I60" s="14"/>
    </row>
    <row r="61" spans="2:9" s="253" customFormat="1" ht="12.95" customHeight="1" x14ac:dyDescent="0.2">
      <c r="C61" s="14" t="s">
        <v>1048</v>
      </c>
      <c r="F61" s="165">
        <v>6.68</v>
      </c>
      <c r="G61" s="253" t="s">
        <v>768</v>
      </c>
      <c r="H61" s="78" t="s">
        <v>1043</v>
      </c>
      <c r="I61" s="14" t="s">
        <v>1044</v>
      </c>
    </row>
    <row r="62" spans="2:9" s="253" customFormat="1" ht="12.95" customHeight="1" x14ac:dyDescent="0.2">
      <c r="C62" s="14" t="s">
        <v>1045</v>
      </c>
      <c r="F62" s="165">
        <v>10.029999999999999</v>
      </c>
      <c r="G62" s="253" t="s">
        <v>768</v>
      </c>
      <c r="H62" s="78" t="s">
        <v>1043</v>
      </c>
      <c r="I62" s="14" t="s">
        <v>1044</v>
      </c>
    </row>
    <row r="63" spans="2:9" ht="12.95" customHeight="1" x14ac:dyDescent="0.2">
      <c r="C63" s="54" t="s">
        <v>1049</v>
      </c>
      <c r="F63" s="165">
        <v>0.5</v>
      </c>
      <c r="G63" s="253"/>
      <c r="H63" s="78" t="s">
        <v>1043</v>
      </c>
      <c r="I63" s="14" t="s">
        <v>1050</v>
      </c>
    </row>
    <row r="64" spans="2:9" ht="12.95" customHeight="1" x14ac:dyDescent="0.2">
      <c r="C64" s="54" t="s">
        <v>1054</v>
      </c>
      <c r="F64" s="29">
        <f>F62/F63</f>
        <v>20.059999999999999</v>
      </c>
      <c r="G64" s="54" t="s">
        <v>768</v>
      </c>
    </row>
  </sheetData>
  <mergeCells count="1">
    <mergeCell ref="F7:H7"/>
  </mergeCells>
  <hyperlinks>
    <hyperlink ref="B2" location="cover!B18" display="return to TOC" xr:uid="{33D084A1-F2BD-4C4C-8145-71C35484FC69}"/>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3B41C-AAF6-4A73-9812-6C03EB9EDA03}">
  <sheetPr published="0" codeName="Sheet18">
    <tabColor rgb="FFFED976"/>
  </sheetPr>
  <dimension ref="A1:J38"/>
  <sheetViews>
    <sheetView workbookViewId="0"/>
  </sheetViews>
  <sheetFormatPr defaultColWidth="10.83203125" defaultRowHeight="12.95" customHeight="1" x14ac:dyDescent="0.2"/>
  <cols>
    <col min="1" max="1" width="1.83203125" style="54" customWidth="1"/>
    <col min="2" max="4" width="2.83203125" style="54" customWidth="1"/>
    <col min="5" max="5" width="32.83203125" style="54" customWidth="1"/>
    <col min="6" max="6" width="10.83203125" style="54" customWidth="1"/>
    <col min="7" max="7" width="11.83203125" style="54" customWidth="1"/>
    <col min="8" max="8" width="8.83203125" style="12" customWidth="1"/>
    <col min="9" max="9" width="75.83203125" style="54" customWidth="1"/>
    <col min="10" max="10" width="10.83203125" style="54" customWidth="1"/>
    <col min="11" max="16384" width="10.83203125" style="54"/>
  </cols>
  <sheetData>
    <row r="1" spans="1:10" ht="30" customHeight="1" x14ac:dyDescent="0.2">
      <c r="A1" s="85"/>
      <c r="B1" s="162" t="s">
        <v>1079</v>
      </c>
      <c r="C1" s="196"/>
      <c r="D1" s="196"/>
      <c r="E1" s="196"/>
      <c r="F1" s="14"/>
      <c r="G1" s="14"/>
      <c r="H1" s="55"/>
      <c r="I1" s="14"/>
      <c r="J1" s="14"/>
    </row>
    <row r="2" spans="1:10" ht="12.95" customHeight="1" x14ac:dyDescent="0.2">
      <c r="A2" s="85"/>
      <c r="B2" s="81" t="s">
        <v>349</v>
      </c>
      <c r="C2" s="21"/>
      <c r="D2" s="21"/>
      <c r="E2" s="21"/>
      <c r="H2" s="54"/>
    </row>
    <row r="3" spans="1:10" ht="12.95" customHeight="1" x14ac:dyDescent="0.2">
      <c r="B3" s="21"/>
      <c r="C3" s="21"/>
      <c r="D3" s="21"/>
      <c r="E3" s="21"/>
      <c r="G3" s="81"/>
      <c r="H3" s="54"/>
    </row>
    <row r="4" spans="1:10" ht="12.95" customHeight="1" x14ac:dyDescent="0.25">
      <c r="B4" s="105" t="s">
        <v>476</v>
      </c>
      <c r="C4" s="106"/>
      <c r="D4" s="106"/>
      <c r="E4" s="106"/>
      <c r="F4" s="106"/>
      <c r="G4" s="106"/>
      <c r="H4" s="107"/>
      <c r="I4" s="108"/>
    </row>
    <row r="5" spans="1:10" ht="12.95" customHeight="1" x14ac:dyDescent="0.25">
      <c r="B5" s="19" t="s">
        <v>300</v>
      </c>
      <c r="C5" s="75"/>
      <c r="D5" s="75"/>
      <c r="E5" s="74"/>
      <c r="F5" s="46" t="s">
        <v>0</v>
      </c>
      <c r="G5" s="20" t="s">
        <v>1</v>
      </c>
      <c r="H5" s="56" t="s">
        <v>305</v>
      </c>
      <c r="I5" s="5" t="s">
        <v>2</v>
      </c>
      <c r="J5" s="14"/>
    </row>
    <row r="6" spans="1:10" ht="12.95" customHeight="1" x14ac:dyDescent="0.2">
      <c r="F6" s="84"/>
      <c r="H6" s="54"/>
    </row>
    <row r="7" spans="1:10" ht="12.95" customHeight="1" x14ac:dyDescent="0.2">
      <c r="B7" s="54" t="s">
        <v>449</v>
      </c>
      <c r="F7" s="120">
        <v>0.5</v>
      </c>
      <c r="H7" s="54"/>
      <c r="I7" s="54" t="s">
        <v>448</v>
      </c>
    </row>
    <row r="8" spans="1:10" ht="12.95" customHeight="1" x14ac:dyDescent="0.2">
      <c r="B8" s="54" t="s">
        <v>442</v>
      </c>
      <c r="F8" s="119">
        <v>16</v>
      </c>
      <c r="G8" s="54" t="s">
        <v>269</v>
      </c>
      <c r="H8" s="54"/>
      <c r="I8" s="54" t="s">
        <v>448</v>
      </c>
    </row>
    <row r="9" spans="1:10" ht="12.95" customHeight="1" x14ac:dyDescent="0.2">
      <c r="B9" s="54" t="s">
        <v>600</v>
      </c>
      <c r="F9" s="119">
        <v>10</v>
      </c>
      <c r="G9" s="54" t="s">
        <v>432</v>
      </c>
      <c r="H9" s="54"/>
    </row>
    <row r="10" spans="1:10" ht="12.95" customHeight="1" x14ac:dyDescent="0.2">
      <c r="B10" s="54" t="s">
        <v>536</v>
      </c>
      <c r="F10" s="330">
        <f>dashboard!D34</f>
        <v>0.2</v>
      </c>
      <c r="G10" s="14" t="s">
        <v>1227</v>
      </c>
      <c r="H10" s="54"/>
    </row>
    <row r="11" spans="1:10" ht="12.95" customHeight="1" x14ac:dyDescent="0.2">
      <c r="B11" s="54" t="s">
        <v>602</v>
      </c>
      <c r="F11" s="329">
        <f>dashboard!E34</f>
        <v>0</v>
      </c>
      <c r="G11" s="14" t="s">
        <v>23</v>
      </c>
      <c r="H11" s="54"/>
    </row>
    <row r="12" spans="1:10" ht="12.95" customHeight="1" x14ac:dyDescent="0.2">
      <c r="B12" s="21"/>
      <c r="C12" s="21"/>
      <c r="D12" s="21"/>
      <c r="E12" s="21"/>
      <c r="G12" s="81"/>
      <c r="H12" s="54"/>
    </row>
    <row r="13" spans="1:10" ht="12.95" customHeight="1" x14ac:dyDescent="0.25">
      <c r="B13" s="105" t="s">
        <v>477</v>
      </c>
      <c r="C13" s="106"/>
      <c r="D13" s="106"/>
      <c r="E13" s="106"/>
      <c r="F13" s="106"/>
      <c r="G13" s="106"/>
      <c r="H13" s="107"/>
      <c r="I13" s="108"/>
    </row>
    <row r="14" spans="1:10" ht="12.95" customHeight="1" x14ac:dyDescent="0.25">
      <c r="B14" s="19" t="s">
        <v>300</v>
      </c>
      <c r="C14" s="75"/>
      <c r="D14" s="75"/>
      <c r="E14" s="74"/>
      <c r="F14" s="46" t="s">
        <v>0</v>
      </c>
      <c r="G14" s="20" t="s">
        <v>1</v>
      </c>
      <c r="H14" s="56" t="s">
        <v>305</v>
      </c>
      <c r="I14" s="5" t="s">
        <v>2</v>
      </c>
      <c r="J14" s="14"/>
    </row>
    <row r="15" spans="1:10" ht="12.95" customHeight="1" x14ac:dyDescent="0.2">
      <c r="F15" s="80"/>
      <c r="H15" s="54"/>
    </row>
    <row r="16" spans="1:10" ht="12.95" customHeight="1" x14ac:dyDescent="0.2">
      <c r="B16" s="121" t="s">
        <v>563</v>
      </c>
      <c r="F16" s="168"/>
      <c r="H16" s="54"/>
    </row>
    <row r="17" spans="2:9" s="73" customFormat="1" ht="12.95" customHeight="1" x14ac:dyDescent="0.2">
      <c r="B17" s="73" t="s">
        <v>454</v>
      </c>
      <c r="F17" s="168">
        <f>F8/F7</f>
        <v>32</v>
      </c>
      <c r="G17" s="73" t="s">
        <v>455</v>
      </c>
    </row>
    <row r="18" spans="2:9" s="73" customFormat="1" ht="12.95" customHeight="1" x14ac:dyDescent="0.2">
      <c r="B18" s="73" t="s">
        <v>543</v>
      </c>
      <c r="F18" s="168">
        <f>params!$F$74*dashboard!$E$21</f>
        <v>0</v>
      </c>
      <c r="G18" s="73" t="s">
        <v>184</v>
      </c>
    </row>
    <row r="19" spans="2:9" s="73" customFormat="1" ht="12.95" customHeight="1" x14ac:dyDescent="0.2">
      <c r="B19" s="73" t="s">
        <v>533</v>
      </c>
      <c r="F19" s="168">
        <f>F18+F31</f>
        <v>0</v>
      </c>
      <c r="G19" s="73" t="s">
        <v>184</v>
      </c>
    </row>
    <row r="20" spans="2:9" s="73" customFormat="1" ht="12.95" customHeight="1" x14ac:dyDescent="0.2">
      <c r="B20" s="73" t="s">
        <v>534</v>
      </c>
      <c r="F20" s="168">
        <f>1000*F19/F17</f>
        <v>0</v>
      </c>
      <c r="G20" s="73" t="s">
        <v>432</v>
      </c>
    </row>
    <row r="21" spans="2:9" ht="12.95" customHeight="1" x14ac:dyDescent="0.2">
      <c r="B21" s="21"/>
      <c r="C21" s="21"/>
      <c r="D21" s="21"/>
      <c r="E21" s="21"/>
      <c r="G21" s="81"/>
      <c r="H21" s="54"/>
    </row>
    <row r="22" spans="2:9" ht="12.95" customHeight="1" x14ac:dyDescent="0.2">
      <c r="B22" s="121" t="s">
        <v>505</v>
      </c>
      <c r="F22" s="168"/>
      <c r="H22" s="54"/>
    </row>
    <row r="23" spans="2:9" ht="12.95" customHeight="1" x14ac:dyDescent="0.2">
      <c r="B23" s="73" t="s">
        <v>603</v>
      </c>
      <c r="F23" s="168"/>
      <c r="H23" s="54"/>
    </row>
    <row r="24" spans="2:9" ht="12.95" customHeight="1" x14ac:dyDescent="0.2">
      <c r="B24" s="73"/>
      <c r="C24" s="54" t="s">
        <v>558</v>
      </c>
      <c r="F24" s="183">
        <f>(1+F10)/F7</f>
        <v>2.4</v>
      </c>
      <c r="H24" s="54"/>
    </row>
    <row r="25" spans="2:9" ht="12.95" customHeight="1" x14ac:dyDescent="0.2">
      <c r="B25" s="73"/>
      <c r="C25" s="54" t="s">
        <v>537</v>
      </c>
      <c r="F25" s="168">
        <f>F24*F20</f>
        <v>0</v>
      </c>
      <c r="G25" s="54" t="s">
        <v>37</v>
      </c>
      <c r="H25" s="54"/>
    </row>
    <row r="26" spans="2:9" ht="12.95" customHeight="1" x14ac:dyDescent="0.2">
      <c r="B26" s="73"/>
      <c r="C26" s="54" t="s">
        <v>538</v>
      </c>
      <c r="F26" s="168">
        <f>F25*F11*params!$F$239/1000</f>
        <v>0</v>
      </c>
      <c r="G26" s="54" t="s">
        <v>539</v>
      </c>
      <c r="H26" s="54"/>
    </row>
    <row r="27" spans="2:9" s="253" customFormat="1" ht="12.95" customHeight="1" x14ac:dyDescent="0.2">
      <c r="B27" s="73" t="s">
        <v>1098</v>
      </c>
      <c r="F27" s="168"/>
    </row>
    <row r="28" spans="2:9" s="253" customFormat="1" ht="12.95" customHeight="1" x14ac:dyDescent="0.2">
      <c r="B28" s="73"/>
      <c r="C28" s="253" t="s">
        <v>1101</v>
      </c>
      <c r="F28" s="175">
        <f>MAX(F10-params!$F$8,0)</f>
        <v>8.0000000000000016E-2</v>
      </c>
      <c r="G28" s="253" t="s">
        <v>1108</v>
      </c>
    </row>
    <row r="29" spans="2:9" s="253" customFormat="1" ht="12.95" customHeight="1" x14ac:dyDescent="0.2">
      <c r="B29" s="73"/>
      <c r="C29" s="253" t="s">
        <v>1112</v>
      </c>
      <c r="F29" s="168">
        <f>F28*params!$F$322</f>
        <v>306.84826666666669</v>
      </c>
      <c r="G29" s="253" t="s">
        <v>1109</v>
      </c>
    </row>
    <row r="30" spans="2:9" s="253" customFormat="1" ht="12.95" customHeight="1" x14ac:dyDescent="0.2">
      <c r="B30" s="73"/>
      <c r="D30" s="253" t="s">
        <v>515</v>
      </c>
      <c r="F30" s="175">
        <f>0.001*F29/F8</f>
        <v>1.9178016666666669E-2</v>
      </c>
      <c r="G30" s="253" t="s">
        <v>1110</v>
      </c>
    </row>
    <row r="31" spans="2:9" s="253" customFormat="1" ht="12.95" customHeight="1" x14ac:dyDescent="0.2">
      <c r="B31" s="73"/>
      <c r="C31" s="253" t="s">
        <v>1113</v>
      </c>
      <c r="E31" s="80"/>
      <c r="F31" s="168">
        <f>F18*F30*(1+F30)</f>
        <v>0</v>
      </c>
      <c r="G31" s="253" t="s">
        <v>184</v>
      </c>
      <c r="I31" s="73" t="s">
        <v>1111</v>
      </c>
    </row>
    <row r="32" spans="2:9" s="73" customFormat="1" ht="12.95" customHeight="1" x14ac:dyDescent="0.2">
      <c r="C32" s="73" t="s">
        <v>541</v>
      </c>
      <c r="F32" s="168">
        <f>1000*F31/F17*c_CO2.C</f>
        <v>0</v>
      </c>
      <c r="G32" s="54" t="s">
        <v>542</v>
      </c>
    </row>
    <row r="33" spans="2:10" s="73" customFormat="1" ht="12.95" customHeight="1" x14ac:dyDescent="0.2">
      <c r="B33" s="73" t="s">
        <v>559</v>
      </c>
      <c r="F33" s="173">
        <f>F8/(1+params!$F$9)</f>
        <v>14.953271028037383</v>
      </c>
      <c r="G33" s="73" t="s">
        <v>560</v>
      </c>
    </row>
    <row r="34" spans="2:10" s="73" customFormat="1" ht="12.95" customHeight="1" x14ac:dyDescent="0.2">
      <c r="B34" s="73" t="s">
        <v>506</v>
      </c>
      <c r="F34" s="168">
        <f>1000*c_CO2.C/F17</f>
        <v>114.50285255783169</v>
      </c>
      <c r="G34" s="73" t="s">
        <v>540</v>
      </c>
    </row>
    <row r="35" spans="2:10" s="73" customFormat="1" ht="12.95" customHeight="1" x14ac:dyDescent="0.2">
      <c r="B35" s="73" t="s">
        <v>981</v>
      </c>
      <c r="F35" s="183">
        <f>F34*F18/10^6</f>
        <v>0</v>
      </c>
      <c r="G35" s="73" t="s">
        <v>982</v>
      </c>
    </row>
    <row r="36" spans="2:10" ht="12.95" customHeight="1" x14ac:dyDescent="0.2">
      <c r="B36" s="21"/>
      <c r="C36" s="21"/>
      <c r="D36" s="21"/>
      <c r="E36" s="21"/>
      <c r="G36" s="81"/>
      <c r="H36" s="54"/>
    </row>
    <row r="37" spans="2:10" ht="12.95" customHeight="1" x14ac:dyDescent="0.25">
      <c r="B37" s="105" t="s">
        <v>392</v>
      </c>
      <c r="C37" s="106"/>
      <c r="D37" s="106"/>
      <c r="E37" s="106"/>
      <c r="F37" s="106"/>
      <c r="G37" s="106"/>
      <c r="H37" s="107"/>
      <c r="I37" s="108"/>
    </row>
    <row r="38" spans="2:10" ht="12.95" customHeight="1" x14ac:dyDescent="0.25">
      <c r="B38" s="19" t="s">
        <v>300</v>
      </c>
      <c r="C38" s="75"/>
      <c r="D38" s="75"/>
      <c r="E38" s="74"/>
      <c r="F38" s="46" t="s">
        <v>0</v>
      </c>
      <c r="G38" s="20" t="s">
        <v>1</v>
      </c>
      <c r="H38" s="56" t="s">
        <v>305</v>
      </c>
      <c r="I38" s="5" t="s">
        <v>2</v>
      </c>
      <c r="J38" s="14"/>
    </row>
  </sheetData>
  <hyperlinks>
    <hyperlink ref="B2" location="cover!B18" display="return to TOC" xr:uid="{01AC267E-347D-4634-A4E3-871C17C1A764}"/>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195</vt:i4>
      </vt:variant>
    </vt:vector>
  </HeadingPairs>
  <TitlesOfParts>
    <vt:vector size="228" baseType="lpstr">
      <vt:lpstr>cover</vt:lpstr>
      <vt:lpstr>dashboard</vt:lpstr>
      <vt:lpstr>HERB</vt:lpstr>
      <vt:lpstr>SRWC</vt:lpstr>
      <vt:lpstr>LOG</vt:lpstr>
      <vt:lpstr>THIN</vt:lpstr>
      <vt:lpstr>SLASH</vt:lpstr>
      <vt:lpstr>AG</vt:lpstr>
      <vt:lpstr>MILL</vt:lpstr>
      <vt:lpstr>tsHERB</vt:lpstr>
      <vt:lpstr>tsSRWC</vt:lpstr>
      <vt:lpstr>tsLOG</vt:lpstr>
      <vt:lpstr>tsTHIN</vt:lpstr>
      <vt:lpstr>tsSLASH</vt:lpstr>
      <vt:lpstr>BECCS rollup</vt:lpstr>
      <vt:lpstr>REF rollup</vt:lpstr>
      <vt:lpstr>params</vt:lpstr>
      <vt:lpstr>growth</vt:lpstr>
      <vt:lpstr>decay</vt:lpstr>
      <vt:lpstr>Table 1</vt:lpstr>
      <vt:lpstr>Table 2</vt:lpstr>
      <vt:lpstr>Tables 3-4</vt:lpstr>
      <vt:lpstr>Table 5</vt:lpstr>
      <vt:lpstr>Table 6</vt:lpstr>
      <vt:lpstr>Tables C1-C4</vt:lpstr>
      <vt:lpstr>Figures 3-6</vt:lpstr>
      <vt:lpstr>Figure 7</vt:lpstr>
      <vt:lpstr>Figures B1-B3</vt:lpstr>
      <vt:lpstr>Appendix D</vt:lpstr>
      <vt:lpstr>lookup</vt:lpstr>
      <vt:lpstr>units</vt:lpstr>
      <vt:lpstr>cites</vt:lpstr>
      <vt:lpstr>releases</vt:lpstr>
      <vt:lpstr>acreftTOgal</vt:lpstr>
      <vt:lpstr>acreftTOm3</vt:lpstr>
      <vt:lpstr>acreinTOgal</vt:lpstr>
      <vt:lpstr>acreTOft2</vt:lpstr>
      <vt:lpstr>acreTOha</vt:lpstr>
      <vt:lpstr>acreTOkm2</vt:lpstr>
      <vt:lpstr>acreTOm2</vt:lpstr>
      <vt:lpstr>acreTOmi2</vt:lpstr>
      <vt:lpstr>atmTObar</vt:lpstr>
      <vt:lpstr>atmTOpsi</vt:lpstr>
      <vt:lpstr>barTOPa</vt:lpstr>
      <vt:lpstr>barTOpsi</vt:lpstr>
      <vt:lpstr>bblTOgal</vt:lpstr>
      <vt:lpstr>bblTOL</vt:lpstr>
      <vt:lpstr>bfTOcm3</vt:lpstr>
      <vt:lpstr>bfTOin3</vt:lpstr>
      <vt:lpstr>bfTOm3</vt:lpstr>
      <vt:lpstr>Btu.ft3TOMJ.m3</vt:lpstr>
      <vt:lpstr>Btu.hphTOmmBtu.MWh</vt:lpstr>
      <vt:lpstr>Btu.lbTOMJ.kg</vt:lpstr>
      <vt:lpstr>Btu.lbTOmmBtu.ton</vt:lpstr>
      <vt:lpstr>BtuTOcal</vt:lpstr>
      <vt:lpstr>BtuTOJ</vt:lpstr>
      <vt:lpstr>BtuTOkJ</vt:lpstr>
      <vt:lpstr>BtuTOkWh</vt:lpstr>
      <vt:lpstr>BtuTOMJ</vt:lpstr>
      <vt:lpstr>BtuTOtherm</vt:lpstr>
      <vt:lpstr>BtuTOWh</vt:lpstr>
      <vt:lpstr>c_CO2.C</vt:lpstr>
      <vt:lpstr>'Figures 3-6'!c_efNG</vt:lpstr>
      <vt:lpstr>c_efNG</vt:lpstr>
      <vt:lpstr>c_GWPCH4</vt:lpstr>
      <vt:lpstr>'Figures 3-6'!c_GWPN2O</vt:lpstr>
      <vt:lpstr>c_GWPN2O</vt:lpstr>
      <vt:lpstr>c_horizon</vt:lpstr>
      <vt:lpstr>calTOBtu</vt:lpstr>
      <vt:lpstr>calTOJ</vt:lpstr>
      <vt:lpstr>cmTOin</vt:lpstr>
      <vt:lpstr>cordTOft3</vt:lpstr>
      <vt:lpstr>cordTOm3</vt:lpstr>
      <vt:lpstr>dayTOmin</vt:lpstr>
      <vt:lpstr>dayTOyr</vt:lpstr>
      <vt:lpstr>EJTOTWh</vt:lpstr>
      <vt:lpstr>ft2TOm2</vt:lpstr>
      <vt:lpstr>ft2TOyd2</vt:lpstr>
      <vt:lpstr>ft3TOgal</vt:lpstr>
      <vt:lpstr>ft3TOL</vt:lpstr>
      <vt:lpstr>ft3TOm3</vt:lpstr>
      <vt:lpstr>ftTOm</vt:lpstr>
      <vt:lpstr>g.hphTOlb.MWh</vt:lpstr>
      <vt:lpstr>g.kWhTOlb.MWh</vt:lpstr>
      <vt:lpstr>galTOacreft</vt:lpstr>
      <vt:lpstr>galTOacrein</vt:lpstr>
      <vt:lpstr>galTObbl</vt:lpstr>
      <vt:lpstr>galTOL</vt:lpstr>
      <vt:lpstr>galTOliter</vt:lpstr>
      <vt:lpstr>galTOm3</vt:lpstr>
      <vt:lpstr>ggeTOkWh</vt:lpstr>
      <vt:lpstr>GJ.hrTOMW</vt:lpstr>
      <vt:lpstr>GJTOmmBtu</vt:lpstr>
      <vt:lpstr>GJTOMWh</vt:lpstr>
      <vt:lpstr>GJTOtherm</vt:lpstr>
      <vt:lpstr>gpmTOliter.s</vt:lpstr>
      <vt:lpstr>gTOlb</vt:lpstr>
      <vt:lpstr>GWTOkW</vt:lpstr>
      <vt:lpstr>GWTOquad.yr</vt:lpstr>
      <vt:lpstr>GWTOTWh.yr</vt:lpstr>
      <vt:lpstr>haTOacre</vt:lpstr>
      <vt:lpstr>haTOkm2</vt:lpstr>
      <vt:lpstr>hpTOkW</vt:lpstr>
      <vt:lpstr>hrTOday</vt:lpstr>
      <vt:lpstr>hrTOmin</vt:lpstr>
      <vt:lpstr>hrTOs</vt:lpstr>
      <vt:lpstr>hrTOyr</vt:lpstr>
      <vt:lpstr>inTOcm</vt:lpstr>
      <vt:lpstr>inTOmm</vt:lpstr>
      <vt:lpstr>JTOBtu</vt:lpstr>
      <vt:lpstr>JTOcal</vt:lpstr>
      <vt:lpstr>JTOWh</vt:lpstr>
      <vt:lpstr>kcalTOMJ</vt:lpstr>
      <vt:lpstr>kg.GJTOlb.MWh</vt:lpstr>
      <vt:lpstr>kgTOg</vt:lpstr>
      <vt:lpstr>kgTOlb</vt:lpstr>
      <vt:lpstr>kJ.kWhTOmmBtu.MWh</vt:lpstr>
      <vt:lpstr>kJTOBtu</vt:lpstr>
      <vt:lpstr>km.lTOmi.gal</vt:lpstr>
      <vt:lpstr>km2TOacre</vt:lpstr>
      <vt:lpstr>km2TOha</vt:lpstr>
      <vt:lpstr>km2TOm2</vt:lpstr>
      <vt:lpstr>km2TOmi2</vt:lpstr>
      <vt:lpstr>kmTOmi</vt:lpstr>
      <vt:lpstr>kWh.tonTOMJ.kg</vt:lpstr>
      <vt:lpstr>kWhTOBtu</vt:lpstr>
      <vt:lpstr>kWhTOgge</vt:lpstr>
      <vt:lpstr>kWhTOMJ</vt:lpstr>
      <vt:lpstr>kWTOhp</vt:lpstr>
      <vt:lpstr>L.sTOgpm</vt:lpstr>
      <vt:lpstr>lb.mmBtuTOMg.mmBtu</vt:lpstr>
      <vt:lpstr>lb.mmBtuTOng.J</vt:lpstr>
      <vt:lpstr>lb.mmBtuTOTg.quad</vt:lpstr>
      <vt:lpstr>lb.MWhTOg.hph</vt:lpstr>
      <vt:lpstr>lb.MWhTOg.kWh</vt:lpstr>
      <vt:lpstr>lb.MWhTOkg.GJ</vt:lpstr>
      <vt:lpstr>lb.MWhTOton.GWh</vt:lpstr>
      <vt:lpstr>lbTOg</vt:lpstr>
      <vt:lpstr>lbTOkg</vt:lpstr>
      <vt:lpstr>lbTOMg</vt:lpstr>
      <vt:lpstr>lbTON</vt:lpstr>
      <vt:lpstr>lbTOoz</vt:lpstr>
      <vt:lpstr>lbTOton</vt:lpstr>
      <vt:lpstr>LTOft3</vt:lpstr>
      <vt:lpstr>LTOgal</vt:lpstr>
      <vt:lpstr>LTOm3</vt:lpstr>
      <vt:lpstr>m2TOacre</vt:lpstr>
      <vt:lpstr>m2TOft2</vt:lpstr>
      <vt:lpstr>m2TOha</vt:lpstr>
      <vt:lpstr>m2TOkm2</vt:lpstr>
      <vt:lpstr>m3.dayTOgpm</vt:lpstr>
      <vt:lpstr>m3TOacreft</vt:lpstr>
      <vt:lpstr>m3TOft3</vt:lpstr>
      <vt:lpstr>m3TOgal</vt:lpstr>
      <vt:lpstr>m3TOliter</vt:lpstr>
      <vt:lpstr>Mg.hayrTOton.acreyr</vt:lpstr>
      <vt:lpstr>MgTOkg</vt:lpstr>
      <vt:lpstr>MgTOton</vt:lpstr>
      <vt:lpstr>mi2TOacre</vt:lpstr>
      <vt:lpstr>mi2TOkm2</vt:lpstr>
      <vt:lpstr>minTOday</vt:lpstr>
      <vt:lpstr>miTOkm</vt:lpstr>
      <vt:lpstr>MJ.hrTOkW</vt:lpstr>
      <vt:lpstr>MJ.kgTOBtu.lb</vt:lpstr>
      <vt:lpstr>MJ.kgTOkWh.ton</vt:lpstr>
      <vt:lpstr>MJ.kgTOmmBtu.ton</vt:lpstr>
      <vt:lpstr>MJ.kWhTOmmBtu.MWh</vt:lpstr>
      <vt:lpstr>MJ.m3TOBtu.ft3</vt:lpstr>
      <vt:lpstr>MJTOBtu</vt:lpstr>
      <vt:lpstr>MJTOkcal</vt:lpstr>
      <vt:lpstr>MJTOkWh</vt:lpstr>
      <vt:lpstr>MJTOmmBtu</vt:lpstr>
      <vt:lpstr>MJTOMWh</vt:lpstr>
      <vt:lpstr>MJTOtherm</vt:lpstr>
      <vt:lpstr>mmBtu.MWhTOBtu.hph</vt:lpstr>
      <vt:lpstr>mmBtu.MWhTOkJ.kWh</vt:lpstr>
      <vt:lpstr>mmBtu.MWhTOMJ.kWh</vt:lpstr>
      <vt:lpstr>mmBtu.tonTOBtu.lb</vt:lpstr>
      <vt:lpstr>mmBtuTOMJ</vt:lpstr>
      <vt:lpstr>mmBtuTOMWh</vt:lpstr>
      <vt:lpstr>mmBtuTOtherm</vt:lpstr>
      <vt:lpstr>mmBtuTOTJ</vt:lpstr>
      <vt:lpstr>mmTOin</vt:lpstr>
      <vt:lpstr>moTOday</vt:lpstr>
      <vt:lpstr>moTOyr</vt:lpstr>
      <vt:lpstr>MtoeTOGWh</vt:lpstr>
      <vt:lpstr>MtoeTOmmBtu</vt:lpstr>
      <vt:lpstr>MtoeTOTJ</vt:lpstr>
      <vt:lpstr>MWaTOMWh</vt:lpstr>
      <vt:lpstr>MWhTOGJ</vt:lpstr>
      <vt:lpstr>MWhTOmmBtu</vt:lpstr>
      <vt:lpstr>MWhTOMWa</vt:lpstr>
      <vt:lpstr>MWhTOTJ</vt:lpstr>
      <vt:lpstr>MWTOGJ.hr</vt:lpstr>
      <vt:lpstr>MWTOkW</vt:lpstr>
      <vt:lpstr>ng.JTOlb.mmBtu</vt:lpstr>
      <vt:lpstr>ozTOkg</vt:lpstr>
      <vt:lpstr>psiTOPa</vt:lpstr>
      <vt:lpstr>quad.yrTOGW</vt:lpstr>
      <vt:lpstr>quadTOEJ</vt:lpstr>
      <vt:lpstr>quadTOTWh</vt:lpstr>
      <vt:lpstr>sTOday</vt:lpstr>
      <vt:lpstr>sTOhr</vt:lpstr>
      <vt:lpstr>sTOyr</vt:lpstr>
      <vt:lpstr>t_growth</vt:lpstr>
      <vt:lpstr>Tg.quadTOlb.mmBtu</vt:lpstr>
      <vt:lpstr>thermTOBtu</vt:lpstr>
      <vt:lpstr>thermTOGJ</vt:lpstr>
      <vt:lpstr>thermTOkWh</vt:lpstr>
      <vt:lpstr>thermTOMJ</vt:lpstr>
      <vt:lpstr>thermTOmmBtu</vt:lpstr>
      <vt:lpstr>thermTOTJ</vt:lpstr>
      <vt:lpstr>TJTOmmBtu</vt:lpstr>
      <vt:lpstr>ton.GWhTOlb.MWh</vt:lpstr>
      <vt:lpstr>tonTOkg</vt:lpstr>
      <vt:lpstr>tonTOlb</vt:lpstr>
      <vt:lpstr>tonTOMg</vt:lpstr>
      <vt:lpstr>TWh.yrTOGW</vt:lpstr>
      <vt:lpstr>TWhTOEJ</vt:lpstr>
      <vt:lpstr>TWhTOquad</vt:lpstr>
      <vt:lpstr>WhTOBtu</vt:lpstr>
      <vt:lpstr>WhTOJ</vt:lpstr>
      <vt:lpstr>yd2TOft2</vt:lpstr>
      <vt:lpstr>yd3TOm3</vt:lpstr>
      <vt:lpstr>yrTOday</vt:lpstr>
      <vt:lpstr>yrTOhr</vt:lpstr>
      <vt:lpstr>yrTOmo</vt:lpstr>
      <vt:lpstr>yrTOs</vt:lpstr>
    </vt:vector>
  </TitlesOfParts>
  <Company>CTED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Roel Hammerschlag</dc:creator>
  <cp:lastModifiedBy>Roel Hammerschlag</cp:lastModifiedBy>
  <cp:lastPrinted>2021-01-22T23:34:25Z</cp:lastPrinted>
  <dcterms:created xsi:type="dcterms:W3CDTF">2011-09-29T15:49:30Z</dcterms:created>
  <dcterms:modified xsi:type="dcterms:W3CDTF">2021-10-07T17:44:45Z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384d2de4-23f2-44a2-9a4e-1c7bd4c89dc4</vt:lpwstr>
  </property>
</Properties>
</file>